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School Growth &amp; Development\Active Projects or Drafts\Nevada\Pinecrest Academy of Nevada (PAN)\Charter Development\Pinecrest Springs and Virtual Enrollment Reduction\Attachments\"/>
    </mc:Choice>
  </mc:AlternateContent>
  <bookViews>
    <workbookView xWindow="-105" yWindow="-105" windowWidth="23250" windowHeight="12570" firstSheet="2" activeTab="6"/>
  </bookViews>
  <sheets>
    <sheet name="23-24" sheetId="1" r:id="rId1"/>
    <sheet name="24-25" sheetId="2" r:id="rId2"/>
    <sheet name="25-26" sheetId="3" r:id="rId3"/>
    <sheet name="26-27" sheetId="6" r:id="rId4"/>
    <sheet name="27-28" sheetId="7" r:id="rId5"/>
    <sheet name="28-29" sheetId="8" r:id="rId6"/>
    <sheet name="6-Year (System)" sheetId="10" r:id="rId7"/>
    <sheet name="6-Year (Virtual)" sheetId="9" r:id="rId8"/>
    <sheet name="6-Year (Springs)" sheetId="11" r:id="rId9"/>
    <sheet name="Bond" sheetId="4" r:id="rId10"/>
    <sheet name="FFE" sheetId="5" r:id="rId11"/>
  </sheets>
  <externalReferences>
    <externalReference r:id="rId12"/>
    <externalReference r:id="rId13"/>
  </externalReferences>
  <definedNames>
    <definedName name="_xlnm.Print_Area" localSheetId="0">'23-24'!$A$1:$I$222</definedName>
    <definedName name="_xlnm.Print_Area" localSheetId="1">'24-25'!$A$1:$I$222</definedName>
    <definedName name="_xlnm.Print_Area" localSheetId="2">'25-26'!$A$1:$I$222</definedName>
    <definedName name="_xlnm.Print_Area" localSheetId="3">'26-27'!$A$1:$I$222</definedName>
    <definedName name="_xlnm.Print_Area" localSheetId="4">'27-28'!$A$1:$I$222</definedName>
    <definedName name="_xlnm.Print_Area" localSheetId="5">'28-29'!$A$1:$I$222</definedName>
    <definedName name="_xlnm.Print_Area" localSheetId="8">'6-Year (Springs)'!$A$1:$H$222</definedName>
    <definedName name="_xlnm.Print_Area" localSheetId="6">'6-Year (System)'!$A$1:$H$222</definedName>
    <definedName name="_xlnm.Print_Area" localSheetId="7">'6-Year (Virtual)'!$A$1:$H$222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3" i="11" l="1"/>
  <c r="CE20" i="1" l="1"/>
  <c r="CE157" i="1"/>
  <c r="I157" i="10"/>
  <c r="M156" i="10"/>
  <c r="J159" i="10"/>
  <c r="I159" i="10"/>
  <c r="I134" i="10" a="1"/>
  <c r="I134" i="10" s="1"/>
  <c r="I78" i="10"/>
  <c r="J24" i="10" l="1"/>
  <c r="J23" i="10"/>
  <c r="J26" i="10"/>
  <c r="J25" i="10"/>
  <c r="G238" i="11"/>
  <c r="F238" i="11"/>
  <c r="E238" i="11"/>
  <c r="I238" i="11" s="1"/>
  <c r="D238" i="11"/>
  <c r="C238" i="11"/>
  <c r="B238" i="11"/>
  <c r="G237" i="11"/>
  <c r="F237" i="11"/>
  <c r="E237" i="11"/>
  <c r="D237" i="11"/>
  <c r="C237" i="11"/>
  <c r="B237" i="11"/>
  <c r="I237" i="11" s="1"/>
  <c r="I236" i="11"/>
  <c r="G236" i="11"/>
  <c r="F236" i="11"/>
  <c r="E236" i="11"/>
  <c r="D236" i="11"/>
  <c r="C236" i="11"/>
  <c r="B236" i="11"/>
  <c r="G235" i="11"/>
  <c r="F235" i="11"/>
  <c r="E235" i="11"/>
  <c r="D235" i="11"/>
  <c r="C235" i="11"/>
  <c r="B235" i="11"/>
  <c r="I235" i="11" s="1"/>
  <c r="G234" i="11"/>
  <c r="F234" i="11"/>
  <c r="E234" i="11"/>
  <c r="D234" i="11"/>
  <c r="C234" i="11"/>
  <c r="B234" i="11"/>
  <c r="I234" i="11" s="1"/>
  <c r="G233" i="11"/>
  <c r="F233" i="11"/>
  <c r="E233" i="11"/>
  <c r="D233" i="11"/>
  <c r="I233" i="11" s="1"/>
  <c r="C233" i="11"/>
  <c r="B233" i="11"/>
  <c r="G232" i="11"/>
  <c r="F232" i="11"/>
  <c r="E232" i="11"/>
  <c r="D232" i="11"/>
  <c r="C232" i="11"/>
  <c r="B232" i="11"/>
  <c r="I232" i="11" s="1"/>
  <c r="G231" i="11"/>
  <c r="F231" i="11"/>
  <c r="I231" i="11" s="1"/>
  <c r="E231" i="11"/>
  <c r="D231" i="11"/>
  <c r="C231" i="11"/>
  <c r="B231" i="11"/>
  <c r="G230" i="11"/>
  <c r="F230" i="11"/>
  <c r="E230" i="11"/>
  <c r="D230" i="11"/>
  <c r="C230" i="11"/>
  <c r="B230" i="11"/>
  <c r="I230" i="11" s="1"/>
  <c r="I229" i="11"/>
  <c r="G229" i="11"/>
  <c r="F229" i="11"/>
  <c r="E229" i="11"/>
  <c r="D229" i="11"/>
  <c r="C229" i="11"/>
  <c r="B229" i="11"/>
  <c r="G228" i="11"/>
  <c r="F228" i="11"/>
  <c r="E228" i="11"/>
  <c r="D228" i="11"/>
  <c r="C228" i="11"/>
  <c r="I228" i="11" s="1"/>
  <c r="B228" i="11"/>
  <c r="G227" i="11"/>
  <c r="F227" i="11"/>
  <c r="E227" i="11"/>
  <c r="D227" i="11"/>
  <c r="C227" i="11"/>
  <c r="B227" i="11"/>
  <c r="I227" i="11" s="1"/>
  <c r="G226" i="11"/>
  <c r="G240" i="11" s="1"/>
  <c r="F226" i="11"/>
  <c r="E226" i="11"/>
  <c r="I226" i="11" s="1"/>
  <c r="D226" i="11"/>
  <c r="C226" i="11"/>
  <c r="B226" i="11"/>
  <c r="G225" i="11"/>
  <c r="F225" i="11"/>
  <c r="F240" i="11" s="1"/>
  <c r="E225" i="11"/>
  <c r="E240" i="11" s="1"/>
  <c r="D225" i="11"/>
  <c r="D240" i="11" s="1"/>
  <c r="C225" i="11"/>
  <c r="B225" i="11"/>
  <c r="I225" i="11" s="1"/>
  <c r="G238" i="9"/>
  <c r="F238" i="9"/>
  <c r="E238" i="9"/>
  <c r="D238" i="9"/>
  <c r="C238" i="9"/>
  <c r="G237" i="9"/>
  <c r="F237" i="9"/>
  <c r="E237" i="9"/>
  <c r="D237" i="9"/>
  <c r="C237" i="9"/>
  <c r="G236" i="9"/>
  <c r="F236" i="9"/>
  <c r="E236" i="9"/>
  <c r="D236" i="9"/>
  <c r="C236" i="9"/>
  <c r="G235" i="9"/>
  <c r="F235" i="9"/>
  <c r="E235" i="9"/>
  <c r="D235" i="9"/>
  <c r="C235" i="9"/>
  <c r="G234" i="9"/>
  <c r="F234" i="9"/>
  <c r="E234" i="9"/>
  <c r="D234" i="9"/>
  <c r="C234" i="9"/>
  <c r="G233" i="9"/>
  <c r="F233" i="9"/>
  <c r="E233" i="9"/>
  <c r="D233" i="9"/>
  <c r="C233" i="9"/>
  <c r="G232" i="9"/>
  <c r="F232" i="9"/>
  <c r="E232" i="9"/>
  <c r="D232" i="9"/>
  <c r="C232" i="9"/>
  <c r="G231" i="9"/>
  <c r="F231" i="9"/>
  <c r="E231" i="9"/>
  <c r="D231" i="9"/>
  <c r="C231" i="9"/>
  <c r="G230" i="9"/>
  <c r="F230" i="9"/>
  <c r="E230" i="9"/>
  <c r="D230" i="9"/>
  <c r="C230" i="9"/>
  <c r="G229" i="9"/>
  <c r="F229" i="9"/>
  <c r="E229" i="9"/>
  <c r="D229" i="9"/>
  <c r="C229" i="9"/>
  <c r="G228" i="9"/>
  <c r="F228" i="9"/>
  <c r="E228" i="9"/>
  <c r="D228" i="9"/>
  <c r="C228" i="9"/>
  <c r="G227" i="9"/>
  <c r="F227" i="9"/>
  <c r="E227" i="9"/>
  <c r="E240" i="9" s="1"/>
  <c r="D227" i="9"/>
  <c r="C227" i="9"/>
  <c r="G226" i="9"/>
  <c r="F226" i="9"/>
  <c r="F240" i="9" s="1"/>
  <c r="E226" i="9"/>
  <c r="D226" i="9"/>
  <c r="C226" i="9"/>
  <c r="G225" i="9"/>
  <c r="G240" i="9" s="1"/>
  <c r="F225" i="9"/>
  <c r="E225" i="9"/>
  <c r="D225" i="9"/>
  <c r="D240" i="9" s="1"/>
  <c r="C225" i="9"/>
  <c r="C240" i="9" s="1"/>
  <c r="C233" i="10"/>
  <c r="D233" i="10"/>
  <c r="E233" i="10"/>
  <c r="F233" i="10"/>
  <c r="G233" i="10"/>
  <c r="C238" i="10"/>
  <c r="D238" i="10"/>
  <c r="E238" i="10"/>
  <c r="F238" i="10"/>
  <c r="G238" i="10"/>
  <c r="C230" i="10"/>
  <c r="D230" i="10"/>
  <c r="E230" i="10"/>
  <c r="F230" i="10"/>
  <c r="G230" i="10"/>
  <c r="G237" i="10"/>
  <c r="F237" i="10"/>
  <c r="E237" i="10"/>
  <c r="D237" i="10"/>
  <c r="C237" i="10"/>
  <c r="G236" i="10"/>
  <c r="F236" i="10"/>
  <c r="E236" i="10"/>
  <c r="D236" i="10"/>
  <c r="C236" i="10"/>
  <c r="G235" i="10"/>
  <c r="F235" i="10"/>
  <c r="E235" i="10"/>
  <c r="D235" i="10"/>
  <c r="C235" i="10"/>
  <c r="G234" i="10"/>
  <c r="F234" i="10"/>
  <c r="E234" i="10"/>
  <c r="D234" i="10"/>
  <c r="C234" i="10"/>
  <c r="G232" i="10"/>
  <c r="F232" i="10"/>
  <c r="E232" i="10"/>
  <c r="D232" i="10"/>
  <c r="C232" i="10"/>
  <c r="G231" i="10"/>
  <c r="F231" i="10"/>
  <c r="E231" i="10"/>
  <c r="D231" i="10"/>
  <c r="C231" i="10"/>
  <c r="G229" i="10"/>
  <c r="F229" i="10"/>
  <c r="E229" i="10"/>
  <c r="D229" i="10"/>
  <c r="C229" i="10"/>
  <c r="G228" i="10"/>
  <c r="F228" i="10"/>
  <c r="E228" i="10"/>
  <c r="D228" i="10"/>
  <c r="C228" i="10"/>
  <c r="G227" i="10"/>
  <c r="F227" i="10"/>
  <c r="E227" i="10"/>
  <c r="D227" i="10"/>
  <c r="C227" i="10"/>
  <c r="G226" i="10"/>
  <c r="F226" i="10"/>
  <c r="E226" i="10"/>
  <c r="D226" i="10"/>
  <c r="C226" i="10"/>
  <c r="G225" i="10"/>
  <c r="F225" i="10"/>
  <c r="E225" i="10"/>
  <c r="D225" i="10"/>
  <c r="C225" i="10"/>
  <c r="I240" i="11" l="1"/>
  <c r="B240" i="11"/>
  <c r="C240" i="11"/>
  <c r="C240" i="10"/>
  <c r="D240" i="10"/>
  <c r="E240" i="10"/>
  <c r="F240" i="10"/>
  <c r="G240" i="10"/>
  <c r="J17" i="11" l="1"/>
  <c r="K17" i="11"/>
  <c r="L17" i="11"/>
  <c r="M17" i="11"/>
  <c r="N17" i="11"/>
  <c r="I17" i="11"/>
  <c r="I5" i="11"/>
  <c r="J5" i="11"/>
  <c r="K5" i="11"/>
  <c r="L5" i="11"/>
  <c r="M5" i="11"/>
  <c r="N5" i="11"/>
  <c r="I6" i="11"/>
  <c r="J6" i="11"/>
  <c r="K6" i="11"/>
  <c r="L6" i="11"/>
  <c r="M6" i="11"/>
  <c r="N6" i="11"/>
  <c r="I7" i="11"/>
  <c r="J7" i="11"/>
  <c r="K7" i="11"/>
  <c r="L7" i="11"/>
  <c r="M7" i="11"/>
  <c r="N7" i="11"/>
  <c r="I8" i="11"/>
  <c r="J8" i="11"/>
  <c r="K8" i="11"/>
  <c r="L8" i="11"/>
  <c r="M8" i="11"/>
  <c r="N8" i="11"/>
  <c r="I9" i="11"/>
  <c r="J9" i="11"/>
  <c r="K9" i="11"/>
  <c r="L9" i="11"/>
  <c r="M9" i="11"/>
  <c r="N9" i="11"/>
  <c r="I10" i="11"/>
  <c r="J10" i="11"/>
  <c r="K10" i="11"/>
  <c r="L10" i="11"/>
  <c r="M10" i="11"/>
  <c r="N10" i="11"/>
  <c r="I11" i="11"/>
  <c r="J11" i="11"/>
  <c r="K11" i="11"/>
  <c r="L11" i="11"/>
  <c r="M11" i="11"/>
  <c r="N11" i="11"/>
  <c r="I12" i="11"/>
  <c r="J12" i="11"/>
  <c r="K12" i="11"/>
  <c r="L12" i="11"/>
  <c r="M12" i="11"/>
  <c r="N12" i="11"/>
  <c r="I13" i="11"/>
  <c r="J13" i="11"/>
  <c r="K13" i="11"/>
  <c r="L13" i="11"/>
  <c r="M13" i="11"/>
  <c r="N13" i="11"/>
  <c r="I14" i="11"/>
  <c r="J14" i="11"/>
  <c r="K14" i="11"/>
  <c r="L14" i="11"/>
  <c r="M14" i="11"/>
  <c r="N14" i="11"/>
  <c r="I15" i="11"/>
  <c r="J15" i="11"/>
  <c r="K15" i="11"/>
  <c r="L15" i="11"/>
  <c r="M15" i="11"/>
  <c r="N15" i="11"/>
  <c r="I16" i="11"/>
  <c r="J16" i="11"/>
  <c r="K16" i="11"/>
  <c r="L16" i="11"/>
  <c r="M16" i="11"/>
  <c r="N16" i="11"/>
  <c r="N4" i="11"/>
  <c r="M4" i="11"/>
  <c r="L4" i="11"/>
  <c r="K4" i="11"/>
  <c r="J4" i="11"/>
  <c r="I4" i="11"/>
  <c r="J17" i="10"/>
  <c r="K17" i="10"/>
  <c r="L17" i="10"/>
  <c r="M17" i="10"/>
  <c r="N17" i="10"/>
  <c r="I17" i="10"/>
  <c r="I5" i="10"/>
  <c r="J5" i="10"/>
  <c r="K5" i="10"/>
  <c r="L5" i="10"/>
  <c r="M5" i="10"/>
  <c r="N5" i="10"/>
  <c r="I6" i="10"/>
  <c r="J6" i="10"/>
  <c r="K6" i="10"/>
  <c r="L6" i="10"/>
  <c r="M6" i="10"/>
  <c r="N6" i="10"/>
  <c r="I7" i="10"/>
  <c r="J7" i="10"/>
  <c r="K7" i="10"/>
  <c r="L7" i="10"/>
  <c r="M7" i="10"/>
  <c r="N7" i="10"/>
  <c r="I8" i="10"/>
  <c r="J8" i="10"/>
  <c r="K8" i="10"/>
  <c r="L8" i="10"/>
  <c r="M8" i="10"/>
  <c r="N8" i="10"/>
  <c r="I9" i="10"/>
  <c r="J9" i="10"/>
  <c r="K9" i="10"/>
  <c r="L9" i="10"/>
  <c r="M9" i="10"/>
  <c r="N9" i="10"/>
  <c r="I10" i="10"/>
  <c r="J10" i="10"/>
  <c r="K10" i="10"/>
  <c r="L10" i="10"/>
  <c r="M10" i="10"/>
  <c r="N10" i="10"/>
  <c r="I11" i="10"/>
  <c r="J11" i="10"/>
  <c r="K11" i="10"/>
  <c r="L11" i="10"/>
  <c r="M11" i="10"/>
  <c r="N11" i="10"/>
  <c r="I12" i="10"/>
  <c r="J12" i="10"/>
  <c r="K12" i="10"/>
  <c r="L12" i="10"/>
  <c r="M12" i="10"/>
  <c r="N12" i="10"/>
  <c r="I13" i="10"/>
  <c r="J13" i="10"/>
  <c r="K13" i="10"/>
  <c r="L13" i="10"/>
  <c r="M13" i="10"/>
  <c r="N13" i="10"/>
  <c r="I14" i="10"/>
  <c r="J14" i="10"/>
  <c r="K14" i="10"/>
  <c r="L14" i="10"/>
  <c r="M14" i="10"/>
  <c r="N14" i="10"/>
  <c r="I15" i="10"/>
  <c r="J15" i="10"/>
  <c r="K15" i="10"/>
  <c r="L15" i="10"/>
  <c r="M15" i="10"/>
  <c r="N15" i="10"/>
  <c r="I16" i="10"/>
  <c r="J16" i="10"/>
  <c r="K16" i="10"/>
  <c r="L16" i="10"/>
  <c r="M16" i="10"/>
  <c r="N16" i="10"/>
  <c r="N4" i="10"/>
  <c r="M4" i="10"/>
  <c r="L4" i="10"/>
  <c r="K4" i="10"/>
  <c r="J4" i="10"/>
  <c r="I4" i="10"/>
  <c r="CD16" i="1"/>
  <c r="CD15" i="1"/>
  <c r="CD14" i="1"/>
  <c r="CD13" i="1"/>
  <c r="CD12" i="1"/>
  <c r="CD11" i="1"/>
  <c r="CD10" i="1"/>
  <c r="CD9" i="1"/>
  <c r="CD8" i="1"/>
  <c r="CD7" i="1"/>
  <c r="CD6" i="1"/>
  <c r="CD5" i="1"/>
  <c r="CD4" i="1"/>
  <c r="CD17" i="1" s="1"/>
  <c r="BL17" i="1"/>
  <c r="AT17" i="1"/>
  <c r="AK17" i="1"/>
  <c r="AB17" i="1"/>
  <c r="S17" i="1"/>
  <c r="J17" i="1"/>
  <c r="CD16" i="2" l="1"/>
  <c r="CD15" i="2"/>
  <c r="CD14" i="2"/>
  <c r="CD13" i="2"/>
  <c r="CD12" i="2"/>
  <c r="CD11" i="2"/>
  <c r="CD10" i="2"/>
  <c r="CD9" i="2"/>
  <c r="CD8" i="2"/>
  <c r="CD7" i="2"/>
  <c r="CD6" i="2"/>
  <c r="CD5" i="2"/>
  <c r="CD4" i="2"/>
  <c r="CD17" i="2" s="1"/>
  <c r="BL17" i="2"/>
  <c r="AT17" i="2"/>
  <c r="AK17" i="2"/>
  <c r="AB17" i="2"/>
  <c r="S17" i="2"/>
  <c r="J17" i="2"/>
  <c r="N196" i="11"/>
  <c r="M196" i="11"/>
  <c r="L196" i="11"/>
  <c r="K196" i="11"/>
  <c r="J196" i="11"/>
  <c r="I196" i="11"/>
  <c r="N196" i="9"/>
  <c r="M196" i="9"/>
  <c r="L196" i="9"/>
  <c r="K196" i="9"/>
  <c r="J196" i="9"/>
  <c r="I196" i="9"/>
  <c r="J196" i="10"/>
  <c r="K196" i="10"/>
  <c r="L196" i="10"/>
  <c r="M196" i="10"/>
  <c r="N196" i="10"/>
  <c r="I196" i="10"/>
  <c r="BD196" i="8"/>
  <c r="BD196" i="7"/>
  <c r="BD196" i="6"/>
  <c r="CA196" i="8"/>
  <c r="BZ196" i="8"/>
  <c r="BY196" i="8"/>
  <c r="BX196" i="8"/>
  <c r="BW196" i="8"/>
  <c r="BT196" i="8"/>
  <c r="BU196" i="8" s="1"/>
  <c r="BK196" i="8"/>
  <c r="G196" i="11" s="1"/>
  <c r="AU196" i="8"/>
  <c r="BB196" i="8" s="1"/>
  <c r="AS196" i="8"/>
  <c r="AT196" i="8" s="1"/>
  <c r="AL196" i="8"/>
  <c r="AC196" i="8"/>
  <c r="AJ196" i="8" s="1"/>
  <c r="AK196" i="8" s="1"/>
  <c r="AA196" i="8"/>
  <c r="AB196" i="8" s="1"/>
  <c r="T196" i="8"/>
  <c r="K196" i="8"/>
  <c r="R196" i="8" s="1"/>
  <c r="S196" i="8" s="1"/>
  <c r="I196" i="8"/>
  <c r="J196" i="8" s="1"/>
  <c r="B196" i="8"/>
  <c r="BV196" i="8" s="1"/>
  <c r="CC196" i="8" s="1"/>
  <c r="CA196" i="7"/>
  <c r="BZ196" i="7"/>
  <c r="BY196" i="7"/>
  <c r="BX196" i="7"/>
  <c r="BW196" i="7"/>
  <c r="BT196" i="7"/>
  <c r="BU196" i="7" s="1"/>
  <c r="BK196" i="7"/>
  <c r="F196" i="11" s="1"/>
  <c r="BC196" i="7"/>
  <c r="BB196" i="7"/>
  <c r="AU196" i="7"/>
  <c r="AL196" i="7"/>
  <c r="AS196" i="7" s="1"/>
  <c r="AT196" i="7" s="1"/>
  <c r="AC196" i="7"/>
  <c r="AJ196" i="7" s="1"/>
  <c r="AK196" i="7" s="1"/>
  <c r="AA196" i="7"/>
  <c r="AB196" i="7" s="1"/>
  <c r="T196" i="7"/>
  <c r="S196" i="7"/>
  <c r="R196" i="7"/>
  <c r="K196" i="7"/>
  <c r="B196" i="7"/>
  <c r="I196" i="7" s="1"/>
  <c r="J196" i="7" s="1"/>
  <c r="CA196" i="6"/>
  <c r="BZ196" i="6"/>
  <c r="BY196" i="6"/>
  <c r="BX196" i="6"/>
  <c r="BW196" i="6"/>
  <c r="BT196" i="6"/>
  <c r="BU196" i="6" s="1"/>
  <c r="BK196" i="6"/>
  <c r="E196" i="11" s="1"/>
  <c r="AU196" i="6"/>
  <c r="BB196" i="6" s="1"/>
  <c r="AL196" i="6"/>
  <c r="AS196" i="6" s="1"/>
  <c r="AT196" i="6" s="1"/>
  <c r="AC196" i="6"/>
  <c r="AJ196" i="6" s="1"/>
  <c r="AK196" i="6" s="1"/>
  <c r="AA196" i="6"/>
  <c r="AB196" i="6" s="1"/>
  <c r="T196" i="6"/>
  <c r="R196" i="6"/>
  <c r="S196" i="6" s="1"/>
  <c r="K196" i="6"/>
  <c r="I196" i="6"/>
  <c r="J196" i="6" s="1"/>
  <c r="B196" i="6"/>
  <c r="BD196" i="3"/>
  <c r="AU196" i="3"/>
  <c r="AL196" i="3"/>
  <c r="AC196" i="3"/>
  <c r="T196" i="3"/>
  <c r="K196" i="3"/>
  <c r="BD22" i="8"/>
  <c r="BD21" i="8"/>
  <c r="BE20" i="8"/>
  <c r="AU22" i="8"/>
  <c r="AU21" i="8"/>
  <c r="AV20" i="8"/>
  <c r="AL22" i="8"/>
  <c r="AL21" i="8"/>
  <c r="AM20" i="8"/>
  <c r="AC22" i="8"/>
  <c r="AC21" i="8"/>
  <c r="AD20" i="8"/>
  <c r="T22" i="8"/>
  <c r="T21" i="8"/>
  <c r="U20" i="8"/>
  <c r="K22" i="8"/>
  <c r="K21" i="8"/>
  <c r="L20" i="8"/>
  <c r="B22" i="8"/>
  <c r="B21" i="8"/>
  <c r="C20" i="8"/>
  <c r="BD22" i="7"/>
  <c r="BD21" i="7"/>
  <c r="BE20" i="7"/>
  <c r="AU22" i="7"/>
  <c r="AU21" i="7"/>
  <c r="AV20" i="7"/>
  <c r="AL22" i="7"/>
  <c r="AL21" i="7"/>
  <c r="AM20" i="7"/>
  <c r="AC22" i="7"/>
  <c r="AC21" i="7"/>
  <c r="AD20" i="7"/>
  <c r="T22" i="7"/>
  <c r="T21" i="7"/>
  <c r="U20" i="7"/>
  <c r="K22" i="7"/>
  <c r="K21" i="7"/>
  <c r="L20" i="7"/>
  <c r="B22" i="7"/>
  <c r="B21" i="7"/>
  <c r="C20" i="7"/>
  <c r="BD22" i="6"/>
  <c r="BD21" i="6"/>
  <c r="BE20" i="6"/>
  <c r="AU22" i="6"/>
  <c r="AU21" i="6"/>
  <c r="AV20" i="6"/>
  <c r="AL22" i="6"/>
  <c r="AL21" i="6"/>
  <c r="AM20" i="6"/>
  <c r="AC22" i="6"/>
  <c r="AC21" i="6"/>
  <c r="AD20" i="6"/>
  <c r="T22" i="6"/>
  <c r="T21" i="6"/>
  <c r="U20" i="6"/>
  <c r="K22" i="6"/>
  <c r="K21" i="6"/>
  <c r="L20" i="6"/>
  <c r="B22" i="6"/>
  <c r="B21" i="6"/>
  <c r="C20" i="6"/>
  <c r="BD22" i="3"/>
  <c r="BD21" i="3"/>
  <c r="BE20" i="3"/>
  <c r="AU22" i="3"/>
  <c r="AU21" i="3"/>
  <c r="AV20" i="3"/>
  <c r="AL22" i="3"/>
  <c r="AL21" i="3"/>
  <c r="AM20" i="3"/>
  <c r="AC22" i="3"/>
  <c r="AC21" i="3"/>
  <c r="AD20" i="3"/>
  <c r="T22" i="3"/>
  <c r="T21" i="3"/>
  <c r="U20" i="3"/>
  <c r="K22" i="3"/>
  <c r="K21" i="3"/>
  <c r="L20" i="3"/>
  <c r="B22" i="3"/>
  <c r="B21" i="3"/>
  <c r="C20" i="3"/>
  <c r="BD208" i="8"/>
  <c r="BD207" i="8"/>
  <c r="AL208" i="8"/>
  <c r="AL207" i="8"/>
  <c r="AC207" i="8"/>
  <c r="AC208" i="8"/>
  <c r="T208" i="8"/>
  <c r="T207" i="8"/>
  <c r="K208" i="8"/>
  <c r="K207" i="8"/>
  <c r="B208" i="8"/>
  <c r="B207" i="8"/>
  <c r="BD208" i="7"/>
  <c r="BD207" i="7"/>
  <c r="AL208" i="7"/>
  <c r="AL207" i="7"/>
  <c r="AC208" i="7"/>
  <c r="AC207" i="7"/>
  <c r="T208" i="7"/>
  <c r="T207" i="7"/>
  <c r="K208" i="7"/>
  <c r="K207" i="7"/>
  <c r="B208" i="7"/>
  <c r="B207" i="7"/>
  <c r="BD208" i="6"/>
  <c r="BD207" i="6"/>
  <c r="AL208" i="6"/>
  <c r="AL207" i="6"/>
  <c r="AC208" i="6"/>
  <c r="AC207" i="6"/>
  <c r="T208" i="6"/>
  <c r="T207" i="6"/>
  <c r="K208" i="6"/>
  <c r="K207" i="6"/>
  <c r="B208" i="6"/>
  <c r="B207" i="6"/>
  <c r="BD208" i="3"/>
  <c r="BD207" i="3"/>
  <c r="AL208" i="3"/>
  <c r="AL207" i="3"/>
  <c r="AC208" i="3"/>
  <c r="AC207" i="3"/>
  <c r="T207" i="3"/>
  <c r="T208" i="3"/>
  <c r="K208" i="3"/>
  <c r="K207" i="3"/>
  <c r="B208" i="3"/>
  <c r="B207" i="3"/>
  <c r="BD213" i="8"/>
  <c r="BD213" i="7"/>
  <c r="BD213" i="6"/>
  <c r="D72" i="4"/>
  <c r="D69" i="4"/>
  <c r="C69" i="4"/>
  <c r="D68" i="4"/>
  <c r="C66" i="4"/>
  <c r="D61" i="4"/>
  <c r="D78" i="4" s="1"/>
  <c r="C61" i="4"/>
  <c r="C78" i="4" s="1"/>
  <c r="D60" i="4"/>
  <c r="D74" i="4" s="1"/>
  <c r="C60" i="4"/>
  <c r="C72" i="4" s="1"/>
  <c r="D59" i="4"/>
  <c r="E59" i="4" s="1"/>
  <c r="C59" i="4"/>
  <c r="C70" i="4" s="1"/>
  <c r="D58" i="4"/>
  <c r="D65" i="4" s="1"/>
  <c r="C58" i="4"/>
  <c r="C65" i="4" s="1"/>
  <c r="BD204" i="8"/>
  <c r="BD203" i="8"/>
  <c r="BD202" i="8"/>
  <c r="BD201" i="8"/>
  <c r="BD200" i="8"/>
  <c r="BD199" i="8"/>
  <c r="AL204" i="8"/>
  <c r="AL203" i="8"/>
  <c r="AL202" i="8"/>
  <c r="AL201" i="8"/>
  <c r="AL200" i="8"/>
  <c r="AL199" i="8"/>
  <c r="AC204" i="8"/>
  <c r="AC203" i="8"/>
  <c r="AC202" i="8"/>
  <c r="AC201" i="8"/>
  <c r="AC200" i="8"/>
  <c r="AC199" i="8"/>
  <c r="T199" i="8"/>
  <c r="T204" i="8"/>
  <c r="T203" i="8"/>
  <c r="T202" i="8"/>
  <c r="T201" i="8"/>
  <c r="T200" i="8"/>
  <c r="K204" i="8"/>
  <c r="K203" i="8"/>
  <c r="K202" i="8"/>
  <c r="K201" i="8"/>
  <c r="K200" i="8"/>
  <c r="K199" i="8"/>
  <c r="B200" i="8"/>
  <c r="B201" i="8"/>
  <c r="B202" i="8"/>
  <c r="B203" i="8"/>
  <c r="I203" i="8" s="1"/>
  <c r="B204" i="8"/>
  <c r="B199" i="8"/>
  <c r="BD181" i="8"/>
  <c r="BD178" i="8"/>
  <c r="BD177" i="8"/>
  <c r="BD176" i="8"/>
  <c r="BD173" i="8"/>
  <c r="BD172" i="8"/>
  <c r="AU181" i="8"/>
  <c r="AU176" i="8"/>
  <c r="AL181" i="8"/>
  <c r="AL178" i="8"/>
  <c r="AL177" i="8"/>
  <c r="AL176" i="8"/>
  <c r="AL173" i="8"/>
  <c r="AL172" i="8"/>
  <c r="AC181" i="8"/>
  <c r="AC178" i="8"/>
  <c r="AC177" i="8"/>
  <c r="AC176" i="8"/>
  <c r="AC173" i="8"/>
  <c r="AC172" i="8"/>
  <c r="T181" i="8"/>
  <c r="T178" i="8"/>
  <c r="T177" i="8"/>
  <c r="T176" i="8"/>
  <c r="T173" i="8"/>
  <c r="T172" i="8"/>
  <c r="K181" i="8"/>
  <c r="K178" i="8"/>
  <c r="K177" i="8"/>
  <c r="K176" i="8"/>
  <c r="K173" i="8"/>
  <c r="K172" i="8"/>
  <c r="B181" i="8"/>
  <c r="B178" i="8"/>
  <c r="I178" i="8" s="1"/>
  <c r="B177" i="8"/>
  <c r="B176" i="8"/>
  <c r="B173" i="8"/>
  <c r="B172" i="8"/>
  <c r="BM161" i="3"/>
  <c r="BM161" i="6"/>
  <c r="BM161" i="7"/>
  <c r="BM161" i="8" s="1"/>
  <c r="BD162" i="8"/>
  <c r="BE161" i="8"/>
  <c r="BD161" i="8"/>
  <c r="BD156" i="8"/>
  <c r="AU162" i="8"/>
  <c r="AV161" i="8"/>
  <c r="AU161" i="8"/>
  <c r="AU156" i="8"/>
  <c r="AL162" i="8"/>
  <c r="AM161" i="8"/>
  <c r="AL161" i="8"/>
  <c r="AL156" i="8"/>
  <c r="AC162" i="8"/>
  <c r="AD161" i="8"/>
  <c r="AC161" i="8"/>
  <c r="AC156" i="8"/>
  <c r="T162" i="8"/>
  <c r="U161" i="8"/>
  <c r="T161" i="8"/>
  <c r="T156" i="8"/>
  <c r="B162" i="8"/>
  <c r="K162" i="8"/>
  <c r="L161" i="8"/>
  <c r="K161" i="8"/>
  <c r="C161" i="8"/>
  <c r="B161" i="8"/>
  <c r="B156" i="8"/>
  <c r="BR134" i="8"/>
  <c r="BQ134" i="8"/>
  <c r="BP134" i="8"/>
  <c r="BO134" i="8"/>
  <c r="BN134" i="8"/>
  <c r="BM134" i="8"/>
  <c r="BI134" i="8"/>
  <c r="BH134" i="8"/>
  <c r="BG134" i="8"/>
  <c r="BF134" i="8"/>
  <c r="AZ134" i="8"/>
  <c r="AY134" i="8"/>
  <c r="AX134" i="8"/>
  <c r="AW134" i="8"/>
  <c r="AV134" i="8"/>
  <c r="AU134" i="8"/>
  <c r="AQ134" i="8"/>
  <c r="AP134" i="8"/>
  <c r="AO134" i="8"/>
  <c r="AN134" i="8"/>
  <c r="AM134" i="8"/>
  <c r="AL134" i="8"/>
  <c r="AH134" i="8"/>
  <c r="AG134" i="8"/>
  <c r="AF134" i="8"/>
  <c r="AE134" i="8"/>
  <c r="AD134" i="8"/>
  <c r="AC134" i="8"/>
  <c r="Y134" i="8"/>
  <c r="X134" i="8"/>
  <c r="W134" i="8"/>
  <c r="V134" i="8"/>
  <c r="U134" i="8"/>
  <c r="T134" i="8"/>
  <c r="P134" i="8"/>
  <c r="O134" i="8"/>
  <c r="N134" i="8"/>
  <c r="M134" i="8"/>
  <c r="L134" i="8"/>
  <c r="K134" i="8"/>
  <c r="C134" i="8"/>
  <c r="D134" i="8"/>
  <c r="E134" i="8"/>
  <c r="F134" i="8"/>
  <c r="G134" i="8"/>
  <c r="B134" i="8"/>
  <c r="AV118" i="8"/>
  <c r="AU118" i="8"/>
  <c r="AL119" i="8"/>
  <c r="AS119" i="8" s="1"/>
  <c r="AN118" i="8"/>
  <c r="AM118" i="8"/>
  <c r="AL118" i="8"/>
  <c r="AL117" i="8"/>
  <c r="AL116" i="8"/>
  <c r="AN120" i="8"/>
  <c r="AS120" i="8" s="1"/>
  <c r="AL129" i="8"/>
  <c r="AL128" i="8"/>
  <c r="AM127" i="8"/>
  <c r="AM126" i="8"/>
  <c r="AM125" i="8"/>
  <c r="AM124" i="8"/>
  <c r="AM123" i="8"/>
  <c r="AC129" i="8"/>
  <c r="AC128" i="8"/>
  <c r="AD124" i="8"/>
  <c r="AD125" i="8"/>
  <c r="AD126" i="8"/>
  <c r="AD127" i="8"/>
  <c r="AD123" i="8"/>
  <c r="AE120" i="8"/>
  <c r="AC119" i="8"/>
  <c r="AC119" i="7"/>
  <c r="AE118" i="8"/>
  <c r="AD118" i="8"/>
  <c r="AC118" i="8"/>
  <c r="AC117" i="8"/>
  <c r="AJ117" i="8" s="1"/>
  <c r="AC116" i="8"/>
  <c r="V120" i="8"/>
  <c r="V121" i="8" s="1"/>
  <c r="V132" i="8" s="1"/>
  <c r="T119" i="8"/>
  <c r="AA119" i="8" s="1"/>
  <c r="V118" i="8"/>
  <c r="U118" i="8"/>
  <c r="T118" i="8"/>
  <c r="T117" i="8"/>
  <c r="T129" i="8"/>
  <c r="T128" i="8"/>
  <c r="U124" i="8"/>
  <c r="U125" i="8"/>
  <c r="U126" i="8"/>
  <c r="U127" i="8"/>
  <c r="U123" i="8"/>
  <c r="M120" i="8"/>
  <c r="K119" i="8"/>
  <c r="R119" i="8" s="1"/>
  <c r="M118" i="8"/>
  <c r="L118" i="8"/>
  <c r="K118" i="8"/>
  <c r="K117" i="8"/>
  <c r="R117" i="8" s="1"/>
  <c r="K128" i="8"/>
  <c r="L127" i="8"/>
  <c r="L125" i="8"/>
  <c r="L123" i="8"/>
  <c r="B128" i="8"/>
  <c r="C124" i="8"/>
  <c r="C125" i="8"/>
  <c r="C123" i="8"/>
  <c r="D120" i="8"/>
  <c r="B119" i="8"/>
  <c r="D118" i="8"/>
  <c r="C118" i="8"/>
  <c r="B118" i="8"/>
  <c r="B117" i="8"/>
  <c r="T116" i="8"/>
  <c r="K116" i="8"/>
  <c r="B116" i="8"/>
  <c r="BM118" i="8"/>
  <c r="BO120" i="8"/>
  <c r="BF120" i="8"/>
  <c r="BD119" i="8"/>
  <c r="BK119" i="8" s="1"/>
  <c r="G119" i="11" s="1"/>
  <c r="BM116" i="8"/>
  <c r="BD116" i="8"/>
  <c r="BD118" i="8"/>
  <c r="BD117" i="8"/>
  <c r="BK117" i="8" s="1"/>
  <c r="G117" i="11" s="1"/>
  <c r="CA120" i="8"/>
  <c r="BZ120" i="8"/>
  <c r="BY120" i="8"/>
  <c r="BW120" i="8"/>
  <c r="BV120" i="8"/>
  <c r="BT120" i="8"/>
  <c r="BK120" i="8"/>
  <c r="G120" i="11" s="1"/>
  <c r="BB120" i="8"/>
  <c r="G120" i="9" s="1"/>
  <c r="AJ120" i="8"/>
  <c r="CA119" i="8"/>
  <c r="BZ119" i="8"/>
  <c r="BY119" i="8"/>
  <c r="BX119" i="8"/>
  <c r="BW119" i="8"/>
  <c r="BT119" i="8"/>
  <c r="BM119" i="8"/>
  <c r="BB119" i="8"/>
  <c r="G119" i="9" s="1"/>
  <c r="AU119" i="8"/>
  <c r="AJ119" i="8"/>
  <c r="BZ118" i="8"/>
  <c r="BQ118" i="8"/>
  <c r="BO118" i="8"/>
  <c r="BN118" i="8"/>
  <c r="BT118" i="8"/>
  <c r="BJ118" i="8"/>
  <c r="BI118" i="8"/>
  <c r="BH118" i="8"/>
  <c r="BG118" i="8"/>
  <c r="BF118" i="8"/>
  <c r="BE118" i="8"/>
  <c r="AY118" i="8"/>
  <c r="AX118" i="8"/>
  <c r="AX121" i="8" s="1"/>
  <c r="AW118" i="8"/>
  <c r="AW121" i="8" s="1"/>
  <c r="AW132" i="8" s="1"/>
  <c r="AV121" i="8"/>
  <c r="AV132" i="8" s="1"/>
  <c r="AP118" i="8"/>
  <c r="AO118" i="8"/>
  <c r="AG118" i="8"/>
  <c r="AF118" i="8"/>
  <c r="AJ118" i="8"/>
  <c r="Z118" i="8"/>
  <c r="Y118" i="8"/>
  <c r="CA118" i="8" s="1"/>
  <c r="X118" i="8"/>
  <c r="W118" i="8"/>
  <c r="O118" i="8"/>
  <c r="O121" i="8" s="1"/>
  <c r="N118" i="8"/>
  <c r="E118" i="8"/>
  <c r="BY118" i="8" s="1"/>
  <c r="I118" i="8"/>
  <c r="CA117" i="8"/>
  <c r="BZ117" i="8"/>
  <c r="BY117" i="8"/>
  <c r="BX117" i="8"/>
  <c r="BW117" i="8"/>
  <c r="BT117" i="8"/>
  <c r="BM117" i="8"/>
  <c r="BB117" i="8"/>
  <c r="AU117" i="8"/>
  <c r="AS117" i="8"/>
  <c r="AA117" i="8"/>
  <c r="BM114" i="8"/>
  <c r="AV115" i="8"/>
  <c r="AM115" i="8"/>
  <c r="AL114" i="8"/>
  <c r="AD115" i="8"/>
  <c r="AC114" i="8"/>
  <c r="U115" i="8"/>
  <c r="T114" i="8"/>
  <c r="L115" i="8"/>
  <c r="K114" i="8"/>
  <c r="C115" i="8"/>
  <c r="BM113" i="8"/>
  <c r="BM112" i="8"/>
  <c r="BM111" i="8"/>
  <c r="BM110" i="8"/>
  <c r="BM109" i="8"/>
  <c r="BM108" i="8"/>
  <c r="BM107" i="8"/>
  <c r="BD113" i="8"/>
  <c r="BD112" i="8"/>
  <c r="BD111" i="8"/>
  <c r="BD110" i="8"/>
  <c r="BK110" i="8" s="1"/>
  <c r="G110" i="11" s="1"/>
  <c r="BD109" i="8"/>
  <c r="BD108" i="8"/>
  <c r="BD107" i="8"/>
  <c r="AU113" i="8"/>
  <c r="AU112" i="8"/>
  <c r="AU111" i="8"/>
  <c r="AU110" i="8"/>
  <c r="AU109" i="8"/>
  <c r="AU108" i="8"/>
  <c r="AU107" i="8"/>
  <c r="BB107" i="8" s="1"/>
  <c r="G107" i="9" s="1"/>
  <c r="AL113" i="8"/>
  <c r="AL112" i="8"/>
  <c r="AL111" i="8"/>
  <c r="AL110" i="8"/>
  <c r="AL109" i="8"/>
  <c r="AS109" i="8" s="1"/>
  <c r="AL108" i="8"/>
  <c r="AS108" i="8" s="1"/>
  <c r="AL107" i="8"/>
  <c r="AC113" i="8"/>
  <c r="AC112" i="8"/>
  <c r="AC111" i="8"/>
  <c r="AC110" i="8"/>
  <c r="AC109" i="8"/>
  <c r="AC108" i="8"/>
  <c r="AC107" i="8"/>
  <c r="T113" i="8"/>
  <c r="T112" i="8"/>
  <c r="T111" i="8"/>
  <c r="T110" i="8"/>
  <c r="T109" i="8"/>
  <c r="T108" i="8"/>
  <c r="T107" i="8"/>
  <c r="K113" i="8"/>
  <c r="K112" i="8"/>
  <c r="K111" i="8"/>
  <c r="K110" i="8"/>
  <c r="K109" i="8"/>
  <c r="K108" i="8"/>
  <c r="K107" i="8"/>
  <c r="B108" i="8"/>
  <c r="B109" i="8"/>
  <c r="B110" i="8"/>
  <c r="B111" i="8"/>
  <c r="I111" i="8" s="1"/>
  <c r="B112" i="8"/>
  <c r="B113" i="8"/>
  <c r="B107" i="8"/>
  <c r="B114" i="8"/>
  <c r="BD156" i="3"/>
  <c r="BD181" i="7"/>
  <c r="BD178" i="7"/>
  <c r="BD177" i="7"/>
  <c r="BD176" i="7"/>
  <c r="BD173" i="7"/>
  <c r="BD172" i="7"/>
  <c r="BD162" i="7"/>
  <c r="BE161" i="7"/>
  <c r="BD161" i="7"/>
  <c r="AU181" i="7"/>
  <c r="AU176" i="7"/>
  <c r="AU162" i="7"/>
  <c r="AV161" i="7"/>
  <c r="AU161" i="7"/>
  <c r="AU156" i="7"/>
  <c r="AL181" i="7"/>
  <c r="AL178" i="7"/>
  <c r="AL177" i="7"/>
  <c r="AL176" i="7"/>
  <c r="AL162" i="7"/>
  <c r="AM161" i="7"/>
  <c r="AL161" i="7"/>
  <c r="AL156" i="7"/>
  <c r="AL173" i="7"/>
  <c r="AL172" i="7"/>
  <c r="AC181" i="7"/>
  <c r="AC178" i="7"/>
  <c r="AC177" i="7"/>
  <c r="AC176" i="7"/>
  <c r="AC173" i="7"/>
  <c r="AC172" i="7"/>
  <c r="AC162" i="7"/>
  <c r="AD161" i="7"/>
  <c r="AC161" i="7"/>
  <c r="AC156" i="7"/>
  <c r="T162" i="7"/>
  <c r="U161" i="7"/>
  <c r="T161" i="7"/>
  <c r="T156" i="7"/>
  <c r="T172" i="7"/>
  <c r="T173" i="7"/>
  <c r="T176" i="7"/>
  <c r="T177" i="7"/>
  <c r="T178" i="7"/>
  <c r="T181" i="7"/>
  <c r="K181" i="7"/>
  <c r="K178" i="7"/>
  <c r="K177" i="7"/>
  <c r="K176" i="7"/>
  <c r="K173" i="7"/>
  <c r="K172" i="7"/>
  <c r="K162" i="7"/>
  <c r="L161" i="7"/>
  <c r="K161" i="7"/>
  <c r="K156" i="7"/>
  <c r="BD200" i="7"/>
  <c r="BD201" i="7"/>
  <c r="BD202" i="7"/>
  <c r="BD203" i="7"/>
  <c r="BD199" i="7"/>
  <c r="BD204" i="7"/>
  <c r="AL204" i="7"/>
  <c r="AL203" i="7"/>
  <c r="AL202" i="7"/>
  <c r="AL201" i="7"/>
  <c r="AL200" i="7"/>
  <c r="AL199" i="7"/>
  <c r="AC204" i="7"/>
  <c r="AC203" i="7"/>
  <c r="AC202" i="7"/>
  <c r="AC201" i="7"/>
  <c r="AC200" i="7"/>
  <c r="AC199" i="7"/>
  <c r="T204" i="7"/>
  <c r="T203" i="7"/>
  <c r="T202" i="7"/>
  <c r="T201" i="7"/>
  <c r="T200" i="7"/>
  <c r="T199" i="7"/>
  <c r="K204" i="7"/>
  <c r="K203" i="7"/>
  <c r="K202" i="7"/>
  <c r="K201" i="7"/>
  <c r="K200" i="7"/>
  <c r="K199" i="7"/>
  <c r="B200" i="7"/>
  <c r="B201" i="7"/>
  <c r="B202" i="7"/>
  <c r="B203" i="7"/>
  <c r="B204" i="7"/>
  <c r="B199" i="7"/>
  <c r="B181" i="7"/>
  <c r="B178" i="7"/>
  <c r="B177" i="7"/>
  <c r="B176" i="7"/>
  <c r="B173" i="7"/>
  <c r="B172" i="7"/>
  <c r="B162" i="7"/>
  <c r="C161" i="7"/>
  <c r="B161" i="7"/>
  <c r="B156" i="7"/>
  <c r="BR134" i="7"/>
  <c r="BQ134" i="7"/>
  <c r="BP134" i="7"/>
  <c r="BO134" i="7"/>
  <c r="BN134" i="7"/>
  <c r="BM134" i="7"/>
  <c r="BJ134" i="7"/>
  <c r="BI134" i="7"/>
  <c r="BH134" i="7"/>
  <c r="BG134" i="7"/>
  <c r="BF134" i="7"/>
  <c r="BA134" i="7"/>
  <c r="AZ134" i="7"/>
  <c r="AY134" i="7"/>
  <c r="AX134" i="7"/>
  <c r="AW134" i="7"/>
  <c r="AV134" i="7"/>
  <c r="AU134" i="7"/>
  <c r="AR134" i="7"/>
  <c r="AQ134" i="7"/>
  <c r="AP134" i="7"/>
  <c r="AO134" i="7"/>
  <c r="AN134" i="7"/>
  <c r="AM134" i="7"/>
  <c r="AL134" i="7"/>
  <c r="AI134" i="7"/>
  <c r="AH134" i="7"/>
  <c r="AG134" i="7"/>
  <c r="AF134" i="7"/>
  <c r="AE134" i="7"/>
  <c r="AD134" i="7"/>
  <c r="Z134" i="7"/>
  <c r="Y134" i="7"/>
  <c r="X134" i="7"/>
  <c r="W134" i="7"/>
  <c r="V134" i="7"/>
  <c r="U134" i="7"/>
  <c r="T134" i="7"/>
  <c r="Q134" i="7"/>
  <c r="P134" i="7"/>
  <c r="O134" i="7"/>
  <c r="N134" i="7"/>
  <c r="M134" i="7"/>
  <c r="L134" i="7"/>
  <c r="K134" i="7"/>
  <c r="C134" i="7"/>
  <c r="D134" i="7"/>
  <c r="E134" i="7"/>
  <c r="F134" i="7"/>
  <c r="G134" i="7"/>
  <c r="H134" i="7"/>
  <c r="B134" i="7"/>
  <c r="AN120" i="7"/>
  <c r="AL119" i="7"/>
  <c r="AN118" i="7"/>
  <c r="AM118" i="7"/>
  <c r="AL118" i="7"/>
  <c r="AL117" i="7"/>
  <c r="AL116" i="7"/>
  <c r="BV116" i="7" s="1"/>
  <c r="CC116" i="7" s="1"/>
  <c r="F116" i="10" s="1"/>
  <c r="AE120" i="7"/>
  <c r="AE118" i="7"/>
  <c r="AD118" i="7"/>
  <c r="AC118" i="7"/>
  <c r="AC117" i="7"/>
  <c r="AC116" i="7"/>
  <c r="V120" i="7"/>
  <c r="T119" i="7"/>
  <c r="V118" i="7"/>
  <c r="U118" i="7"/>
  <c r="T118" i="7"/>
  <c r="T117" i="7"/>
  <c r="AA117" i="7" s="1"/>
  <c r="T116" i="7"/>
  <c r="M120" i="7"/>
  <c r="K119" i="7"/>
  <c r="M118" i="7"/>
  <c r="L118" i="7"/>
  <c r="K118" i="7"/>
  <c r="K117" i="7"/>
  <c r="D120" i="7"/>
  <c r="B119" i="7"/>
  <c r="D118" i="7"/>
  <c r="C118" i="7"/>
  <c r="B118" i="7"/>
  <c r="B117" i="7"/>
  <c r="K116" i="7"/>
  <c r="B116" i="7"/>
  <c r="BO120" i="7"/>
  <c r="BM118" i="7"/>
  <c r="BM116" i="7"/>
  <c r="BM114" i="7"/>
  <c r="BF120" i="7"/>
  <c r="BD119" i="7"/>
  <c r="BD118" i="7"/>
  <c r="BD117" i="7"/>
  <c r="BD116" i="7"/>
  <c r="BE115" i="7"/>
  <c r="AV118" i="7"/>
  <c r="AU118" i="7"/>
  <c r="AV115" i="7"/>
  <c r="AM115" i="7"/>
  <c r="AL114" i="7"/>
  <c r="AD115" i="7"/>
  <c r="AC114" i="7"/>
  <c r="U115" i="7"/>
  <c r="T114" i="7"/>
  <c r="L115" i="7"/>
  <c r="K114" i="7"/>
  <c r="C115" i="7"/>
  <c r="B114" i="7"/>
  <c r="AL129" i="7"/>
  <c r="AL128" i="7"/>
  <c r="AM127" i="7"/>
  <c r="AM126" i="7"/>
  <c r="AM125" i="7"/>
  <c r="AC129" i="7"/>
  <c r="AC128" i="7"/>
  <c r="AD124" i="7"/>
  <c r="AD125" i="7"/>
  <c r="AD126" i="7"/>
  <c r="AD127" i="7"/>
  <c r="AD123" i="7"/>
  <c r="T129" i="7"/>
  <c r="T128" i="7"/>
  <c r="U124" i="7"/>
  <c r="U125" i="7"/>
  <c r="U126" i="7"/>
  <c r="U127" i="7"/>
  <c r="U123" i="7"/>
  <c r="K128" i="7"/>
  <c r="L127" i="7"/>
  <c r="L125" i="7"/>
  <c r="L123" i="7"/>
  <c r="C123" i="7"/>
  <c r="B128" i="7"/>
  <c r="BM113" i="7"/>
  <c r="BM112" i="7"/>
  <c r="BM111" i="7"/>
  <c r="BM110" i="7"/>
  <c r="BM109" i="7"/>
  <c r="BM108" i="7"/>
  <c r="BM107" i="7"/>
  <c r="BD113" i="7"/>
  <c r="BD112" i="7"/>
  <c r="BD111" i="7"/>
  <c r="BD110" i="7"/>
  <c r="BD109" i="7"/>
  <c r="BD108" i="7"/>
  <c r="BD107" i="7"/>
  <c r="AU113" i="7"/>
  <c r="AU112" i="7"/>
  <c r="AU111" i="7"/>
  <c r="AU110" i="7"/>
  <c r="AU109" i="7"/>
  <c r="AU108" i="7"/>
  <c r="AU107" i="7"/>
  <c r="AL113" i="7"/>
  <c r="AL112" i="7"/>
  <c r="AL111" i="7"/>
  <c r="AL110" i="7"/>
  <c r="AL109" i="7"/>
  <c r="AL108" i="7"/>
  <c r="AL107" i="7"/>
  <c r="AC113" i="7"/>
  <c r="AC112" i="7"/>
  <c r="AC111" i="7"/>
  <c r="AC110" i="7"/>
  <c r="AC109" i="7"/>
  <c r="AC108" i="7"/>
  <c r="AC107" i="7"/>
  <c r="T113" i="7"/>
  <c r="T112" i="7"/>
  <c r="T111" i="7"/>
  <c r="T110" i="7"/>
  <c r="T109" i="7"/>
  <c r="T108" i="7"/>
  <c r="T107" i="7"/>
  <c r="K113" i="7"/>
  <c r="K112" i="7"/>
  <c r="K111" i="7"/>
  <c r="K110" i="7"/>
  <c r="K109" i="7"/>
  <c r="K108" i="7"/>
  <c r="K107" i="7"/>
  <c r="B108" i="7"/>
  <c r="B109" i="7"/>
  <c r="B110" i="7"/>
  <c r="B111" i="7"/>
  <c r="B112" i="7"/>
  <c r="B113" i="7"/>
  <c r="B107" i="7"/>
  <c r="I107" i="7" s="1"/>
  <c r="BX115" i="6"/>
  <c r="BD181" i="6"/>
  <c r="BD178" i="6"/>
  <c r="BD177" i="6"/>
  <c r="BD176" i="6"/>
  <c r="BD173" i="6"/>
  <c r="BD172" i="6"/>
  <c r="BD162" i="6"/>
  <c r="BE161" i="6"/>
  <c r="BD161" i="6"/>
  <c r="BD156" i="6"/>
  <c r="BD156" i="7" s="1"/>
  <c r="AU181" i="6"/>
  <c r="AU176" i="6"/>
  <c r="AU156" i="6"/>
  <c r="AL181" i="6"/>
  <c r="AL178" i="6"/>
  <c r="AL177" i="6"/>
  <c r="AL176" i="6"/>
  <c r="AL173" i="6"/>
  <c r="AL172" i="6"/>
  <c r="AL162" i="6"/>
  <c r="AM161" i="6"/>
  <c r="AL161" i="6"/>
  <c r="AL156" i="6"/>
  <c r="BD177" i="3"/>
  <c r="BD178" i="3"/>
  <c r="AL178" i="3"/>
  <c r="AL177" i="3"/>
  <c r="AC178" i="3"/>
  <c r="T178" i="3"/>
  <c r="T178" i="6" s="1"/>
  <c r="AA178" i="6" s="1"/>
  <c r="B178" i="3"/>
  <c r="K178" i="3"/>
  <c r="K178" i="6" s="1"/>
  <c r="AC181" i="6"/>
  <c r="AC178" i="6"/>
  <c r="AC177" i="6"/>
  <c r="AC176" i="6"/>
  <c r="AC173" i="6"/>
  <c r="AC172" i="6"/>
  <c r="AC162" i="6"/>
  <c r="AD161" i="6"/>
  <c r="AC161" i="6"/>
  <c r="AC156" i="6"/>
  <c r="T177" i="6"/>
  <c r="T156" i="6"/>
  <c r="T162" i="6"/>
  <c r="AA162" i="6" s="1"/>
  <c r="B178" i="6"/>
  <c r="T172" i="6"/>
  <c r="T173" i="6"/>
  <c r="T176" i="6"/>
  <c r="T181" i="6"/>
  <c r="U161" i="6"/>
  <c r="T161" i="6"/>
  <c r="K181" i="6"/>
  <c r="K177" i="6"/>
  <c r="K176" i="6"/>
  <c r="K173" i="6"/>
  <c r="K172" i="6"/>
  <c r="K162" i="3"/>
  <c r="B162" i="6"/>
  <c r="K162" i="6"/>
  <c r="L161" i="6"/>
  <c r="K161" i="6"/>
  <c r="C161" i="6"/>
  <c r="B161" i="6"/>
  <c r="B156" i="6"/>
  <c r="K156" i="6"/>
  <c r="BD200" i="6"/>
  <c r="BD201" i="6"/>
  <c r="BD202" i="6"/>
  <c r="BD203" i="6"/>
  <c r="BD199" i="6"/>
  <c r="BD204" i="6"/>
  <c r="AL204" i="6"/>
  <c r="AL203" i="6"/>
  <c r="AL202" i="6"/>
  <c r="AL201" i="6"/>
  <c r="AL200" i="6"/>
  <c r="AL199" i="6"/>
  <c r="AC204" i="6"/>
  <c r="AC203" i="6"/>
  <c r="AC202" i="6"/>
  <c r="AC201" i="6"/>
  <c r="AC200" i="6"/>
  <c r="AC199" i="6"/>
  <c r="T204" i="6"/>
  <c r="T203" i="6"/>
  <c r="T202" i="6"/>
  <c r="T201" i="6"/>
  <c r="T200" i="6"/>
  <c r="T199" i="6"/>
  <c r="K204" i="6"/>
  <c r="K203" i="6"/>
  <c r="K202" i="6"/>
  <c r="K201" i="6"/>
  <c r="K200" i="6"/>
  <c r="K199" i="6"/>
  <c r="B200" i="6"/>
  <c r="B201" i="6"/>
  <c r="B202" i="6"/>
  <c r="B203" i="6"/>
  <c r="B204" i="6"/>
  <c r="B199" i="6"/>
  <c r="B181" i="6"/>
  <c r="B177" i="6"/>
  <c r="B176" i="6"/>
  <c r="B173" i="6"/>
  <c r="B172" i="6"/>
  <c r="BR134" i="6"/>
  <c r="BQ134" i="6"/>
  <c r="BP134" i="6"/>
  <c r="BO134" i="6"/>
  <c r="BN134" i="6"/>
  <c r="BM134" i="6"/>
  <c r="BI134" i="6"/>
  <c r="BH134" i="6"/>
  <c r="BG134" i="6"/>
  <c r="BF134" i="6"/>
  <c r="AZ134" i="6"/>
  <c r="AY134" i="6"/>
  <c r="AX134" i="6"/>
  <c r="AW134" i="6"/>
  <c r="AV134" i="6"/>
  <c r="AU134" i="6"/>
  <c r="AQ134" i="6"/>
  <c r="AP134" i="6"/>
  <c r="AO134" i="6"/>
  <c r="AN134" i="6"/>
  <c r="AM134" i="6"/>
  <c r="AL134" i="6"/>
  <c r="AH134" i="6"/>
  <c r="AG134" i="6"/>
  <c r="AF134" i="6"/>
  <c r="AE134" i="6"/>
  <c r="AD134" i="6"/>
  <c r="AC134" i="6"/>
  <c r="Y134" i="6"/>
  <c r="X134" i="6"/>
  <c r="W134" i="6"/>
  <c r="V134" i="6"/>
  <c r="U134" i="6"/>
  <c r="T134" i="6"/>
  <c r="P134" i="6"/>
  <c r="O134" i="6"/>
  <c r="N134" i="6"/>
  <c r="M134" i="6"/>
  <c r="L134" i="6"/>
  <c r="K134" i="6"/>
  <c r="C134" i="6"/>
  <c r="D134" i="6"/>
  <c r="E134" i="6"/>
  <c r="F134" i="6"/>
  <c r="G134" i="6"/>
  <c r="B134" i="6"/>
  <c r="C123" i="6"/>
  <c r="D120" i="6"/>
  <c r="B128" i="6"/>
  <c r="D120" i="3"/>
  <c r="D120" i="2"/>
  <c r="C118" i="6"/>
  <c r="B119" i="6"/>
  <c r="B118" i="6"/>
  <c r="B117" i="6"/>
  <c r="K128" i="6"/>
  <c r="L127" i="6"/>
  <c r="L125" i="6"/>
  <c r="L123" i="6"/>
  <c r="M120" i="6"/>
  <c r="K119" i="6"/>
  <c r="M118" i="6"/>
  <c r="L118" i="6"/>
  <c r="K118" i="6"/>
  <c r="K117" i="6"/>
  <c r="V120" i="6"/>
  <c r="T119" i="6"/>
  <c r="V118" i="6"/>
  <c r="U118" i="6"/>
  <c r="T118" i="6"/>
  <c r="T117" i="6"/>
  <c r="T129" i="6"/>
  <c r="T128" i="6"/>
  <c r="U127" i="6"/>
  <c r="U126" i="6"/>
  <c r="U125" i="6"/>
  <c r="U124" i="6"/>
  <c r="U123" i="6"/>
  <c r="AC117" i="6"/>
  <c r="AE120" i="6"/>
  <c r="AE118" i="6"/>
  <c r="AD118" i="6"/>
  <c r="AC118" i="6"/>
  <c r="AC119" i="6"/>
  <c r="AC129" i="6"/>
  <c r="AC128" i="6"/>
  <c r="AD127" i="6"/>
  <c r="AD125" i="6"/>
  <c r="AD124" i="6"/>
  <c r="AD123" i="6"/>
  <c r="AM126" i="6"/>
  <c r="AM125" i="6"/>
  <c r="AL129" i="6"/>
  <c r="AL128" i="6"/>
  <c r="AM127" i="6"/>
  <c r="AN120" i="6"/>
  <c r="AL119" i="6"/>
  <c r="AN118" i="6"/>
  <c r="AM118" i="6"/>
  <c r="AL118" i="6"/>
  <c r="AL117" i="6"/>
  <c r="AU118" i="6"/>
  <c r="AV118" i="6"/>
  <c r="BF120" i="6"/>
  <c r="BD119" i="6"/>
  <c r="BD118" i="6"/>
  <c r="BD117" i="6"/>
  <c r="J114" i="6"/>
  <c r="AL116" i="6"/>
  <c r="AC116" i="6"/>
  <c r="T116" i="6"/>
  <c r="K116" i="6"/>
  <c r="B116" i="6"/>
  <c r="BD116" i="6"/>
  <c r="BM116" i="6"/>
  <c r="BM114" i="6"/>
  <c r="BE115" i="6"/>
  <c r="AV115" i="6"/>
  <c r="AM115" i="6"/>
  <c r="AL114" i="6"/>
  <c r="AC114" i="6"/>
  <c r="AD115" i="6"/>
  <c r="U115" i="6"/>
  <c r="T114" i="6"/>
  <c r="L115" i="6"/>
  <c r="K114" i="6"/>
  <c r="C115" i="6"/>
  <c r="B114" i="6"/>
  <c r="BM113" i="6"/>
  <c r="BM112" i="6"/>
  <c r="BM111" i="6"/>
  <c r="BM110" i="6"/>
  <c r="BM109" i="6"/>
  <c r="BM108" i="6"/>
  <c r="BM107" i="6"/>
  <c r="BD113" i="6"/>
  <c r="BD112" i="6"/>
  <c r="BD111" i="6"/>
  <c r="BD110" i="6"/>
  <c r="BD109" i="6"/>
  <c r="BD108" i="6"/>
  <c r="BD107" i="6"/>
  <c r="AU113" i="6"/>
  <c r="AU112" i="6"/>
  <c r="AU111" i="6"/>
  <c r="AU110" i="6"/>
  <c r="AU109" i="6"/>
  <c r="AU108" i="6"/>
  <c r="AU107" i="6"/>
  <c r="AL113" i="6"/>
  <c r="AL112" i="6"/>
  <c r="AL111" i="6"/>
  <c r="AL110" i="6"/>
  <c r="AL109" i="6"/>
  <c r="AL108" i="6"/>
  <c r="AL107" i="6"/>
  <c r="AC113" i="6"/>
  <c r="AC112" i="6"/>
  <c r="AC111" i="6"/>
  <c r="AC110" i="6"/>
  <c r="AC109" i="6"/>
  <c r="AC108" i="6"/>
  <c r="AC107" i="6"/>
  <c r="T113" i="6"/>
  <c r="T112" i="6"/>
  <c r="T111" i="6"/>
  <c r="T110" i="6"/>
  <c r="T109" i="6"/>
  <c r="T108" i="6"/>
  <c r="T107" i="6"/>
  <c r="K113" i="6"/>
  <c r="K112" i="6"/>
  <c r="K111" i="6"/>
  <c r="K110" i="6"/>
  <c r="K109" i="6"/>
  <c r="K108" i="6"/>
  <c r="K107" i="6"/>
  <c r="B108" i="6"/>
  <c r="B109" i="6"/>
  <c r="B110" i="6"/>
  <c r="B111" i="6"/>
  <c r="B112" i="6"/>
  <c r="B113" i="6"/>
  <c r="B107" i="6"/>
  <c r="B214" i="11"/>
  <c r="C214" i="11"/>
  <c r="D214" i="11"/>
  <c r="E214" i="11"/>
  <c r="F214" i="11"/>
  <c r="G214" i="11"/>
  <c r="B215" i="11"/>
  <c r="C215" i="11"/>
  <c r="D215" i="11"/>
  <c r="E215" i="11"/>
  <c r="F215" i="11"/>
  <c r="G215" i="11"/>
  <c r="B216" i="11"/>
  <c r="C216" i="11"/>
  <c r="D216" i="11"/>
  <c r="E216" i="11"/>
  <c r="F216" i="11"/>
  <c r="G216" i="11"/>
  <c r="D213" i="11"/>
  <c r="C213" i="11"/>
  <c r="B213" i="11"/>
  <c r="B200" i="11"/>
  <c r="C200" i="11"/>
  <c r="D200" i="11"/>
  <c r="G200" i="11"/>
  <c r="B201" i="11"/>
  <c r="C201" i="11"/>
  <c r="D201" i="11"/>
  <c r="B202" i="11"/>
  <c r="C202" i="11"/>
  <c r="D202" i="11"/>
  <c r="B203" i="11"/>
  <c r="C203" i="11"/>
  <c r="D203" i="11"/>
  <c r="G203" i="11"/>
  <c r="B204" i="11"/>
  <c r="C204" i="11"/>
  <c r="D204" i="11"/>
  <c r="B205" i="11"/>
  <c r="C205" i="11"/>
  <c r="D205" i="11"/>
  <c r="E205" i="11"/>
  <c r="F205" i="11"/>
  <c r="G205" i="11"/>
  <c r="B206" i="11"/>
  <c r="C206" i="11"/>
  <c r="D206" i="11"/>
  <c r="E206" i="11"/>
  <c r="F206" i="11"/>
  <c r="G206" i="11"/>
  <c r="B207" i="11"/>
  <c r="C207" i="11"/>
  <c r="B208" i="11"/>
  <c r="C208" i="11"/>
  <c r="E208" i="11"/>
  <c r="F208" i="11"/>
  <c r="D199" i="11"/>
  <c r="C199" i="11"/>
  <c r="B199" i="11"/>
  <c r="B209" i="11" s="1"/>
  <c r="B173" i="11"/>
  <c r="C173" i="11"/>
  <c r="D173" i="11"/>
  <c r="B174" i="11"/>
  <c r="B197" i="11" s="1"/>
  <c r="C174" i="11"/>
  <c r="D174" i="11"/>
  <c r="E174" i="11"/>
  <c r="F174" i="11"/>
  <c r="G174" i="11"/>
  <c r="B175" i="11"/>
  <c r="C175" i="11"/>
  <c r="D175" i="11"/>
  <c r="E175" i="11"/>
  <c r="F175" i="11"/>
  <c r="G175" i="11"/>
  <c r="B176" i="11"/>
  <c r="C176" i="11"/>
  <c r="D176" i="11"/>
  <c r="G176" i="11"/>
  <c r="B177" i="11"/>
  <c r="C177" i="11"/>
  <c r="B178" i="11"/>
  <c r="C178" i="11"/>
  <c r="B179" i="11"/>
  <c r="C179" i="11"/>
  <c r="D179" i="11"/>
  <c r="E179" i="11"/>
  <c r="F179" i="11"/>
  <c r="G179" i="11"/>
  <c r="B180" i="11"/>
  <c r="C180" i="11"/>
  <c r="D180" i="11"/>
  <c r="E180" i="11"/>
  <c r="F180" i="11"/>
  <c r="G180" i="11"/>
  <c r="B181" i="11"/>
  <c r="C181" i="11"/>
  <c r="D181" i="11"/>
  <c r="F181" i="11"/>
  <c r="G181" i="11"/>
  <c r="B182" i="11"/>
  <c r="C182" i="11"/>
  <c r="D182" i="11"/>
  <c r="E182" i="11"/>
  <c r="F182" i="11"/>
  <c r="G182" i="11"/>
  <c r="B183" i="11"/>
  <c r="C183" i="11"/>
  <c r="D183" i="11"/>
  <c r="E183" i="11"/>
  <c r="F183" i="11"/>
  <c r="G183" i="11"/>
  <c r="B184" i="11"/>
  <c r="C184" i="11"/>
  <c r="D184" i="11"/>
  <c r="E184" i="11"/>
  <c r="F184" i="11"/>
  <c r="G184" i="11"/>
  <c r="B185" i="11"/>
  <c r="C185" i="11"/>
  <c r="D185" i="11"/>
  <c r="E185" i="11"/>
  <c r="F185" i="11"/>
  <c r="G185" i="11"/>
  <c r="B186" i="11"/>
  <c r="C186" i="11"/>
  <c r="D186" i="11"/>
  <c r="E186" i="11"/>
  <c r="F186" i="11"/>
  <c r="G186" i="11"/>
  <c r="B187" i="11"/>
  <c r="C187" i="11"/>
  <c r="D187" i="11"/>
  <c r="E187" i="11"/>
  <c r="F187" i="11"/>
  <c r="G187" i="11"/>
  <c r="B188" i="11"/>
  <c r="C188" i="11"/>
  <c r="D188" i="11"/>
  <c r="E188" i="11"/>
  <c r="F188" i="11"/>
  <c r="G188" i="11"/>
  <c r="B189" i="11"/>
  <c r="C189" i="11"/>
  <c r="D189" i="11"/>
  <c r="E189" i="11"/>
  <c r="F189" i="11"/>
  <c r="G189" i="11"/>
  <c r="B190" i="11"/>
  <c r="C190" i="11"/>
  <c r="D190" i="11"/>
  <c r="E190" i="11"/>
  <c r="F190" i="11"/>
  <c r="G190" i="11"/>
  <c r="B191" i="11"/>
  <c r="C191" i="11"/>
  <c r="D191" i="11"/>
  <c r="E191" i="11"/>
  <c r="F191" i="11"/>
  <c r="G191" i="11"/>
  <c r="B192" i="11"/>
  <c r="C192" i="11"/>
  <c r="D192" i="11"/>
  <c r="E192" i="11"/>
  <c r="F192" i="11"/>
  <c r="G192" i="11"/>
  <c r="B193" i="11"/>
  <c r="C193" i="11"/>
  <c r="D193" i="11"/>
  <c r="E193" i="11"/>
  <c r="F193" i="11"/>
  <c r="G193" i="11"/>
  <c r="B194" i="11"/>
  <c r="C194" i="11"/>
  <c r="D194" i="11"/>
  <c r="E194" i="11"/>
  <c r="F194" i="11"/>
  <c r="G194" i="11"/>
  <c r="B195" i="11"/>
  <c r="C195" i="11"/>
  <c r="D195" i="11"/>
  <c r="E195" i="11"/>
  <c r="F195" i="11"/>
  <c r="G195" i="11"/>
  <c r="B196" i="11"/>
  <c r="C196" i="11"/>
  <c r="D172" i="11"/>
  <c r="C172" i="11"/>
  <c r="C197" i="11" s="1"/>
  <c r="B172" i="11"/>
  <c r="B157" i="11"/>
  <c r="C157" i="11"/>
  <c r="D157" i="11"/>
  <c r="E157" i="11"/>
  <c r="F157" i="11"/>
  <c r="G157" i="11"/>
  <c r="B158" i="11"/>
  <c r="C158" i="11"/>
  <c r="D158" i="11"/>
  <c r="E158" i="11"/>
  <c r="F158" i="11"/>
  <c r="G158" i="11"/>
  <c r="B159" i="11"/>
  <c r="C159" i="11"/>
  <c r="D159" i="11"/>
  <c r="E159" i="11"/>
  <c r="F159" i="11"/>
  <c r="G159" i="11"/>
  <c r="B160" i="11"/>
  <c r="C160" i="11"/>
  <c r="D160" i="11"/>
  <c r="E160" i="11"/>
  <c r="F160" i="11"/>
  <c r="G160" i="11"/>
  <c r="B161" i="11"/>
  <c r="C161" i="11"/>
  <c r="D161" i="11"/>
  <c r="B162" i="11"/>
  <c r="C162" i="11"/>
  <c r="D162" i="11"/>
  <c r="B163" i="11"/>
  <c r="C163" i="11"/>
  <c r="D163" i="11"/>
  <c r="E163" i="11"/>
  <c r="F163" i="11"/>
  <c r="G163" i="11"/>
  <c r="B164" i="11"/>
  <c r="C164" i="11"/>
  <c r="D164" i="11"/>
  <c r="E164" i="11"/>
  <c r="F164" i="11"/>
  <c r="G164" i="11"/>
  <c r="B165" i="11"/>
  <c r="C165" i="11"/>
  <c r="D165" i="11"/>
  <c r="E165" i="11"/>
  <c r="F165" i="11"/>
  <c r="G165" i="11"/>
  <c r="B166" i="11"/>
  <c r="C166" i="11"/>
  <c r="D166" i="11"/>
  <c r="E166" i="11"/>
  <c r="F166" i="11"/>
  <c r="G166" i="11"/>
  <c r="B167" i="11"/>
  <c r="C167" i="11"/>
  <c r="D167" i="11"/>
  <c r="E167" i="11"/>
  <c r="F167" i="11"/>
  <c r="G167" i="11"/>
  <c r="B168" i="11"/>
  <c r="C168" i="11"/>
  <c r="D168" i="11"/>
  <c r="E168" i="11"/>
  <c r="F168" i="11"/>
  <c r="G168" i="11"/>
  <c r="B169" i="11"/>
  <c r="C169" i="11"/>
  <c r="D169" i="11"/>
  <c r="E169" i="11"/>
  <c r="F169" i="11"/>
  <c r="G169" i="11"/>
  <c r="C156" i="11"/>
  <c r="B156" i="11"/>
  <c r="B145" i="11"/>
  <c r="C145" i="11"/>
  <c r="D145" i="11"/>
  <c r="E145" i="11"/>
  <c r="F145" i="11"/>
  <c r="G145" i="11"/>
  <c r="B146" i="11"/>
  <c r="C146" i="11"/>
  <c r="D146" i="11"/>
  <c r="E146" i="11"/>
  <c r="F146" i="11"/>
  <c r="G146" i="11"/>
  <c r="B147" i="11"/>
  <c r="C147" i="11"/>
  <c r="D147" i="11"/>
  <c r="E147" i="11"/>
  <c r="F147" i="11"/>
  <c r="G147" i="11"/>
  <c r="B148" i="11"/>
  <c r="C148" i="11"/>
  <c r="D148" i="11"/>
  <c r="E148" i="11"/>
  <c r="F148" i="11"/>
  <c r="G148" i="11"/>
  <c r="B149" i="11"/>
  <c r="C149" i="11"/>
  <c r="D149" i="11"/>
  <c r="E149" i="11"/>
  <c r="F149" i="11"/>
  <c r="G149" i="11"/>
  <c r="B150" i="11"/>
  <c r="C150" i="11"/>
  <c r="D150" i="11"/>
  <c r="E150" i="11"/>
  <c r="F150" i="11"/>
  <c r="G150" i="11"/>
  <c r="B151" i="11"/>
  <c r="C151" i="11"/>
  <c r="G151" i="11"/>
  <c r="B152" i="11"/>
  <c r="C152" i="11"/>
  <c r="D152" i="11"/>
  <c r="E152" i="11"/>
  <c r="F152" i="11"/>
  <c r="G152" i="11"/>
  <c r="B153" i="11"/>
  <c r="C153" i="11"/>
  <c r="D153" i="11"/>
  <c r="E153" i="11"/>
  <c r="F153" i="11"/>
  <c r="G153" i="11"/>
  <c r="G144" i="11"/>
  <c r="F144" i="11"/>
  <c r="E144" i="11"/>
  <c r="D144" i="11"/>
  <c r="C144" i="11"/>
  <c r="B144" i="11"/>
  <c r="B154" i="11" s="1"/>
  <c r="B134" i="11"/>
  <c r="C134" i="11"/>
  <c r="D134" i="11"/>
  <c r="B135" i="11"/>
  <c r="C135" i="11"/>
  <c r="D135" i="11"/>
  <c r="B136" i="11"/>
  <c r="C136" i="11"/>
  <c r="D136" i="11"/>
  <c r="B137" i="11"/>
  <c r="C137" i="11"/>
  <c r="D137" i="11"/>
  <c r="E137" i="11"/>
  <c r="F137" i="11"/>
  <c r="G137" i="11"/>
  <c r="B138" i="11"/>
  <c r="C138" i="11"/>
  <c r="D138" i="11"/>
  <c r="E138" i="11"/>
  <c r="F138" i="11"/>
  <c r="G138" i="11"/>
  <c r="B139" i="11"/>
  <c r="C139" i="11"/>
  <c r="D139" i="11"/>
  <c r="E139" i="11"/>
  <c r="F139" i="11"/>
  <c r="G139" i="11"/>
  <c r="B140" i="11"/>
  <c r="C140" i="11"/>
  <c r="D140" i="11"/>
  <c r="D133" i="11"/>
  <c r="C133" i="11"/>
  <c r="C141" i="11" s="1"/>
  <c r="B133" i="11"/>
  <c r="B141" i="11" s="1"/>
  <c r="B124" i="11"/>
  <c r="C124" i="11"/>
  <c r="D124" i="11"/>
  <c r="E124" i="11"/>
  <c r="F124" i="11"/>
  <c r="G124" i="11"/>
  <c r="B125" i="11"/>
  <c r="C125" i="11"/>
  <c r="D125" i="11"/>
  <c r="D131" i="11" s="1"/>
  <c r="E125" i="11"/>
  <c r="F125" i="11"/>
  <c r="G125" i="11"/>
  <c r="B126" i="11"/>
  <c r="C126" i="11"/>
  <c r="D126" i="11"/>
  <c r="E126" i="11"/>
  <c r="F126" i="11"/>
  <c r="G126" i="11"/>
  <c r="B127" i="11"/>
  <c r="C127" i="11"/>
  <c r="D127" i="11"/>
  <c r="E127" i="11"/>
  <c r="F127" i="11"/>
  <c r="G127" i="11"/>
  <c r="B128" i="11"/>
  <c r="C128" i="11"/>
  <c r="D128" i="11"/>
  <c r="E128" i="11"/>
  <c r="F128" i="11"/>
  <c r="G128" i="11"/>
  <c r="B129" i="11"/>
  <c r="C129" i="11"/>
  <c r="D129" i="11"/>
  <c r="E129" i="11"/>
  <c r="F129" i="11"/>
  <c r="G129" i="11"/>
  <c r="B130" i="11"/>
  <c r="C130" i="11"/>
  <c r="D130" i="11"/>
  <c r="E130" i="11"/>
  <c r="F130" i="11"/>
  <c r="G130" i="11"/>
  <c r="G123" i="11"/>
  <c r="F123" i="11"/>
  <c r="E123" i="11"/>
  <c r="D123" i="11"/>
  <c r="C123" i="11"/>
  <c r="C131" i="11" s="1"/>
  <c r="B123" i="11"/>
  <c r="B131" i="11" s="1"/>
  <c r="B109" i="11"/>
  <c r="C109" i="11"/>
  <c r="D109" i="11"/>
  <c r="F109" i="11"/>
  <c r="B110" i="11"/>
  <c r="C110" i="11"/>
  <c r="D110" i="11"/>
  <c r="B111" i="11"/>
  <c r="C111" i="11"/>
  <c r="D111" i="11"/>
  <c r="B112" i="11"/>
  <c r="C112" i="11"/>
  <c r="D112" i="11"/>
  <c r="B113" i="11"/>
  <c r="C113" i="11"/>
  <c r="D113" i="11"/>
  <c r="B114" i="11"/>
  <c r="C114" i="11"/>
  <c r="D114" i="11"/>
  <c r="B115" i="11"/>
  <c r="C115" i="11"/>
  <c r="D115" i="11"/>
  <c r="B116" i="11"/>
  <c r="C116" i="11"/>
  <c r="D116" i="11"/>
  <c r="B117" i="11"/>
  <c r="C117" i="11"/>
  <c r="D117" i="11"/>
  <c r="B118" i="11"/>
  <c r="C118" i="11"/>
  <c r="D118" i="11"/>
  <c r="B119" i="11"/>
  <c r="C119" i="11"/>
  <c r="D119" i="11"/>
  <c r="B120" i="11"/>
  <c r="C120" i="11"/>
  <c r="D120" i="11"/>
  <c r="F120" i="11"/>
  <c r="B108" i="11"/>
  <c r="C108" i="11"/>
  <c r="D108" i="11"/>
  <c r="F108" i="11"/>
  <c r="D107" i="11"/>
  <c r="D121" i="11" s="1"/>
  <c r="C107" i="11"/>
  <c r="B107" i="11"/>
  <c r="B100" i="11"/>
  <c r="C100" i="11"/>
  <c r="D100" i="11"/>
  <c r="D103" i="11" s="1"/>
  <c r="E100" i="11"/>
  <c r="F100" i="11"/>
  <c r="F103" i="11" s="1"/>
  <c r="G100" i="11"/>
  <c r="B101" i="11"/>
  <c r="C101" i="11"/>
  <c r="C103" i="11" s="1"/>
  <c r="D101" i="11"/>
  <c r="E101" i="11"/>
  <c r="F101" i="11"/>
  <c r="G101" i="11"/>
  <c r="B102" i="11"/>
  <c r="C102" i="11"/>
  <c r="D102" i="11"/>
  <c r="E102" i="11"/>
  <c r="F102" i="11"/>
  <c r="G102" i="11"/>
  <c r="G99" i="11"/>
  <c r="F99" i="11"/>
  <c r="E99" i="11"/>
  <c r="D99" i="11"/>
  <c r="C99" i="11"/>
  <c r="B99" i="11"/>
  <c r="B93" i="11"/>
  <c r="C93" i="11"/>
  <c r="D93" i="11"/>
  <c r="E93" i="11"/>
  <c r="F93" i="11"/>
  <c r="G93" i="11"/>
  <c r="B94" i="11"/>
  <c r="C94" i="11"/>
  <c r="D94" i="11"/>
  <c r="E94" i="11"/>
  <c r="F94" i="11"/>
  <c r="G94" i="11"/>
  <c r="G96" i="11" s="1"/>
  <c r="B95" i="11"/>
  <c r="C95" i="11"/>
  <c r="D95" i="11"/>
  <c r="E95" i="11"/>
  <c r="F95" i="11"/>
  <c r="G95" i="11"/>
  <c r="G92" i="11"/>
  <c r="F92" i="11"/>
  <c r="E92" i="11"/>
  <c r="E96" i="11" s="1"/>
  <c r="D92" i="11"/>
  <c r="C92" i="11"/>
  <c r="B92" i="11"/>
  <c r="B83" i="11"/>
  <c r="C83" i="11"/>
  <c r="D83" i="11"/>
  <c r="E83" i="11"/>
  <c r="F83" i="11"/>
  <c r="G83" i="11"/>
  <c r="B84" i="11"/>
  <c r="C84" i="11"/>
  <c r="D84" i="11"/>
  <c r="E84" i="11"/>
  <c r="F84" i="11"/>
  <c r="G84" i="11"/>
  <c r="B85" i="11"/>
  <c r="C85" i="11"/>
  <c r="D85" i="11"/>
  <c r="E85" i="11"/>
  <c r="F85" i="11"/>
  <c r="G85" i="11"/>
  <c r="B86" i="11"/>
  <c r="C86" i="11"/>
  <c r="D86" i="11"/>
  <c r="E86" i="11"/>
  <c r="F86" i="11"/>
  <c r="G86" i="11"/>
  <c r="B87" i="11"/>
  <c r="C87" i="11"/>
  <c r="D87" i="11"/>
  <c r="E87" i="11"/>
  <c r="F87" i="11"/>
  <c r="G87" i="11"/>
  <c r="B88" i="11"/>
  <c r="C88" i="11"/>
  <c r="D88" i="11"/>
  <c r="E88" i="11"/>
  <c r="F88" i="11"/>
  <c r="G88" i="11"/>
  <c r="B89" i="11"/>
  <c r="C89" i="11"/>
  <c r="D89" i="11"/>
  <c r="E89" i="11"/>
  <c r="F89" i="11"/>
  <c r="G89" i="11"/>
  <c r="C82" i="11"/>
  <c r="B82" i="11"/>
  <c r="B90" i="11" s="1"/>
  <c r="B75" i="11"/>
  <c r="C75" i="11"/>
  <c r="G75" i="11"/>
  <c r="B76" i="11"/>
  <c r="C76" i="11"/>
  <c r="B77" i="11"/>
  <c r="C77" i="11"/>
  <c r="D77" i="11"/>
  <c r="E77" i="11"/>
  <c r="F77" i="11"/>
  <c r="G77" i="11"/>
  <c r="B78" i="11"/>
  <c r="C78" i="11"/>
  <c r="D78" i="11"/>
  <c r="E78" i="11"/>
  <c r="F78" i="11"/>
  <c r="G78" i="11"/>
  <c r="B79" i="11"/>
  <c r="C79" i="11"/>
  <c r="G74" i="11"/>
  <c r="F74" i="11"/>
  <c r="E74" i="11"/>
  <c r="D74" i="11"/>
  <c r="C74" i="11"/>
  <c r="B74" i="11"/>
  <c r="B80" i="11" s="1"/>
  <c r="B40" i="11"/>
  <c r="C40" i="11"/>
  <c r="D40" i="11"/>
  <c r="E40" i="11"/>
  <c r="F40" i="11"/>
  <c r="G40" i="11"/>
  <c r="B41" i="11"/>
  <c r="C41" i="11"/>
  <c r="D41" i="11"/>
  <c r="E41" i="11"/>
  <c r="F41" i="11"/>
  <c r="G41" i="11"/>
  <c r="B42" i="11"/>
  <c r="C42" i="11"/>
  <c r="D42" i="11"/>
  <c r="E42" i="11"/>
  <c r="F42" i="11"/>
  <c r="G42" i="11"/>
  <c r="B43" i="11"/>
  <c r="C43" i="11"/>
  <c r="D43" i="11"/>
  <c r="E43" i="11"/>
  <c r="F43" i="11"/>
  <c r="G43" i="11"/>
  <c r="B44" i="11"/>
  <c r="C44" i="11"/>
  <c r="D44" i="11"/>
  <c r="E44" i="11"/>
  <c r="F44" i="11"/>
  <c r="G44" i="11"/>
  <c r="B45" i="11"/>
  <c r="C45" i="11"/>
  <c r="D45" i="11"/>
  <c r="E45" i="11"/>
  <c r="F45" i="11"/>
  <c r="G45" i="11"/>
  <c r="B46" i="11"/>
  <c r="C46" i="11"/>
  <c r="D46" i="11"/>
  <c r="E46" i="11"/>
  <c r="F46" i="11"/>
  <c r="G46" i="11"/>
  <c r="B47" i="11"/>
  <c r="C47" i="11"/>
  <c r="D47" i="11"/>
  <c r="E47" i="11"/>
  <c r="F47" i="11"/>
  <c r="G47" i="11"/>
  <c r="B48" i="11"/>
  <c r="C48" i="11"/>
  <c r="D48" i="11"/>
  <c r="E48" i="11"/>
  <c r="F48" i="11"/>
  <c r="G48" i="11"/>
  <c r="B49" i="11"/>
  <c r="C49" i="11"/>
  <c r="D49" i="11"/>
  <c r="E49" i="11"/>
  <c r="F49" i="11"/>
  <c r="G49" i="11"/>
  <c r="B50" i="11"/>
  <c r="C50" i="11"/>
  <c r="D50" i="11"/>
  <c r="B51" i="11"/>
  <c r="C51" i="11"/>
  <c r="D51" i="11"/>
  <c r="E51" i="11"/>
  <c r="F51" i="11"/>
  <c r="G51" i="11"/>
  <c r="B52" i="11"/>
  <c r="C52" i="11"/>
  <c r="D52" i="11"/>
  <c r="E52" i="11"/>
  <c r="F52" i="11"/>
  <c r="G52" i="11"/>
  <c r="B53" i="11"/>
  <c r="C53" i="11"/>
  <c r="D53" i="11"/>
  <c r="E53" i="11"/>
  <c r="F53" i="11"/>
  <c r="G53" i="11"/>
  <c r="B54" i="11"/>
  <c r="C54" i="11"/>
  <c r="D54" i="11"/>
  <c r="E54" i="11"/>
  <c r="F54" i="11"/>
  <c r="G54" i="11"/>
  <c r="B55" i="11"/>
  <c r="C55" i="11"/>
  <c r="D55" i="11"/>
  <c r="E55" i="11"/>
  <c r="F55" i="11"/>
  <c r="G55" i="11"/>
  <c r="B56" i="11"/>
  <c r="C56" i="11"/>
  <c r="D56" i="11"/>
  <c r="E56" i="11"/>
  <c r="F56" i="11"/>
  <c r="G56" i="11"/>
  <c r="B57" i="11"/>
  <c r="C57" i="11"/>
  <c r="D57" i="11"/>
  <c r="E57" i="11"/>
  <c r="F57" i="11"/>
  <c r="G57" i="11"/>
  <c r="B58" i="11"/>
  <c r="C58" i="11"/>
  <c r="D58" i="11"/>
  <c r="E58" i="11"/>
  <c r="F58" i="11"/>
  <c r="G58" i="11"/>
  <c r="B59" i="11"/>
  <c r="C59" i="11"/>
  <c r="D59" i="11"/>
  <c r="E59" i="11"/>
  <c r="F59" i="11"/>
  <c r="G59" i="11"/>
  <c r="B60" i="11"/>
  <c r="C60" i="11"/>
  <c r="D60" i="11"/>
  <c r="E60" i="11"/>
  <c r="F60" i="11"/>
  <c r="G60" i="11"/>
  <c r="G39" i="11"/>
  <c r="F39" i="11"/>
  <c r="E39" i="11"/>
  <c r="D39" i="11"/>
  <c r="C39" i="11"/>
  <c r="C61" i="11" s="1"/>
  <c r="C64" i="11" s="1"/>
  <c r="B39" i="11"/>
  <c r="B61" i="11" s="1"/>
  <c r="B64" i="11" s="1"/>
  <c r="B28" i="11"/>
  <c r="C28" i="11"/>
  <c r="D28" i="11"/>
  <c r="E28" i="11"/>
  <c r="F28" i="11"/>
  <c r="B29" i="11"/>
  <c r="C29" i="11"/>
  <c r="C36" i="11" s="1"/>
  <c r="C63" i="11" s="1"/>
  <c r="D29" i="11"/>
  <c r="E29" i="11"/>
  <c r="F29" i="11"/>
  <c r="G29" i="11"/>
  <c r="B30" i="11"/>
  <c r="C30" i="11"/>
  <c r="D30" i="11"/>
  <c r="E30" i="11"/>
  <c r="F30" i="11"/>
  <c r="G30" i="11"/>
  <c r="B31" i="11"/>
  <c r="C31" i="11"/>
  <c r="D31" i="11"/>
  <c r="E31" i="11"/>
  <c r="F31" i="11"/>
  <c r="G31" i="11"/>
  <c r="B32" i="11"/>
  <c r="C32" i="11"/>
  <c r="D32" i="11"/>
  <c r="E32" i="11"/>
  <c r="F32" i="11"/>
  <c r="G32" i="11"/>
  <c r="B33" i="11"/>
  <c r="C33" i="11"/>
  <c r="D33" i="11"/>
  <c r="E33" i="11"/>
  <c r="F33" i="11"/>
  <c r="G33" i="11"/>
  <c r="B34" i="11"/>
  <c r="C34" i="11"/>
  <c r="D34" i="11"/>
  <c r="B35" i="11"/>
  <c r="C35" i="11"/>
  <c r="D35" i="11"/>
  <c r="E35" i="11"/>
  <c r="F35" i="11"/>
  <c r="G35" i="11"/>
  <c r="G27" i="11"/>
  <c r="F27" i="11"/>
  <c r="E27" i="11"/>
  <c r="D27" i="11"/>
  <c r="C27" i="11"/>
  <c r="B27" i="11"/>
  <c r="B21" i="11"/>
  <c r="C21" i="11"/>
  <c r="B22" i="11"/>
  <c r="C22" i="11"/>
  <c r="B23" i="11"/>
  <c r="C23" i="11"/>
  <c r="D23" i="11"/>
  <c r="E23" i="11"/>
  <c r="F23" i="11"/>
  <c r="G23" i="11"/>
  <c r="B24" i="11"/>
  <c r="C24" i="11"/>
  <c r="D24" i="11"/>
  <c r="E24" i="11"/>
  <c r="F24" i="11"/>
  <c r="G24" i="11"/>
  <c r="C20" i="11"/>
  <c r="B20" i="11"/>
  <c r="B5" i="11"/>
  <c r="C5" i="11"/>
  <c r="D5" i="11"/>
  <c r="E5" i="11"/>
  <c r="F5" i="11"/>
  <c r="G5" i="11"/>
  <c r="B6" i="11"/>
  <c r="C6" i="11"/>
  <c r="D6" i="11"/>
  <c r="E6" i="11"/>
  <c r="E17" i="11" s="1"/>
  <c r="F6" i="11"/>
  <c r="G6" i="11"/>
  <c r="B7" i="11"/>
  <c r="C7" i="11"/>
  <c r="D7" i="11"/>
  <c r="E7" i="11"/>
  <c r="F7" i="11"/>
  <c r="G7" i="11"/>
  <c r="B8" i="11"/>
  <c r="C8" i="11"/>
  <c r="D8" i="11"/>
  <c r="E8" i="11"/>
  <c r="F8" i="11"/>
  <c r="G8" i="11"/>
  <c r="B9" i="11"/>
  <c r="C9" i="11"/>
  <c r="D9" i="11"/>
  <c r="E9" i="11"/>
  <c r="F9" i="11"/>
  <c r="G9" i="11"/>
  <c r="B10" i="11"/>
  <c r="C10" i="11"/>
  <c r="D10" i="11"/>
  <c r="E10" i="11"/>
  <c r="F10" i="11"/>
  <c r="G10" i="11"/>
  <c r="B11" i="11"/>
  <c r="C11" i="11"/>
  <c r="D11" i="11"/>
  <c r="E11" i="11"/>
  <c r="F11" i="11"/>
  <c r="G11" i="11"/>
  <c r="B12" i="11"/>
  <c r="C12" i="11"/>
  <c r="D12" i="11"/>
  <c r="E12" i="11"/>
  <c r="F12" i="11"/>
  <c r="G12" i="11"/>
  <c r="B13" i="11"/>
  <c r="C13" i="11"/>
  <c r="D13" i="11"/>
  <c r="E13" i="11"/>
  <c r="F13" i="11"/>
  <c r="G13" i="11"/>
  <c r="B14" i="11"/>
  <c r="C14" i="11"/>
  <c r="D14" i="11"/>
  <c r="E14" i="11"/>
  <c r="F14" i="11"/>
  <c r="G14" i="11"/>
  <c r="B15" i="11"/>
  <c r="C15" i="11"/>
  <c r="D15" i="11"/>
  <c r="E15" i="11"/>
  <c r="F15" i="11"/>
  <c r="G15" i="11"/>
  <c r="B16" i="11"/>
  <c r="C16" i="11"/>
  <c r="D16" i="11"/>
  <c r="E16" i="11"/>
  <c r="F16" i="11"/>
  <c r="G16" i="11"/>
  <c r="G4" i="11"/>
  <c r="F4" i="11"/>
  <c r="E4" i="11"/>
  <c r="D4" i="11"/>
  <c r="C4" i="11"/>
  <c r="B4" i="11"/>
  <c r="B3" i="11" s="1"/>
  <c r="G2" i="11"/>
  <c r="F2" i="11"/>
  <c r="E2" i="11"/>
  <c r="D2" i="11"/>
  <c r="C2" i="11"/>
  <c r="B2" i="11"/>
  <c r="G222" i="11"/>
  <c r="F222" i="11"/>
  <c r="E222" i="11"/>
  <c r="D222" i="11"/>
  <c r="C222" i="11"/>
  <c r="B222" i="11"/>
  <c r="A222" i="11"/>
  <c r="G217" i="11"/>
  <c r="F217" i="11"/>
  <c r="E217" i="11"/>
  <c r="D217" i="11"/>
  <c r="C217" i="11"/>
  <c r="B217" i="11"/>
  <c r="C209" i="11"/>
  <c r="G198" i="11"/>
  <c r="F198" i="11"/>
  <c r="E198" i="11"/>
  <c r="D198" i="11"/>
  <c r="C198" i="11"/>
  <c r="B198" i="11"/>
  <c r="G171" i="11"/>
  <c r="F171" i="11"/>
  <c r="E171" i="11"/>
  <c r="D171" i="11"/>
  <c r="C171" i="11"/>
  <c r="B171" i="11"/>
  <c r="C170" i="11"/>
  <c r="B170" i="11"/>
  <c r="G155" i="11"/>
  <c r="F155" i="11"/>
  <c r="E155" i="11"/>
  <c r="D155" i="11"/>
  <c r="C155" i="11"/>
  <c r="B155" i="11"/>
  <c r="C154" i="11"/>
  <c r="G143" i="11"/>
  <c r="F143" i="11"/>
  <c r="E143" i="11"/>
  <c r="D143" i="11"/>
  <c r="C143" i="11"/>
  <c r="B143" i="11"/>
  <c r="D141" i="11"/>
  <c r="G131" i="11"/>
  <c r="F131" i="11"/>
  <c r="B121" i="11"/>
  <c r="G105" i="11"/>
  <c r="F105" i="11"/>
  <c r="E105" i="11"/>
  <c r="D105" i="11"/>
  <c r="C105" i="11"/>
  <c r="B105" i="11"/>
  <c r="B103" i="11"/>
  <c r="F96" i="11"/>
  <c r="D96" i="11"/>
  <c r="C96" i="11"/>
  <c r="B96" i="11"/>
  <c r="C90" i="11"/>
  <c r="C80" i="11"/>
  <c r="G72" i="11"/>
  <c r="F72" i="11"/>
  <c r="E72" i="11"/>
  <c r="D72" i="11"/>
  <c r="C72" i="11"/>
  <c r="B72" i="11"/>
  <c r="D61" i="11"/>
  <c r="D64" i="11" s="1"/>
  <c r="G38" i="11"/>
  <c r="F38" i="11"/>
  <c r="E38" i="11"/>
  <c r="D38" i="11"/>
  <c r="C38" i="11"/>
  <c r="B38" i="11"/>
  <c r="D36" i="11"/>
  <c r="D63" i="11" s="1"/>
  <c r="B36" i="11"/>
  <c r="B63" i="11" s="1"/>
  <c r="G26" i="11"/>
  <c r="F26" i="11"/>
  <c r="E26" i="11"/>
  <c r="D26" i="11"/>
  <c r="C26" i="11"/>
  <c r="B26" i="11"/>
  <c r="G19" i="11"/>
  <c r="F19" i="11"/>
  <c r="E19" i="11"/>
  <c r="D19" i="11"/>
  <c r="C19" i="11"/>
  <c r="B19" i="11"/>
  <c r="C3" i="11"/>
  <c r="C17" i="11"/>
  <c r="F17" i="11"/>
  <c r="D17" i="11"/>
  <c r="B17" i="11"/>
  <c r="E3" i="11"/>
  <c r="N2" i="11"/>
  <c r="M2" i="11"/>
  <c r="L2" i="11"/>
  <c r="J2" i="11"/>
  <c r="C223" i="9"/>
  <c r="B214" i="9"/>
  <c r="C214" i="9"/>
  <c r="D214" i="9"/>
  <c r="E214" i="9"/>
  <c r="F214" i="9"/>
  <c r="G214" i="9"/>
  <c r="B215" i="9"/>
  <c r="C215" i="9"/>
  <c r="D215" i="9"/>
  <c r="E215" i="9"/>
  <c r="F215" i="9"/>
  <c r="G215" i="9"/>
  <c r="B216" i="9"/>
  <c r="C216" i="9"/>
  <c r="D216" i="9"/>
  <c r="E216" i="9"/>
  <c r="F216" i="9"/>
  <c r="G216" i="9"/>
  <c r="G213" i="9"/>
  <c r="F213" i="9"/>
  <c r="E213" i="9"/>
  <c r="D213" i="9"/>
  <c r="C213" i="9"/>
  <c r="B213" i="9"/>
  <c r="B200" i="9"/>
  <c r="C200" i="9"/>
  <c r="D200" i="9"/>
  <c r="E200" i="9"/>
  <c r="F200" i="9"/>
  <c r="G200" i="9"/>
  <c r="B201" i="9"/>
  <c r="C201" i="9"/>
  <c r="D201" i="9"/>
  <c r="E201" i="9"/>
  <c r="F201" i="9"/>
  <c r="G201" i="9"/>
  <c r="B202" i="9"/>
  <c r="C202" i="9"/>
  <c r="D202" i="9"/>
  <c r="E202" i="9"/>
  <c r="F202" i="9"/>
  <c r="G202" i="9"/>
  <c r="B203" i="9"/>
  <c r="C203" i="9"/>
  <c r="D203" i="9"/>
  <c r="E203" i="9"/>
  <c r="F203" i="9"/>
  <c r="G203" i="9"/>
  <c r="B204" i="9"/>
  <c r="C204" i="9"/>
  <c r="D204" i="9"/>
  <c r="E204" i="9"/>
  <c r="F204" i="9"/>
  <c r="G204" i="9"/>
  <c r="B205" i="9"/>
  <c r="C205" i="9"/>
  <c r="D205" i="9"/>
  <c r="E205" i="9"/>
  <c r="F205" i="9"/>
  <c r="G205" i="9"/>
  <c r="B206" i="9"/>
  <c r="C206" i="9"/>
  <c r="D206" i="9"/>
  <c r="E206" i="9"/>
  <c r="F206" i="9"/>
  <c r="G206" i="9"/>
  <c r="B207" i="9"/>
  <c r="C207" i="9"/>
  <c r="D207" i="9"/>
  <c r="E207" i="9"/>
  <c r="F207" i="9"/>
  <c r="G207" i="9"/>
  <c r="B208" i="9"/>
  <c r="C208" i="9"/>
  <c r="D208" i="9"/>
  <c r="E208" i="9"/>
  <c r="F208" i="9"/>
  <c r="G208" i="9"/>
  <c r="G199" i="9"/>
  <c r="F199" i="9"/>
  <c r="E199" i="9"/>
  <c r="D199" i="9"/>
  <c r="C199" i="9"/>
  <c r="B199" i="9"/>
  <c r="B173" i="9"/>
  <c r="C173" i="9"/>
  <c r="C197" i="9" s="1"/>
  <c r="D173" i="9"/>
  <c r="E173" i="9"/>
  <c r="F173" i="9"/>
  <c r="G173" i="9"/>
  <c r="B174" i="9"/>
  <c r="C174" i="9"/>
  <c r="D174" i="9"/>
  <c r="E174" i="9"/>
  <c r="F174" i="9"/>
  <c r="G174" i="9"/>
  <c r="B175" i="9"/>
  <c r="C175" i="9"/>
  <c r="D175" i="9"/>
  <c r="E175" i="9"/>
  <c r="F175" i="9"/>
  <c r="G175" i="9"/>
  <c r="B176" i="9"/>
  <c r="C176" i="9"/>
  <c r="D176" i="9"/>
  <c r="B177" i="9"/>
  <c r="C177" i="9"/>
  <c r="D177" i="9"/>
  <c r="E177" i="9"/>
  <c r="F177" i="9"/>
  <c r="G177" i="9"/>
  <c r="B178" i="9"/>
  <c r="C178" i="9"/>
  <c r="D178" i="9"/>
  <c r="E178" i="9"/>
  <c r="F178" i="9"/>
  <c r="G178" i="9"/>
  <c r="B179" i="9"/>
  <c r="C179" i="9"/>
  <c r="D179" i="9"/>
  <c r="E179" i="9"/>
  <c r="F179" i="9"/>
  <c r="G179" i="9"/>
  <c r="B180" i="9"/>
  <c r="C180" i="9"/>
  <c r="D180" i="9"/>
  <c r="E180" i="9"/>
  <c r="F180" i="9"/>
  <c r="G180" i="9"/>
  <c r="B181" i="9"/>
  <c r="C181" i="9"/>
  <c r="D181" i="9"/>
  <c r="G181" i="9"/>
  <c r="B182" i="9"/>
  <c r="C182" i="9"/>
  <c r="D182" i="9"/>
  <c r="E182" i="9"/>
  <c r="F182" i="9"/>
  <c r="G182" i="9"/>
  <c r="B183" i="9"/>
  <c r="C183" i="9"/>
  <c r="D183" i="9"/>
  <c r="E183" i="9"/>
  <c r="F183" i="9"/>
  <c r="G183" i="9"/>
  <c r="B184" i="9"/>
  <c r="C184" i="9"/>
  <c r="D184" i="9"/>
  <c r="E184" i="9"/>
  <c r="F184" i="9"/>
  <c r="G184" i="9"/>
  <c r="B185" i="9"/>
  <c r="C185" i="9"/>
  <c r="D185" i="9"/>
  <c r="E185" i="9"/>
  <c r="F185" i="9"/>
  <c r="G185" i="9"/>
  <c r="B186" i="9"/>
  <c r="C186" i="9"/>
  <c r="D186" i="9"/>
  <c r="E186" i="9"/>
  <c r="F186" i="9"/>
  <c r="G186" i="9"/>
  <c r="B187" i="9"/>
  <c r="C187" i="9"/>
  <c r="D187" i="9"/>
  <c r="E187" i="9"/>
  <c r="F187" i="9"/>
  <c r="G187" i="9"/>
  <c r="B188" i="9"/>
  <c r="C188" i="9"/>
  <c r="D188" i="9"/>
  <c r="E188" i="9"/>
  <c r="F188" i="9"/>
  <c r="G188" i="9"/>
  <c r="B189" i="9"/>
  <c r="C189" i="9"/>
  <c r="D189" i="9"/>
  <c r="E189" i="9"/>
  <c r="F189" i="9"/>
  <c r="G189" i="9"/>
  <c r="B190" i="9"/>
  <c r="C190" i="9"/>
  <c r="D190" i="9"/>
  <c r="E190" i="9"/>
  <c r="F190" i="9"/>
  <c r="G190" i="9"/>
  <c r="B191" i="9"/>
  <c r="C191" i="9"/>
  <c r="D191" i="9"/>
  <c r="E191" i="9"/>
  <c r="F191" i="9"/>
  <c r="G191" i="9"/>
  <c r="B192" i="9"/>
  <c r="C192" i="9"/>
  <c r="D192" i="9"/>
  <c r="E192" i="9"/>
  <c r="F192" i="9"/>
  <c r="G192" i="9"/>
  <c r="B193" i="9"/>
  <c r="C193" i="9"/>
  <c r="D193" i="9"/>
  <c r="E193" i="9"/>
  <c r="F193" i="9"/>
  <c r="G193" i="9"/>
  <c r="B194" i="9"/>
  <c r="C194" i="9"/>
  <c r="D194" i="9"/>
  <c r="E194" i="9"/>
  <c r="F194" i="9"/>
  <c r="G194" i="9"/>
  <c r="B195" i="9"/>
  <c r="C195" i="9"/>
  <c r="D195" i="9"/>
  <c r="E195" i="9"/>
  <c r="F195" i="9"/>
  <c r="G195" i="9"/>
  <c r="B196" i="9"/>
  <c r="C196" i="9"/>
  <c r="F196" i="9"/>
  <c r="G172" i="9"/>
  <c r="F172" i="9"/>
  <c r="E172" i="9"/>
  <c r="D172" i="9"/>
  <c r="C172" i="9"/>
  <c r="B172" i="9"/>
  <c r="B157" i="9"/>
  <c r="C157" i="9"/>
  <c r="D157" i="9"/>
  <c r="E157" i="9"/>
  <c r="F157" i="9"/>
  <c r="G157" i="9"/>
  <c r="B158" i="9"/>
  <c r="C158" i="9"/>
  <c r="D158" i="9"/>
  <c r="E158" i="9"/>
  <c r="F158" i="9"/>
  <c r="G158" i="9"/>
  <c r="B159" i="9"/>
  <c r="C159" i="9"/>
  <c r="D159" i="9"/>
  <c r="E159" i="9"/>
  <c r="F159" i="9"/>
  <c r="G159" i="9"/>
  <c r="B160" i="9"/>
  <c r="C160" i="9"/>
  <c r="D160" i="9"/>
  <c r="E160" i="9"/>
  <c r="F160" i="9"/>
  <c r="G160" i="9"/>
  <c r="B161" i="9"/>
  <c r="C161" i="9"/>
  <c r="D161" i="9"/>
  <c r="E161" i="9"/>
  <c r="B162" i="9"/>
  <c r="C162" i="9"/>
  <c r="D162" i="9"/>
  <c r="E162" i="9"/>
  <c r="B163" i="9"/>
  <c r="C163" i="9"/>
  <c r="D163" i="9"/>
  <c r="E163" i="9"/>
  <c r="F163" i="9"/>
  <c r="G163" i="9"/>
  <c r="B164" i="9"/>
  <c r="C164" i="9"/>
  <c r="D164" i="9"/>
  <c r="E164" i="9"/>
  <c r="F164" i="9"/>
  <c r="G164" i="9"/>
  <c r="C165" i="9"/>
  <c r="D165" i="9"/>
  <c r="E165" i="9"/>
  <c r="F165" i="9"/>
  <c r="G165" i="9"/>
  <c r="B166" i="9"/>
  <c r="C166" i="9"/>
  <c r="D166" i="9"/>
  <c r="E166" i="9"/>
  <c r="F166" i="9"/>
  <c r="G166" i="9"/>
  <c r="B167" i="9"/>
  <c r="C167" i="9"/>
  <c r="D167" i="9"/>
  <c r="E167" i="9"/>
  <c r="F167" i="9"/>
  <c r="G167" i="9"/>
  <c r="B168" i="9"/>
  <c r="C168" i="9"/>
  <c r="D168" i="9"/>
  <c r="E168" i="9"/>
  <c r="F168" i="9"/>
  <c r="G168" i="9"/>
  <c r="B169" i="9"/>
  <c r="C169" i="9"/>
  <c r="D169" i="9"/>
  <c r="E169" i="9"/>
  <c r="F169" i="9"/>
  <c r="G169" i="9"/>
  <c r="D156" i="9"/>
  <c r="C156" i="9"/>
  <c r="B156" i="9"/>
  <c r="B145" i="9"/>
  <c r="C145" i="9"/>
  <c r="D145" i="9"/>
  <c r="E145" i="9"/>
  <c r="F145" i="9"/>
  <c r="G145" i="9"/>
  <c r="B146" i="9"/>
  <c r="C146" i="9"/>
  <c r="D146" i="9"/>
  <c r="E146" i="9"/>
  <c r="F146" i="9"/>
  <c r="G146" i="9"/>
  <c r="B147" i="9"/>
  <c r="C147" i="9"/>
  <c r="D147" i="9"/>
  <c r="E147" i="9"/>
  <c r="F147" i="9"/>
  <c r="G147" i="9"/>
  <c r="B148" i="9"/>
  <c r="C148" i="9"/>
  <c r="D148" i="9"/>
  <c r="E148" i="9"/>
  <c r="F148" i="9"/>
  <c r="G148" i="9"/>
  <c r="B149" i="9"/>
  <c r="C149" i="9"/>
  <c r="D149" i="9"/>
  <c r="E149" i="9"/>
  <c r="F149" i="9"/>
  <c r="G149" i="9"/>
  <c r="B150" i="9"/>
  <c r="C150" i="9"/>
  <c r="D150" i="9"/>
  <c r="E150" i="9"/>
  <c r="F150" i="9"/>
  <c r="G150" i="9"/>
  <c r="B151" i="9"/>
  <c r="C151" i="9"/>
  <c r="B152" i="9"/>
  <c r="C152" i="9"/>
  <c r="D152" i="9"/>
  <c r="E152" i="9"/>
  <c r="F152" i="9"/>
  <c r="G152" i="9"/>
  <c r="B153" i="9"/>
  <c r="C153" i="9"/>
  <c r="D153" i="9"/>
  <c r="E153" i="9"/>
  <c r="F153" i="9"/>
  <c r="G153" i="9"/>
  <c r="G144" i="9"/>
  <c r="F144" i="9"/>
  <c r="E144" i="9"/>
  <c r="D144" i="9"/>
  <c r="C144" i="9"/>
  <c r="B144" i="9"/>
  <c r="B134" i="9"/>
  <c r="C134" i="9"/>
  <c r="D134" i="9"/>
  <c r="B135" i="9"/>
  <c r="C135" i="9"/>
  <c r="D135" i="9"/>
  <c r="E135" i="9"/>
  <c r="F135" i="9"/>
  <c r="G135" i="9"/>
  <c r="B136" i="9"/>
  <c r="C136" i="9"/>
  <c r="D136" i="9"/>
  <c r="E136" i="9"/>
  <c r="F136" i="9"/>
  <c r="G136" i="9"/>
  <c r="B137" i="9"/>
  <c r="C137" i="9"/>
  <c r="D137" i="9"/>
  <c r="E137" i="9"/>
  <c r="F137" i="9"/>
  <c r="G137" i="9"/>
  <c r="B138" i="9"/>
  <c r="C138" i="9"/>
  <c r="D138" i="9"/>
  <c r="E138" i="9"/>
  <c r="F138" i="9"/>
  <c r="G138" i="9"/>
  <c r="B139" i="9"/>
  <c r="C139" i="9"/>
  <c r="D139" i="9"/>
  <c r="E139" i="9"/>
  <c r="F139" i="9"/>
  <c r="G139" i="9"/>
  <c r="B140" i="9"/>
  <c r="C140" i="9"/>
  <c r="D140" i="9"/>
  <c r="E140" i="9"/>
  <c r="F140" i="9"/>
  <c r="G140" i="9"/>
  <c r="D133" i="9"/>
  <c r="C133" i="9"/>
  <c r="C141" i="9" s="1"/>
  <c r="B133" i="9"/>
  <c r="B124" i="9"/>
  <c r="C124" i="9"/>
  <c r="D124" i="9"/>
  <c r="E124" i="9"/>
  <c r="F124" i="9"/>
  <c r="G124" i="9"/>
  <c r="B125" i="9"/>
  <c r="C125" i="9"/>
  <c r="D125" i="9"/>
  <c r="D131" i="9" s="1"/>
  <c r="E125" i="9"/>
  <c r="E131" i="9" s="1"/>
  <c r="F125" i="9"/>
  <c r="G125" i="9"/>
  <c r="B126" i="9"/>
  <c r="C126" i="9"/>
  <c r="D126" i="9"/>
  <c r="E126" i="9"/>
  <c r="F126" i="9"/>
  <c r="G126" i="9"/>
  <c r="B127" i="9"/>
  <c r="C127" i="9"/>
  <c r="D127" i="9"/>
  <c r="E127" i="9"/>
  <c r="F127" i="9"/>
  <c r="G127" i="9"/>
  <c r="B128" i="9"/>
  <c r="C128" i="9"/>
  <c r="D128" i="9"/>
  <c r="E128" i="9"/>
  <c r="F128" i="9"/>
  <c r="G128" i="9"/>
  <c r="B129" i="9"/>
  <c r="C129" i="9"/>
  <c r="D129" i="9"/>
  <c r="E129" i="9"/>
  <c r="F129" i="9"/>
  <c r="G129" i="9"/>
  <c r="B130" i="9"/>
  <c r="C130" i="9"/>
  <c r="D130" i="9"/>
  <c r="E130" i="9"/>
  <c r="F130" i="9"/>
  <c r="G130" i="9"/>
  <c r="G123" i="9"/>
  <c r="F123" i="9"/>
  <c r="E123" i="9"/>
  <c r="D123" i="9"/>
  <c r="C123" i="9"/>
  <c r="B123" i="9"/>
  <c r="B108" i="9"/>
  <c r="C108" i="9"/>
  <c r="D108" i="9"/>
  <c r="B109" i="9"/>
  <c r="C109" i="9"/>
  <c r="D109" i="9"/>
  <c r="B110" i="9"/>
  <c r="C110" i="9"/>
  <c r="D110" i="9"/>
  <c r="F110" i="9"/>
  <c r="G110" i="9"/>
  <c r="B111" i="9"/>
  <c r="C111" i="9"/>
  <c r="D111" i="9"/>
  <c r="G111" i="9"/>
  <c r="B112" i="9"/>
  <c r="C112" i="9"/>
  <c r="D112" i="9"/>
  <c r="B113" i="9"/>
  <c r="C113" i="9"/>
  <c r="D113" i="9"/>
  <c r="G113" i="9"/>
  <c r="B114" i="9"/>
  <c r="C114" i="9"/>
  <c r="D114" i="9"/>
  <c r="E114" i="9"/>
  <c r="F114" i="9"/>
  <c r="G114" i="9"/>
  <c r="B115" i="9"/>
  <c r="C115" i="9"/>
  <c r="D115" i="9"/>
  <c r="F115" i="9"/>
  <c r="B116" i="9"/>
  <c r="C116" i="9"/>
  <c r="D116" i="9"/>
  <c r="E116" i="9"/>
  <c r="F116" i="9"/>
  <c r="G116" i="9"/>
  <c r="B117" i="9"/>
  <c r="C117" i="9"/>
  <c r="D117" i="9"/>
  <c r="E117" i="9"/>
  <c r="F117" i="9"/>
  <c r="G117" i="9"/>
  <c r="B118" i="9"/>
  <c r="C118" i="9"/>
  <c r="D118" i="9"/>
  <c r="B119" i="9"/>
  <c r="C119" i="9"/>
  <c r="D119" i="9"/>
  <c r="E119" i="9"/>
  <c r="F119" i="9"/>
  <c r="B120" i="9"/>
  <c r="C120" i="9"/>
  <c r="D120" i="9"/>
  <c r="E120" i="9"/>
  <c r="F120" i="9"/>
  <c r="D107" i="9"/>
  <c r="C107" i="9"/>
  <c r="B107" i="9"/>
  <c r="B100" i="9"/>
  <c r="C100" i="9"/>
  <c r="D100" i="9"/>
  <c r="E100" i="9"/>
  <c r="F100" i="9"/>
  <c r="G100" i="9"/>
  <c r="B101" i="9"/>
  <c r="C101" i="9"/>
  <c r="D101" i="9"/>
  <c r="E101" i="9"/>
  <c r="F101" i="9"/>
  <c r="G101" i="9"/>
  <c r="G103" i="9" s="1"/>
  <c r="B102" i="9"/>
  <c r="C102" i="9"/>
  <c r="D102" i="9"/>
  <c r="E102" i="9"/>
  <c r="F102" i="9"/>
  <c r="G102" i="9"/>
  <c r="G99" i="9"/>
  <c r="F99" i="9"/>
  <c r="E99" i="9"/>
  <c r="D99" i="9"/>
  <c r="C99" i="9"/>
  <c r="B99" i="9"/>
  <c r="B93" i="9"/>
  <c r="C93" i="9"/>
  <c r="D93" i="9"/>
  <c r="E93" i="9"/>
  <c r="F93" i="9"/>
  <c r="G93" i="9"/>
  <c r="G96" i="9" s="1"/>
  <c r="B94" i="9"/>
  <c r="C94" i="9"/>
  <c r="D94" i="9"/>
  <c r="E94" i="9"/>
  <c r="F94" i="9"/>
  <c r="F96" i="9" s="1"/>
  <c r="G94" i="9"/>
  <c r="B95" i="9"/>
  <c r="C95" i="9"/>
  <c r="D95" i="9"/>
  <c r="E95" i="9"/>
  <c r="F95" i="9"/>
  <c r="G95" i="9"/>
  <c r="G92" i="9"/>
  <c r="F92" i="9"/>
  <c r="E92" i="9"/>
  <c r="D92" i="9"/>
  <c r="C92" i="9"/>
  <c r="C96" i="9" s="1"/>
  <c r="B92" i="9"/>
  <c r="B83" i="9"/>
  <c r="C83" i="9"/>
  <c r="D83" i="9"/>
  <c r="E83" i="9"/>
  <c r="F83" i="9"/>
  <c r="G83" i="9"/>
  <c r="B84" i="9"/>
  <c r="C84" i="9"/>
  <c r="D84" i="9"/>
  <c r="E84" i="9"/>
  <c r="F84" i="9"/>
  <c r="G84" i="9"/>
  <c r="B85" i="9"/>
  <c r="C85" i="9"/>
  <c r="D85" i="9"/>
  <c r="E85" i="9"/>
  <c r="F85" i="9"/>
  <c r="G85" i="9"/>
  <c r="B86" i="9"/>
  <c r="C86" i="9"/>
  <c r="D86" i="9"/>
  <c r="E86" i="9"/>
  <c r="F86" i="9"/>
  <c r="G86" i="9"/>
  <c r="B87" i="9"/>
  <c r="C87" i="9"/>
  <c r="D87" i="9"/>
  <c r="E87" i="9"/>
  <c r="F87" i="9"/>
  <c r="G87" i="9"/>
  <c r="B88" i="9"/>
  <c r="C88" i="9"/>
  <c r="D88" i="9"/>
  <c r="E88" i="9"/>
  <c r="F88" i="9"/>
  <c r="G88" i="9"/>
  <c r="B89" i="9"/>
  <c r="C89" i="9"/>
  <c r="D89" i="9"/>
  <c r="E89" i="9"/>
  <c r="F89" i="9"/>
  <c r="G89" i="9"/>
  <c r="C82" i="9"/>
  <c r="B82" i="9"/>
  <c r="B75" i="9"/>
  <c r="C75" i="9"/>
  <c r="B76" i="9"/>
  <c r="C76" i="9"/>
  <c r="B77" i="9"/>
  <c r="C77" i="9"/>
  <c r="D77" i="9"/>
  <c r="E77" i="9"/>
  <c r="F77" i="9"/>
  <c r="G77" i="9"/>
  <c r="B78" i="9"/>
  <c r="C78" i="9"/>
  <c r="D78" i="9"/>
  <c r="E78" i="9"/>
  <c r="F78" i="9"/>
  <c r="G78" i="9"/>
  <c r="B79" i="9"/>
  <c r="C79" i="9"/>
  <c r="G74" i="9"/>
  <c r="F74" i="9"/>
  <c r="E74" i="9"/>
  <c r="D74" i="9"/>
  <c r="C74" i="9"/>
  <c r="C80" i="9" s="1"/>
  <c r="B74" i="9"/>
  <c r="B40" i="9"/>
  <c r="C40" i="9"/>
  <c r="D40" i="9"/>
  <c r="E40" i="9"/>
  <c r="F40" i="9"/>
  <c r="G40" i="9"/>
  <c r="B41" i="9"/>
  <c r="C41" i="9"/>
  <c r="D41" i="9"/>
  <c r="E41" i="9"/>
  <c r="F41" i="9"/>
  <c r="G41" i="9"/>
  <c r="B42" i="9"/>
  <c r="C42" i="9"/>
  <c r="D42" i="9"/>
  <c r="E42" i="9"/>
  <c r="F42" i="9"/>
  <c r="G42" i="9"/>
  <c r="B43" i="9"/>
  <c r="C43" i="9"/>
  <c r="D43" i="9"/>
  <c r="E43" i="9"/>
  <c r="F43" i="9"/>
  <c r="G43" i="9"/>
  <c r="B44" i="9"/>
  <c r="C44" i="9"/>
  <c r="D44" i="9"/>
  <c r="E44" i="9"/>
  <c r="F44" i="9"/>
  <c r="G44" i="9"/>
  <c r="B45" i="9"/>
  <c r="C45" i="9"/>
  <c r="D45" i="9"/>
  <c r="E45" i="9"/>
  <c r="F45" i="9"/>
  <c r="G45" i="9"/>
  <c r="B46" i="9"/>
  <c r="C46" i="9"/>
  <c r="D46" i="9"/>
  <c r="E46" i="9"/>
  <c r="F46" i="9"/>
  <c r="G46" i="9"/>
  <c r="B47" i="9"/>
  <c r="C47" i="9"/>
  <c r="D47" i="9"/>
  <c r="E47" i="9"/>
  <c r="F47" i="9"/>
  <c r="G47" i="9"/>
  <c r="B48" i="9"/>
  <c r="C48" i="9"/>
  <c r="D48" i="9"/>
  <c r="E48" i="9"/>
  <c r="F48" i="9"/>
  <c r="G48" i="9"/>
  <c r="B49" i="9"/>
  <c r="C49" i="9"/>
  <c r="D49" i="9"/>
  <c r="E49" i="9"/>
  <c r="F49" i="9"/>
  <c r="G49" i="9"/>
  <c r="B50" i="9"/>
  <c r="C50" i="9"/>
  <c r="D50" i="9"/>
  <c r="E50" i="9"/>
  <c r="F50" i="9"/>
  <c r="G50" i="9"/>
  <c r="B51" i="9"/>
  <c r="C51" i="9"/>
  <c r="D51" i="9"/>
  <c r="E51" i="9"/>
  <c r="F51" i="9"/>
  <c r="G51" i="9"/>
  <c r="B52" i="9"/>
  <c r="C52" i="9"/>
  <c r="D52" i="9"/>
  <c r="E52" i="9"/>
  <c r="F52" i="9"/>
  <c r="G52" i="9"/>
  <c r="B53" i="9"/>
  <c r="C53" i="9"/>
  <c r="D53" i="9"/>
  <c r="E53" i="9"/>
  <c r="F53" i="9"/>
  <c r="G53" i="9"/>
  <c r="B54" i="9"/>
  <c r="C54" i="9"/>
  <c r="D54" i="9"/>
  <c r="E54" i="9"/>
  <c r="F54" i="9"/>
  <c r="G54" i="9"/>
  <c r="B55" i="9"/>
  <c r="C55" i="9"/>
  <c r="D55" i="9"/>
  <c r="E55" i="9"/>
  <c r="F55" i="9"/>
  <c r="G55" i="9"/>
  <c r="B56" i="9"/>
  <c r="C56" i="9"/>
  <c r="D56" i="9"/>
  <c r="E56" i="9"/>
  <c r="F56" i="9"/>
  <c r="G56" i="9"/>
  <c r="B57" i="9"/>
  <c r="C57" i="9"/>
  <c r="D57" i="9"/>
  <c r="E57" i="9"/>
  <c r="F57" i="9"/>
  <c r="G57" i="9"/>
  <c r="B58" i="9"/>
  <c r="C58" i="9"/>
  <c r="D58" i="9"/>
  <c r="E58" i="9"/>
  <c r="F58" i="9"/>
  <c r="G58" i="9"/>
  <c r="B59" i="9"/>
  <c r="C59" i="9"/>
  <c r="D59" i="9"/>
  <c r="E59" i="9"/>
  <c r="F59" i="9"/>
  <c r="G59" i="9"/>
  <c r="B60" i="9"/>
  <c r="C60" i="9"/>
  <c r="D60" i="9"/>
  <c r="E60" i="9"/>
  <c r="F60" i="9"/>
  <c r="G60" i="9"/>
  <c r="G39" i="9"/>
  <c r="F39" i="9"/>
  <c r="E39" i="9"/>
  <c r="D39" i="9"/>
  <c r="C39" i="9"/>
  <c r="B39" i="9"/>
  <c r="B28" i="9"/>
  <c r="C28" i="9"/>
  <c r="D28" i="9"/>
  <c r="E28" i="9"/>
  <c r="F28" i="9"/>
  <c r="G28" i="9"/>
  <c r="B29" i="9"/>
  <c r="C29" i="9"/>
  <c r="D29" i="9"/>
  <c r="E29" i="9"/>
  <c r="F29" i="9"/>
  <c r="G29" i="9"/>
  <c r="G36" i="9" s="1"/>
  <c r="G63" i="9" s="1"/>
  <c r="B30" i="9"/>
  <c r="C30" i="9"/>
  <c r="D30" i="9"/>
  <c r="E30" i="9"/>
  <c r="F30" i="9"/>
  <c r="G30" i="9"/>
  <c r="B31" i="9"/>
  <c r="C31" i="9"/>
  <c r="D31" i="9"/>
  <c r="E31" i="9"/>
  <c r="F31" i="9"/>
  <c r="G31" i="9"/>
  <c r="B32" i="9"/>
  <c r="C32" i="9"/>
  <c r="D32" i="9"/>
  <c r="E32" i="9"/>
  <c r="F32" i="9"/>
  <c r="G32" i="9"/>
  <c r="B33" i="9"/>
  <c r="C33" i="9"/>
  <c r="D33" i="9"/>
  <c r="E33" i="9"/>
  <c r="F33" i="9"/>
  <c r="G33" i="9"/>
  <c r="B34" i="9"/>
  <c r="C34" i="9"/>
  <c r="D34" i="9"/>
  <c r="E34" i="9"/>
  <c r="F34" i="9"/>
  <c r="G34" i="9"/>
  <c r="B35" i="9"/>
  <c r="C35" i="9"/>
  <c r="D35" i="9"/>
  <c r="E35" i="9"/>
  <c r="F35" i="9"/>
  <c r="G35" i="9"/>
  <c r="G27" i="9"/>
  <c r="F27" i="9"/>
  <c r="E27" i="9"/>
  <c r="D27" i="9"/>
  <c r="C27" i="9"/>
  <c r="B27" i="9"/>
  <c r="B21" i="9"/>
  <c r="C21" i="9"/>
  <c r="B22" i="9"/>
  <c r="C22" i="9"/>
  <c r="B23" i="9"/>
  <c r="C23" i="9"/>
  <c r="D23" i="9"/>
  <c r="E23" i="9"/>
  <c r="F23" i="9"/>
  <c r="G23" i="9"/>
  <c r="B24" i="9"/>
  <c r="C24" i="9"/>
  <c r="D24" i="9"/>
  <c r="E24" i="9"/>
  <c r="F24" i="9"/>
  <c r="G24" i="9"/>
  <c r="C20" i="9"/>
  <c r="B20" i="9"/>
  <c r="B5" i="9"/>
  <c r="C5" i="9"/>
  <c r="D5" i="9"/>
  <c r="E5" i="9"/>
  <c r="F5" i="9"/>
  <c r="G5" i="9"/>
  <c r="B6" i="9"/>
  <c r="C6" i="9"/>
  <c r="D6" i="9"/>
  <c r="D17" i="9" s="1"/>
  <c r="E6" i="9"/>
  <c r="F6" i="9"/>
  <c r="G6" i="9"/>
  <c r="B7" i="9"/>
  <c r="C7" i="9"/>
  <c r="D7" i="9"/>
  <c r="E7" i="9"/>
  <c r="F7" i="9"/>
  <c r="G7" i="9"/>
  <c r="B8" i="9"/>
  <c r="C8" i="9"/>
  <c r="D8" i="9"/>
  <c r="E8" i="9"/>
  <c r="F8" i="9"/>
  <c r="G8" i="9"/>
  <c r="B9" i="9"/>
  <c r="C9" i="9"/>
  <c r="D9" i="9"/>
  <c r="E9" i="9"/>
  <c r="F9" i="9"/>
  <c r="G9" i="9"/>
  <c r="B10" i="9"/>
  <c r="C10" i="9"/>
  <c r="D10" i="9"/>
  <c r="E10" i="9"/>
  <c r="F10" i="9"/>
  <c r="G10" i="9"/>
  <c r="B11" i="9"/>
  <c r="C11" i="9"/>
  <c r="D11" i="9"/>
  <c r="E11" i="9"/>
  <c r="F11" i="9"/>
  <c r="G11" i="9"/>
  <c r="B12" i="9"/>
  <c r="C12" i="9"/>
  <c r="D12" i="9"/>
  <c r="E12" i="9"/>
  <c r="F12" i="9"/>
  <c r="G12" i="9"/>
  <c r="B13" i="9"/>
  <c r="C13" i="9"/>
  <c r="D13" i="9"/>
  <c r="E13" i="9"/>
  <c r="F13" i="9"/>
  <c r="G13" i="9"/>
  <c r="B14" i="9"/>
  <c r="C14" i="9"/>
  <c r="D14" i="9"/>
  <c r="E14" i="9"/>
  <c r="F14" i="9"/>
  <c r="G14" i="9"/>
  <c r="B15" i="9"/>
  <c r="C15" i="9"/>
  <c r="D15" i="9"/>
  <c r="E15" i="9"/>
  <c r="F15" i="9"/>
  <c r="G15" i="9"/>
  <c r="B16" i="9"/>
  <c r="C16" i="9"/>
  <c r="D16" i="9"/>
  <c r="E16" i="9"/>
  <c r="F16" i="9"/>
  <c r="G16" i="9"/>
  <c r="G4" i="9"/>
  <c r="F4" i="9"/>
  <c r="F17" i="9" s="1"/>
  <c r="E4" i="9"/>
  <c r="D4" i="9"/>
  <c r="C4" i="9"/>
  <c r="B4" i="9"/>
  <c r="G2" i="9"/>
  <c r="F2" i="9"/>
  <c r="E2" i="9"/>
  <c r="D2" i="9"/>
  <c r="C2" i="9"/>
  <c r="B2" i="9"/>
  <c r="G222" i="10"/>
  <c r="F222" i="10"/>
  <c r="E222" i="10"/>
  <c r="D222" i="10"/>
  <c r="C222" i="10"/>
  <c r="B222" i="10"/>
  <c r="A222" i="10"/>
  <c r="G217" i="10"/>
  <c r="F217" i="10"/>
  <c r="E217" i="10"/>
  <c r="D217" i="10"/>
  <c r="C217" i="10"/>
  <c r="B217" i="10"/>
  <c r="G216" i="10"/>
  <c r="F216" i="10"/>
  <c r="E216" i="10"/>
  <c r="D216" i="10"/>
  <c r="C216" i="10"/>
  <c r="B216" i="10"/>
  <c r="D215" i="10"/>
  <c r="C215" i="10"/>
  <c r="B215" i="10"/>
  <c r="D214" i="10"/>
  <c r="C214" i="10"/>
  <c r="B214" i="10"/>
  <c r="D213" i="10"/>
  <c r="C213" i="10"/>
  <c r="B213" i="10"/>
  <c r="C208" i="10"/>
  <c r="B208" i="10"/>
  <c r="C207" i="10"/>
  <c r="B207" i="10"/>
  <c r="G206" i="10"/>
  <c r="F206" i="10"/>
  <c r="E206" i="10"/>
  <c r="D206" i="10"/>
  <c r="C206" i="10"/>
  <c r="B206" i="10"/>
  <c r="C205" i="10"/>
  <c r="B205" i="10"/>
  <c r="D204" i="10"/>
  <c r="C204" i="10"/>
  <c r="B204" i="10"/>
  <c r="D203" i="10"/>
  <c r="C203" i="10"/>
  <c r="B203" i="10"/>
  <c r="D202" i="10"/>
  <c r="C202" i="10"/>
  <c r="B202" i="10"/>
  <c r="D201" i="10"/>
  <c r="C201" i="10"/>
  <c r="B201" i="10"/>
  <c r="D200" i="10"/>
  <c r="C200" i="10"/>
  <c r="B200" i="10"/>
  <c r="D199" i="10"/>
  <c r="C199" i="10"/>
  <c r="C209" i="10" s="1"/>
  <c r="B199" i="10"/>
  <c r="B209" i="10" s="1"/>
  <c r="G198" i="10"/>
  <c r="F198" i="10"/>
  <c r="E198" i="10"/>
  <c r="D198" i="10"/>
  <c r="C198" i="10"/>
  <c r="B198" i="10"/>
  <c r="C196" i="10"/>
  <c r="B196" i="10"/>
  <c r="G195" i="10"/>
  <c r="F195" i="10"/>
  <c r="E195" i="10"/>
  <c r="D195" i="10"/>
  <c r="C195" i="10"/>
  <c r="B195" i="10"/>
  <c r="G194" i="10"/>
  <c r="F194" i="10"/>
  <c r="E194" i="10"/>
  <c r="D194" i="10"/>
  <c r="C194" i="10"/>
  <c r="B194" i="10"/>
  <c r="G193" i="10"/>
  <c r="F193" i="10"/>
  <c r="E193" i="10"/>
  <c r="D193" i="10"/>
  <c r="C193" i="10"/>
  <c r="B193" i="10"/>
  <c r="G192" i="10"/>
  <c r="F192" i="10"/>
  <c r="E192" i="10"/>
  <c r="D192" i="10"/>
  <c r="C192" i="10"/>
  <c r="B192" i="10"/>
  <c r="C191" i="10"/>
  <c r="B191" i="10"/>
  <c r="G190" i="10"/>
  <c r="F190" i="10"/>
  <c r="E190" i="10"/>
  <c r="D190" i="10"/>
  <c r="C190" i="10"/>
  <c r="B190" i="10"/>
  <c r="G189" i="10"/>
  <c r="F189" i="10"/>
  <c r="E189" i="10"/>
  <c r="D189" i="10"/>
  <c r="C189" i="10"/>
  <c r="B189" i="10"/>
  <c r="G188" i="10"/>
  <c r="F188" i="10"/>
  <c r="E188" i="10"/>
  <c r="D188" i="10"/>
  <c r="C188" i="10"/>
  <c r="B188" i="10"/>
  <c r="G187" i="10"/>
  <c r="F187" i="10"/>
  <c r="E187" i="10"/>
  <c r="D187" i="10"/>
  <c r="C187" i="10"/>
  <c r="B187" i="10"/>
  <c r="G186" i="10"/>
  <c r="F186" i="10"/>
  <c r="E186" i="10"/>
  <c r="D186" i="10"/>
  <c r="C186" i="10"/>
  <c r="B186" i="10"/>
  <c r="G185" i="10"/>
  <c r="F185" i="10"/>
  <c r="E185" i="10"/>
  <c r="D185" i="10"/>
  <c r="C185" i="10"/>
  <c r="B185" i="10"/>
  <c r="G184" i="10"/>
  <c r="F184" i="10"/>
  <c r="E184" i="10"/>
  <c r="D184" i="10"/>
  <c r="C184" i="10"/>
  <c r="B184" i="10"/>
  <c r="G183" i="10"/>
  <c r="F183" i="10"/>
  <c r="E183" i="10"/>
  <c r="D183" i="10"/>
  <c r="C183" i="10"/>
  <c r="B183" i="10"/>
  <c r="G182" i="10"/>
  <c r="F182" i="10"/>
  <c r="E182" i="10"/>
  <c r="D182" i="10"/>
  <c r="C182" i="10"/>
  <c r="B182" i="10"/>
  <c r="D181" i="10"/>
  <c r="C181" i="10"/>
  <c r="B181" i="10"/>
  <c r="G180" i="10"/>
  <c r="F180" i="10"/>
  <c r="E180" i="10"/>
  <c r="D180" i="10"/>
  <c r="C180" i="10"/>
  <c r="B180" i="10"/>
  <c r="G179" i="10"/>
  <c r="F179" i="10"/>
  <c r="E179" i="10"/>
  <c r="D179" i="10"/>
  <c r="C179" i="10"/>
  <c r="B179" i="10"/>
  <c r="C178" i="10"/>
  <c r="B178" i="10"/>
  <c r="C177" i="10"/>
  <c r="B177" i="10"/>
  <c r="D176" i="10"/>
  <c r="C176" i="10"/>
  <c r="B176" i="10"/>
  <c r="G175" i="10"/>
  <c r="E175" i="10"/>
  <c r="D175" i="10"/>
  <c r="C175" i="10"/>
  <c r="B175" i="10"/>
  <c r="G174" i="10"/>
  <c r="F174" i="10"/>
  <c r="E174" i="10"/>
  <c r="D174" i="10"/>
  <c r="C174" i="10"/>
  <c r="B174" i="10"/>
  <c r="D173" i="10"/>
  <c r="C173" i="10"/>
  <c r="B173" i="10"/>
  <c r="B197" i="10" s="1"/>
  <c r="D172" i="10"/>
  <c r="C172" i="10"/>
  <c r="C197" i="10" s="1"/>
  <c r="B172" i="10"/>
  <c r="G171" i="10"/>
  <c r="F171" i="10"/>
  <c r="E171" i="10"/>
  <c r="D171" i="10"/>
  <c r="C171" i="10"/>
  <c r="B171" i="10"/>
  <c r="G169" i="10"/>
  <c r="F169" i="10"/>
  <c r="E169" i="10"/>
  <c r="D169" i="10"/>
  <c r="C169" i="10"/>
  <c r="B169" i="10"/>
  <c r="G168" i="10"/>
  <c r="F168" i="10"/>
  <c r="E168" i="10"/>
  <c r="D168" i="10"/>
  <c r="C168" i="10"/>
  <c r="B168" i="10"/>
  <c r="G167" i="10"/>
  <c r="F167" i="10"/>
  <c r="E167" i="10"/>
  <c r="D167" i="10"/>
  <c r="C167" i="10"/>
  <c r="B167" i="10"/>
  <c r="G166" i="10"/>
  <c r="F166" i="10"/>
  <c r="E166" i="10"/>
  <c r="D166" i="10"/>
  <c r="C166" i="10"/>
  <c r="B166" i="10"/>
  <c r="G165" i="10"/>
  <c r="F165" i="10"/>
  <c r="E165" i="10"/>
  <c r="D165" i="10"/>
  <c r="C165" i="10"/>
  <c r="G164" i="10"/>
  <c r="F164" i="10"/>
  <c r="E164" i="10"/>
  <c r="D164" i="10"/>
  <c r="C164" i="10"/>
  <c r="B164" i="10"/>
  <c r="G163" i="10"/>
  <c r="F163" i="10"/>
  <c r="D163" i="10"/>
  <c r="C163" i="10"/>
  <c r="B163" i="10"/>
  <c r="C162" i="10"/>
  <c r="B162" i="10"/>
  <c r="C161" i="10"/>
  <c r="B161" i="10"/>
  <c r="G160" i="10"/>
  <c r="F160" i="10"/>
  <c r="E160" i="10"/>
  <c r="D160" i="10"/>
  <c r="C160" i="10"/>
  <c r="B160" i="10"/>
  <c r="G159" i="10"/>
  <c r="F159" i="10"/>
  <c r="E159" i="10"/>
  <c r="D159" i="10"/>
  <c r="C159" i="10"/>
  <c r="B159" i="10"/>
  <c r="G158" i="10"/>
  <c r="F158" i="10"/>
  <c r="E158" i="10"/>
  <c r="D158" i="10"/>
  <c r="C158" i="10"/>
  <c r="B158" i="10"/>
  <c r="G157" i="10"/>
  <c r="F157" i="10"/>
  <c r="E157" i="10"/>
  <c r="D157" i="10"/>
  <c r="C157" i="10"/>
  <c r="B157" i="10"/>
  <c r="C156" i="10"/>
  <c r="C170" i="10" s="1"/>
  <c r="B156" i="10"/>
  <c r="G155" i="10"/>
  <c r="F155" i="10"/>
  <c r="E155" i="10"/>
  <c r="D155" i="10"/>
  <c r="C155" i="10"/>
  <c r="B155" i="10"/>
  <c r="G153" i="10"/>
  <c r="F153" i="10"/>
  <c r="E153" i="10"/>
  <c r="D153" i="10"/>
  <c r="C153" i="10"/>
  <c r="B153" i="10"/>
  <c r="G152" i="10"/>
  <c r="F152" i="10"/>
  <c r="E152" i="10"/>
  <c r="D152" i="10"/>
  <c r="C152" i="10"/>
  <c r="B152" i="10"/>
  <c r="C151" i="10"/>
  <c r="B151" i="10"/>
  <c r="G150" i="10"/>
  <c r="F150" i="10"/>
  <c r="E150" i="10"/>
  <c r="D150" i="10"/>
  <c r="C150" i="10"/>
  <c r="B150" i="10"/>
  <c r="G149" i="10"/>
  <c r="F149" i="10"/>
  <c r="E149" i="10"/>
  <c r="D149" i="10"/>
  <c r="C149" i="10"/>
  <c r="B149" i="10"/>
  <c r="G148" i="10"/>
  <c r="F148" i="10"/>
  <c r="E148" i="10"/>
  <c r="D148" i="10"/>
  <c r="C148" i="10"/>
  <c r="B148" i="10"/>
  <c r="G147" i="10"/>
  <c r="F147" i="10"/>
  <c r="E147" i="10"/>
  <c r="D147" i="10"/>
  <c r="C147" i="10"/>
  <c r="B147" i="10"/>
  <c r="G146" i="10"/>
  <c r="F146" i="10"/>
  <c r="E146" i="10"/>
  <c r="D146" i="10"/>
  <c r="C146" i="10"/>
  <c r="B146" i="10"/>
  <c r="G145" i="10"/>
  <c r="F145" i="10"/>
  <c r="E145" i="10"/>
  <c r="D145" i="10"/>
  <c r="C145" i="10"/>
  <c r="G144" i="10"/>
  <c r="F144" i="10"/>
  <c r="E144" i="10"/>
  <c r="D144" i="10"/>
  <c r="C144" i="10"/>
  <c r="C154" i="10" s="1"/>
  <c r="B144" i="10"/>
  <c r="G143" i="10"/>
  <c r="F143" i="10"/>
  <c r="E143" i="10"/>
  <c r="D143" i="10"/>
  <c r="C143" i="10"/>
  <c r="B143" i="10"/>
  <c r="D140" i="10"/>
  <c r="C140" i="10"/>
  <c r="B140" i="10"/>
  <c r="G139" i="10"/>
  <c r="F139" i="10"/>
  <c r="E139" i="10"/>
  <c r="D139" i="10"/>
  <c r="C139" i="10"/>
  <c r="B139" i="10"/>
  <c r="G138" i="10"/>
  <c r="F138" i="10"/>
  <c r="E138" i="10"/>
  <c r="D138" i="10"/>
  <c r="C138" i="10"/>
  <c r="B138" i="10"/>
  <c r="G137" i="10"/>
  <c r="F137" i="10"/>
  <c r="E137" i="10"/>
  <c r="D137" i="10"/>
  <c r="C137" i="10"/>
  <c r="B137" i="10"/>
  <c r="D136" i="10"/>
  <c r="C136" i="10"/>
  <c r="B136" i="10"/>
  <c r="D135" i="10"/>
  <c r="C135" i="10"/>
  <c r="B135" i="10"/>
  <c r="B134" i="10"/>
  <c r="B133" i="10"/>
  <c r="B141" i="10" s="1"/>
  <c r="G130" i="10"/>
  <c r="F130" i="10"/>
  <c r="E130" i="10"/>
  <c r="D130" i="10"/>
  <c r="C130" i="10"/>
  <c r="B130" i="10"/>
  <c r="D129" i="10"/>
  <c r="C129" i="10"/>
  <c r="B129" i="10"/>
  <c r="D128" i="10"/>
  <c r="C128" i="10"/>
  <c r="B128" i="10"/>
  <c r="D127" i="10"/>
  <c r="C127" i="10"/>
  <c r="B127" i="10"/>
  <c r="D126" i="10"/>
  <c r="C126" i="10"/>
  <c r="B126" i="10"/>
  <c r="D125" i="10"/>
  <c r="C125" i="10"/>
  <c r="B125" i="10"/>
  <c r="D124" i="10"/>
  <c r="C124" i="10"/>
  <c r="B124" i="10"/>
  <c r="D123" i="10"/>
  <c r="D131" i="10" s="1"/>
  <c r="C123" i="10"/>
  <c r="C131" i="10" s="1"/>
  <c r="B123" i="10"/>
  <c r="B131" i="10" s="1"/>
  <c r="B120" i="10"/>
  <c r="D119" i="10"/>
  <c r="C119" i="10"/>
  <c r="B119" i="10"/>
  <c r="D118" i="10"/>
  <c r="C118" i="10"/>
  <c r="B118" i="10"/>
  <c r="D117" i="10"/>
  <c r="C117" i="10"/>
  <c r="B117" i="10"/>
  <c r="D116" i="10"/>
  <c r="C116" i="10"/>
  <c r="B116" i="10"/>
  <c r="D115" i="10"/>
  <c r="C115" i="10"/>
  <c r="B115" i="10"/>
  <c r="D114" i="10"/>
  <c r="C114" i="10"/>
  <c r="B114" i="10"/>
  <c r="B68" i="10" s="1"/>
  <c r="D113" i="10"/>
  <c r="C113" i="10"/>
  <c r="B113" i="10"/>
  <c r="D112" i="10"/>
  <c r="C112" i="10"/>
  <c r="B112" i="10"/>
  <c r="D111" i="10"/>
  <c r="C111" i="10"/>
  <c r="B111" i="10"/>
  <c r="D110" i="10"/>
  <c r="C110" i="10"/>
  <c r="B110" i="10"/>
  <c r="D109" i="10"/>
  <c r="C109" i="10"/>
  <c r="B109" i="10"/>
  <c r="D108" i="10"/>
  <c r="C108" i="10"/>
  <c r="B108" i="10"/>
  <c r="D107" i="10"/>
  <c r="C107" i="10"/>
  <c r="B107" i="10"/>
  <c r="B121" i="10" s="1"/>
  <c r="B132" i="10" s="1"/>
  <c r="G105" i="10"/>
  <c r="F105" i="10"/>
  <c r="E105" i="10"/>
  <c r="D105" i="10"/>
  <c r="C105" i="10"/>
  <c r="B105" i="10"/>
  <c r="G102" i="10"/>
  <c r="F102" i="10"/>
  <c r="E102" i="10"/>
  <c r="D102" i="10"/>
  <c r="C102" i="10"/>
  <c r="B102" i="10"/>
  <c r="C101" i="10"/>
  <c r="B101" i="10"/>
  <c r="G100" i="10"/>
  <c r="F100" i="10"/>
  <c r="E100" i="10"/>
  <c r="D100" i="10"/>
  <c r="C100" i="10"/>
  <c r="B100" i="10"/>
  <c r="G99" i="10"/>
  <c r="F99" i="10"/>
  <c r="E99" i="10"/>
  <c r="D99" i="10"/>
  <c r="C99" i="10"/>
  <c r="C103" i="10" s="1"/>
  <c r="B99" i="10"/>
  <c r="B103" i="10" s="1"/>
  <c r="G95" i="10"/>
  <c r="F95" i="10"/>
  <c r="E95" i="10"/>
  <c r="D95" i="10"/>
  <c r="C95" i="10"/>
  <c r="B95" i="10"/>
  <c r="G94" i="10"/>
  <c r="F94" i="10"/>
  <c r="E94" i="10"/>
  <c r="D94" i="10"/>
  <c r="C94" i="10"/>
  <c r="G93" i="10"/>
  <c r="F93" i="10"/>
  <c r="E93" i="10"/>
  <c r="D93" i="10"/>
  <c r="C93" i="10"/>
  <c r="B93" i="10"/>
  <c r="G92" i="10"/>
  <c r="G96" i="10" s="1"/>
  <c r="F92" i="10"/>
  <c r="F96" i="10" s="1"/>
  <c r="E92" i="10"/>
  <c r="E96" i="10" s="1"/>
  <c r="D92" i="10"/>
  <c r="D96" i="10" s="1"/>
  <c r="C92" i="10"/>
  <c r="C96" i="10" s="1"/>
  <c r="B92" i="10"/>
  <c r="G89" i="10"/>
  <c r="F89" i="10"/>
  <c r="E89" i="10"/>
  <c r="D89" i="10"/>
  <c r="C89" i="10"/>
  <c r="B89" i="10"/>
  <c r="G88" i="10"/>
  <c r="F88" i="10"/>
  <c r="E88" i="10"/>
  <c r="D88" i="10"/>
  <c r="C88" i="10"/>
  <c r="B88" i="10"/>
  <c r="G87" i="10"/>
  <c r="F87" i="10"/>
  <c r="E87" i="10"/>
  <c r="D87" i="10"/>
  <c r="C87" i="10"/>
  <c r="B87" i="10"/>
  <c r="G86" i="10"/>
  <c r="F86" i="10"/>
  <c r="E86" i="10"/>
  <c r="D86" i="10"/>
  <c r="C86" i="10"/>
  <c r="B86" i="10"/>
  <c r="G85" i="10"/>
  <c r="F85" i="10"/>
  <c r="E85" i="10"/>
  <c r="D85" i="10"/>
  <c r="C85" i="10"/>
  <c r="B85" i="10"/>
  <c r="G84" i="10"/>
  <c r="F84" i="10"/>
  <c r="E84" i="10"/>
  <c r="D84" i="10"/>
  <c r="C84" i="10"/>
  <c r="B84" i="10"/>
  <c r="G83" i="10"/>
  <c r="F83" i="10"/>
  <c r="E83" i="10"/>
  <c r="D83" i="10"/>
  <c r="C83" i="10"/>
  <c r="B83" i="10"/>
  <c r="C82" i="10"/>
  <c r="C90" i="10" s="1"/>
  <c r="B82" i="10"/>
  <c r="B90" i="10" s="1"/>
  <c r="C79" i="10"/>
  <c r="B79" i="10"/>
  <c r="G78" i="10"/>
  <c r="F78" i="10"/>
  <c r="E78" i="10"/>
  <c r="D78" i="10"/>
  <c r="C78" i="10"/>
  <c r="B78" i="10"/>
  <c r="G77" i="10"/>
  <c r="F77" i="10"/>
  <c r="E77" i="10"/>
  <c r="D77" i="10"/>
  <c r="C77" i="10"/>
  <c r="B77" i="10"/>
  <c r="C76" i="10"/>
  <c r="B76" i="10"/>
  <c r="C75" i="10"/>
  <c r="B75" i="10"/>
  <c r="G74" i="10"/>
  <c r="F74" i="10"/>
  <c r="E74" i="10"/>
  <c r="D74" i="10"/>
  <c r="C74" i="10"/>
  <c r="C80" i="10" s="1"/>
  <c r="C97" i="10" s="1"/>
  <c r="B74" i="10"/>
  <c r="B80" i="10" s="1"/>
  <c r="G72" i="10"/>
  <c r="F72" i="10"/>
  <c r="E72" i="10"/>
  <c r="D72" i="10"/>
  <c r="C72" i="10"/>
  <c r="B72" i="10"/>
  <c r="G60" i="10"/>
  <c r="F60" i="10"/>
  <c r="E60" i="10"/>
  <c r="D60" i="10"/>
  <c r="C60" i="10"/>
  <c r="B60" i="10"/>
  <c r="G59" i="10"/>
  <c r="F59" i="10"/>
  <c r="E59" i="10"/>
  <c r="D59" i="10"/>
  <c r="C59" i="10"/>
  <c r="B59" i="10"/>
  <c r="G58" i="10"/>
  <c r="F58" i="10"/>
  <c r="E58" i="10"/>
  <c r="D58" i="10"/>
  <c r="C58" i="10"/>
  <c r="B58" i="10"/>
  <c r="G57" i="10"/>
  <c r="F57" i="10"/>
  <c r="E57" i="10"/>
  <c r="D57" i="10"/>
  <c r="C57" i="10"/>
  <c r="B57" i="10"/>
  <c r="G56" i="10"/>
  <c r="F56" i="10"/>
  <c r="E56" i="10"/>
  <c r="D56" i="10"/>
  <c r="C56" i="10"/>
  <c r="B56" i="10"/>
  <c r="G55" i="10"/>
  <c r="F55" i="10"/>
  <c r="E55" i="10"/>
  <c r="D55" i="10"/>
  <c r="C55" i="10"/>
  <c r="B55" i="10"/>
  <c r="G54" i="10"/>
  <c r="F54" i="10"/>
  <c r="E54" i="10"/>
  <c r="D54" i="10"/>
  <c r="C54" i="10"/>
  <c r="B54" i="10"/>
  <c r="G53" i="10"/>
  <c r="F53" i="10"/>
  <c r="E53" i="10"/>
  <c r="D53" i="10"/>
  <c r="C53" i="10"/>
  <c r="B53" i="10"/>
  <c r="G52" i="10"/>
  <c r="F52" i="10"/>
  <c r="E52" i="10"/>
  <c r="D52" i="10"/>
  <c r="C52" i="10"/>
  <c r="B52" i="10"/>
  <c r="G51" i="10"/>
  <c r="F51" i="10"/>
  <c r="E51" i="10"/>
  <c r="D51" i="10"/>
  <c r="C51" i="10"/>
  <c r="B51" i="10"/>
  <c r="D50" i="10"/>
  <c r="C50" i="10"/>
  <c r="B50" i="10"/>
  <c r="G49" i="10"/>
  <c r="F49" i="10"/>
  <c r="E49" i="10"/>
  <c r="D49" i="10"/>
  <c r="C49" i="10"/>
  <c r="B49" i="10"/>
  <c r="G48" i="10"/>
  <c r="F48" i="10"/>
  <c r="E48" i="10"/>
  <c r="D48" i="10"/>
  <c r="C48" i="10"/>
  <c r="B48" i="10"/>
  <c r="G47" i="10"/>
  <c r="F47" i="10"/>
  <c r="E47" i="10"/>
  <c r="D47" i="10"/>
  <c r="C47" i="10"/>
  <c r="B47" i="10"/>
  <c r="G46" i="10"/>
  <c r="F46" i="10"/>
  <c r="E46" i="10"/>
  <c r="D46" i="10"/>
  <c r="C46" i="10"/>
  <c r="B46" i="10"/>
  <c r="G45" i="10"/>
  <c r="F45" i="10"/>
  <c r="E45" i="10"/>
  <c r="D45" i="10"/>
  <c r="C45" i="10"/>
  <c r="B45" i="10"/>
  <c r="G44" i="10"/>
  <c r="F44" i="10"/>
  <c r="E44" i="10"/>
  <c r="D44" i="10"/>
  <c r="C44" i="10"/>
  <c r="B44" i="10"/>
  <c r="G43" i="10"/>
  <c r="F43" i="10"/>
  <c r="E43" i="10"/>
  <c r="D43" i="10"/>
  <c r="C43" i="10"/>
  <c r="B43" i="10"/>
  <c r="G42" i="10"/>
  <c r="F42" i="10"/>
  <c r="E42" i="10"/>
  <c r="D42" i="10"/>
  <c r="C42" i="10"/>
  <c r="B42" i="10"/>
  <c r="G41" i="10"/>
  <c r="F41" i="10"/>
  <c r="E41" i="10"/>
  <c r="D41" i="10"/>
  <c r="C41" i="10"/>
  <c r="B41" i="10"/>
  <c r="G40" i="10"/>
  <c r="F40" i="10"/>
  <c r="E40" i="10"/>
  <c r="D40" i="10"/>
  <c r="C40" i="10"/>
  <c r="B40" i="10"/>
  <c r="G39" i="10"/>
  <c r="F39" i="10"/>
  <c r="E39" i="10"/>
  <c r="D39" i="10"/>
  <c r="D61" i="10" s="1"/>
  <c r="D64" i="10" s="1"/>
  <c r="C39" i="10"/>
  <c r="C61" i="10" s="1"/>
  <c r="C64" i="10" s="1"/>
  <c r="B39" i="10"/>
  <c r="B61" i="10" s="1"/>
  <c r="B64" i="10" s="1"/>
  <c r="G38" i="10"/>
  <c r="F38" i="10"/>
  <c r="E38" i="10"/>
  <c r="D38" i="10"/>
  <c r="C38" i="10"/>
  <c r="B38" i="10"/>
  <c r="G35" i="10"/>
  <c r="F35" i="10"/>
  <c r="E35" i="10"/>
  <c r="D35" i="10"/>
  <c r="C35" i="10"/>
  <c r="B35" i="10"/>
  <c r="D34" i="10"/>
  <c r="C34" i="10"/>
  <c r="B34" i="10"/>
  <c r="G33" i="10"/>
  <c r="F33" i="10"/>
  <c r="E33" i="10"/>
  <c r="D33" i="10"/>
  <c r="C33" i="10"/>
  <c r="B33" i="10"/>
  <c r="G32" i="10"/>
  <c r="F32" i="10"/>
  <c r="E32" i="10"/>
  <c r="D32" i="10"/>
  <c r="C32" i="10"/>
  <c r="B32" i="10"/>
  <c r="G31" i="10"/>
  <c r="F31" i="10"/>
  <c r="E31" i="10"/>
  <c r="D31" i="10"/>
  <c r="C31" i="10"/>
  <c r="B31" i="10"/>
  <c r="G30" i="10"/>
  <c r="F30" i="10"/>
  <c r="E30" i="10"/>
  <c r="D30" i="10"/>
  <c r="C30" i="10"/>
  <c r="B30" i="10"/>
  <c r="G29" i="10"/>
  <c r="F29" i="10"/>
  <c r="E29" i="10"/>
  <c r="D29" i="10"/>
  <c r="C29" i="10"/>
  <c r="B29" i="10"/>
  <c r="F28" i="10"/>
  <c r="E28" i="10"/>
  <c r="D28" i="10"/>
  <c r="C28" i="10"/>
  <c r="B28" i="10"/>
  <c r="B36" i="10" s="1"/>
  <c r="B63" i="10" s="1"/>
  <c r="B65" i="10" s="1"/>
  <c r="G27" i="10"/>
  <c r="F27" i="10"/>
  <c r="E27" i="10"/>
  <c r="D27" i="10"/>
  <c r="D36" i="10" s="1"/>
  <c r="D63" i="10" s="1"/>
  <c r="D65" i="10" s="1"/>
  <c r="C27" i="10"/>
  <c r="C36" i="10" s="1"/>
  <c r="C63" i="10" s="1"/>
  <c r="C65" i="10" s="1"/>
  <c r="B27" i="10"/>
  <c r="G26" i="10"/>
  <c r="F26" i="10"/>
  <c r="E26" i="10"/>
  <c r="D26" i="10"/>
  <c r="C26" i="10"/>
  <c r="B26" i="10"/>
  <c r="G24" i="10"/>
  <c r="F24" i="10"/>
  <c r="E24" i="10"/>
  <c r="D24" i="10"/>
  <c r="C24" i="10"/>
  <c r="B24" i="10"/>
  <c r="G23" i="10"/>
  <c r="D23" i="10"/>
  <c r="C23" i="10"/>
  <c r="C22" i="10"/>
  <c r="B22" i="10"/>
  <c r="C21" i="10"/>
  <c r="B21" i="10"/>
  <c r="C20" i="10"/>
  <c r="B20" i="10"/>
  <c r="G19" i="10"/>
  <c r="F19" i="10"/>
  <c r="E19" i="10"/>
  <c r="D19" i="10"/>
  <c r="C19" i="10"/>
  <c r="B19" i="10"/>
  <c r="G16" i="10"/>
  <c r="F16" i="10"/>
  <c r="E16" i="10"/>
  <c r="D16" i="10"/>
  <c r="C16" i="10"/>
  <c r="B16" i="10"/>
  <c r="G15" i="10"/>
  <c r="F15" i="10"/>
  <c r="E15" i="10"/>
  <c r="D15" i="10"/>
  <c r="C15" i="10"/>
  <c r="B15" i="10"/>
  <c r="G14" i="10"/>
  <c r="F14" i="10"/>
  <c r="E14" i="10"/>
  <c r="D14" i="10"/>
  <c r="C14" i="10"/>
  <c r="B14" i="10"/>
  <c r="G13" i="10"/>
  <c r="F13" i="10"/>
  <c r="E13" i="10"/>
  <c r="D13" i="10"/>
  <c r="C13" i="10"/>
  <c r="B13" i="10"/>
  <c r="G12" i="10"/>
  <c r="F12" i="10"/>
  <c r="E12" i="10"/>
  <c r="D12" i="10"/>
  <c r="C12" i="10"/>
  <c r="B12" i="10"/>
  <c r="G11" i="10"/>
  <c r="F11" i="10"/>
  <c r="E11" i="10"/>
  <c r="D11" i="10"/>
  <c r="C11" i="10"/>
  <c r="B11" i="10"/>
  <c r="G10" i="10"/>
  <c r="F10" i="10"/>
  <c r="E10" i="10"/>
  <c r="D10" i="10"/>
  <c r="C10" i="10"/>
  <c r="B10" i="10"/>
  <c r="G9" i="10"/>
  <c r="F9" i="10"/>
  <c r="E9" i="10"/>
  <c r="D9" i="10"/>
  <c r="C9" i="10"/>
  <c r="B9" i="10"/>
  <c r="G8" i="10"/>
  <c r="F8" i="10"/>
  <c r="E8" i="10"/>
  <c r="D8" i="10"/>
  <c r="C8" i="10"/>
  <c r="B8" i="10"/>
  <c r="G7" i="10"/>
  <c r="F7" i="10"/>
  <c r="E7" i="10"/>
  <c r="D7" i="10"/>
  <c r="C7" i="10"/>
  <c r="B7" i="10"/>
  <c r="G6" i="10"/>
  <c r="F6" i="10"/>
  <c r="E6" i="10"/>
  <c r="D6" i="10"/>
  <c r="C6" i="10"/>
  <c r="B6" i="10"/>
  <c r="G5" i="10"/>
  <c r="G17" i="10" s="1"/>
  <c r="F5" i="10"/>
  <c r="F17" i="10" s="1"/>
  <c r="E5" i="10"/>
  <c r="D5" i="10"/>
  <c r="D17" i="10" s="1"/>
  <c r="C5" i="10"/>
  <c r="C17" i="10" s="1"/>
  <c r="B5" i="10"/>
  <c r="G4" i="10"/>
  <c r="F4" i="10"/>
  <c r="E4" i="10"/>
  <c r="D4" i="10"/>
  <c r="C4" i="10"/>
  <c r="B4" i="10"/>
  <c r="B17" i="10" s="1"/>
  <c r="G3" i="10"/>
  <c r="F3" i="10"/>
  <c r="D3" i="10"/>
  <c r="C3" i="10"/>
  <c r="L2" i="10"/>
  <c r="G2" i="10"/>
  <c r="N2" i="10" s="1"/>
  <c r="F2" i="10"/>
  <c r="M2" i="10" s="1"/>
  <c r="E2" i="10"/>
  <c r="D2" i="10"/>
  <c r="K2" i="10" s="1"/>
  <c r="C2" i="10"/>
  <c r="J2" i="10" s="1"/>
  <c r="B2" i="10"/>
  <c r="B217" i="9"/>
  <c r="C217" i="9"/>
  <c r="D217" i="9"/>
  <c r="E217" i="9"/>
  <c r="F217" i="9"/>
  <c r="G217" i="9"/>
  <c r="C170" i="9"/>
  <c r="D170" i="9"/>
  <c r="G131" i="9"/>
  <c r="C131" i="9"/>
  <c r="C103" i="9"/>
  <c r="F103" i="9"/>
  <c r="C61" i="9"/>
  <c r="C64" i="9" s="1"/>
  <c r="G61" i="9"/>
  <c r="G64" i="9" s="1"/>
  <c r="G17" i="9"/>
  <c r="L2" i="9"/>
  <c r="N2" i="9"/>
  <c r="M2" i="9"/>
  <c r="G222" i="9"/>
  <c r="G198" i="9"/>
  <c r="G171" i="9"/>
  <c r="G155" i="9"/>
  <c r="G143" i="9"/>
  <c r="G105" i="9"/>
  <c r="G72" i="9"/>
  <c r="G38" i="9"/>
  <c r="G26" i="9"/>
  <c r="G19" i="9"/>
  <c r="F222" i="9"/>
  <c r="F198" i="9"/>
  <c r="F171" i="9"/>
  <c r="F155" i="9"/>
  <c r="F143" i="9"/>
  <c r="F131" i="9"/>
  <c r="F105" i="9"/>
  <c r="F72" i="9"/>
  <c r="F38" i="9"/>
  <c r="F26" i="9"/>
  <c r="F19" i="9"/>
  <c r="E222" i="9"/>
  <c r="E198" i="9"/>
  <c r="E171" i="9"/>
  <c r="E155" i="9"/>
  <c r="E143" i="9"/>
  <c r="E105" i="9"/>
  <c r="E72" i="9"/>
  <c r="E38" i="9"/>
  <c r="E36" i="9"/>
  <c r="E63" i="9" s="1"/>
  <c r="E26" i="9"/>
  <c r="E19" i="9"/>
  <c r="D222" i="9"/>
  <c r="D198" i="9"/>
  <c r="D171" i="9"/>
  <c r="D155" i="9"/>
  <c r="D143" i="9"/>
  <c r="D121" i="9"/>
  <c r="D105" i="9"/>
  <c r="D103" i="9"/>
  <c r="D96" i="9"/>
  <c r="D72" i="9"/>
  <c r="D61" i="9"/>
  <c r="D64" i="9" s="1"/>
  <c r="D38" i="9"/>
  <c r="D36" i="9"/>
  <c r="D63" i="9" s="1"/>
  <c r="D26" i="9"/>
  <c r="D19" i="9"/>
  <c r="C222" i="9"/>
  <c r="C198" i="9"/>
  <c r="C171" i="9"/>
  <c r="C155" i="9"/>
  <c r="C154" i="9"/>
  <c r="C143" i="9"/>
  <c r="C105" i="9"/>
  <c r="C90" i="9"/>
  <c r="C72" i="9"/>
  <c r="C38" i="9"/>
  <c r="C26" i="9"/>
  <c r="C19" i="9"/>
  <c r="B222" i="9"/>
  <c r="A222" i="9"/>
  <c r="B198" i="9"/>
  <c r="B171" i="9"/>
  <c r="B155" i="9"/>
  <c r="B143" i="9"/>
  <c r="B105" i="9"/>
  <c r="B72" i="9"/>
  <c r="B38" i="9"/>
  <c r="B26" i="9"/>
  <c r="B19" i="9"/>
  <c r="BL12" i="8"/>
  <c r="BL11" i="8"/>
  <c r="BL9" i="8"/>
  <c r="BD9" i="8"/>
  <c r="BD10" i="8"/>
  <c r="BD11" i="8"/>
  <c r="BD12" i="8"/>
  <c r="CC222" i="8"/>
  <c r="CB222" i="8"/>
  <c r="CA222" i="8"/>
  <c r="BZ222" i="8"/>
  <c r="BY222" i="8"/>
  <c r="BX222" i="8"/>
  <c r="BW222" i="8"/>
  <c r="BV222" i="8"/>
  <c r="BT222" i="8"/>
  <c r="BS222" i="8"/>
  <c r="BR222" i="8"/>
  <c r="BQ222" i="8"/>
  <c r="BP222" i="8"/>
  <c r="BO222" i="8"/>
  <c r="BN222" i="8"/>
  <c r="BM222" i="8"/>
  <c r="BK222" i="8"/>
  <c r="BJ222" i="8"/>
  <c r="BI222" i="8"/>
  <c r="BH222" i="8"/>
  <c r="BG222" i="8"/>
  <c r="BF222" i="8"/>
  <c r="BE222" i="8"/>
  <c r="BD222" i="8"/>
  <c r="BB222" i="8"/>
  <c r="BA222" i="8"/>
  <c r="AZ222" i="8"/>
  <c r="AY222" i="8"/>
  <c r="AX222" i="8"/>
  <c r="AW222" i="8"/>
  <c r="AV222" i="8"/>
  <c r="AU222" i="8"/>
  <c r="AS222" i="8"/>
  <c r="AR222" i="8"/>
  <c r="AQ222" i="8"/>
  <c r="AP222" i="8"/>
  <c r="AO222" i="8"/>
  <c r="AN222" i="8"/>
  <c r="AM222" i="8"/>
  <c r="AL222" i="8"/>
  <c r="AJ222" i="8"/>
  <c r="AI222" i="8"/>
  <c r="AH222" i="8"/>
  <c r="AG222" i="8"/>
  <c r="AF222" i="8"/>
  <c r="AE222" i="8"/>
  <c r="AD222" i="8"/>
  <c r="AC222" i="8"/>
  <c r="AA222" i="8"/>
  <c r="Z222" i="8"/>
  <c r="Y222" i="8"/>
  <c r="X222" i="8"/>
  <c r="W222" i="8"/>
  <c r="V222" i="8"/>
  <c r="U222" i="8"/>
  <c r="T222" i="8"/>
  <c r="R222" i="8"/>
  <c r="Q222" i="8"/>
  <c r="P222" i="8"/>
  <c r="O222" i="8"/>
  <c r="N222" i="8"/>
  <c r="M222" i="8"/>
  <c r="L222" i="8"/>
  <c r="K222" i="8"/>
  <c r="I222" i="8"/>
  <c r="H222" i="8"/>
  <c r="G222" i="8"/>
  <c r="F222" i="8"/>
  <c r="E222" i="8"/>
  <c r="D222" i="8"/>
  <c r="C222" i="8"/>
  <c r="B222" i="8"/>
  <c r="A222" i="8"/>
  <c r="CC218" i="8"/>
  <c r="BT218" i="8"/>
  <c r="BK218" i="8"/>
  <c r="BB218" i="8"/>
  <c r="AS218" i="8"/>
  <c r="AJ218" i="8"/>
  <c r="AA218" i="8"/>
  <c r="R218" i="8"/>
  <c r="I218" i="8"/>
  <c r="CA217" i="8"/>
  <c r="BZ217" i="8"/>
  <c r="BY217" i="8"/>
  <c r="BX217" i="8"/>
  <c r="BW217" i="8"/>
  <c r="BV217" i="8"/>
  <c r="CC217" i="8" s="1"/>
  <c r="BT217" i="8"/>
  <c r="BK217" i="8"/>
  <c r="BB217" i="8"/>
  <c r="AS217" i="8"/>
  <c r="AJ217" i="8"/>
  <c r="AA217" i="8"/>
  <c r="R217" i="8"/>
  <c r="I217" i="8"/>
  <c r="CA216" i="8"/>
  <c r="BZ216" i="8"/>
  <c r="BY216" i="8"/>
  <c r="BX216" i="8"/>
  <c r="BW216" i="8"/>
  <c r="BT216" i="8"/>
  <c r="BK216" i="8"/>
  <c r="BB216" i="8"/>
  <c r="AS216" i="8"/>
  <c r="AJ216" i="8"/>
  <c r="AA216" i="8"/>
  <c r="R216" i="8"/>
  <c r="I216" i="8"/>
  <c r="B216" i="8"/>
  <c r="BV216" i="8" s="1"/>
  <c r="CC216" i="8" s="1"/>
  <c r="CA215" i="8"/>
  <c r="BZ215" i="8"/>
  <c r="BY215" i="8"/>
  <c r="BX215" i="8"/>
  <c r="BW215" i="8"/>
  <c r="BV215" i="8"/>
  <c r="BT215" i="8"/>
  <c r="BK215" i="8"/>
  <c r="BB215" i="8"/>
  <c r="AS215" i="8"/>
  <c r="AJ215" i="8"/>
  <c r="AA215" i="8"/>
  <c r="R215" i="8"/>
  <c r="I215" i="8"/>
  <c r="CA214" i="8"/>
  <c r="BZ214" i="8"/>
  <c r="BY214" i="8"/>
  <c r="BX214" i="8"/>
  <c r="BW214" i="8"/>
  <c r="BV214" i="8"/>
  <c r="CC214" i="8" s="1"/>
  <c r="G214" i="10" s="1"/>
  <c r="BT214" i="8"/>
  <c r="BK214" i="8"/>
  <c r="BB214" i="8"/>
  <c r="AS214" i="8"/>
  <c r="AJ214" i="8"/>
  <c r="AA214" i="8"/>
  <c r="R214" i="8"/>
  <c r="I214" i="8"/>
  <c r="CA213" i="8"/>
  <c r="BZ213" i="8"/>
  <c r="BY213" i="8"/>
  <c r="BX213" i="8"/>
  <c r="BW213" i="8"/>
  <c r="BT213" i="8"/>
  <c r="BB213" i="8"/>
  <c r="AS213" i="8"/>
  <c r="AJ213" i="8"/>
  <c r="AA213" i="8"/>
  <c r="R213" i="8"/>
  <c r="I213" i="8"/>
  <c r="CB209" i="8"/>
  <c r="BX209" i="8"/>
  <c r="BS209" i="8"/>
  <c r="BR209" i="8"/>
  <c r="BQ209" i="8"/>
  <c r="BP209" i="8"/>
  <c r="BO209" i="8"/>
  <c r="BN209" i="8"/>
  <c r="BM209" i="8"/>
  <c r="BJ209" i="8"/>
  <c r="BI209" i="8"/>
  <c r="BH209" i="8"/>
  <c r="BG209" i="8"/>
  <c r="BF209" i="8"/>
  <c r="BE209" i="8"/>
  <c r="BA209" i="8"/>
  <c r="AZ209" i="8"/>
  <c r="AY209" i="8"/>
  <c r="AX209" i="8"/>
  <c r="AW209" i="8"/>
  <c r="AV209" i="8"/>
  <c r="AU209" i="8"/>
  <c r="AR209" i="8"/>
  <c r="AQ209" i="8"/>
  <c r="AP209" i="8"/>
  <c r="AO209" i="8"/>
  <c r="AN209" i="8"/>
  <c r="AM209" i="8"/>
  <c r="AI209" i="8"/>
  <c r="AH209" i="8"/>
  <c r="AG209" i="8"/>
  <c r="AF209" i="8"/>
  <c r="AE209" i="8"/>
  <c r="AD209" i="8"/>
  <c r="Z209" i="8"/>
  <c r="Y209" i="8"/>
  <c r="X209" i="8"/>
  <c r="W209" i="8"/>
  <c r="V209" i="8"/>
  <c r="U209" i="8"/>
  <c r="Q209" i="8"/>
  <c r="P209" i="8"/>
  <c r="O209" i="8"/>
  <c r="N209" i="8"/>
  <c r="M209" i="8"/>
  <c r="L209" i="8"/>
  <c r="H209" i="8"/>
  <c r="G209" i="8"/>
  <c r="F209" i="8"/>
  <c r="E209" i="8"/>
  <c r="D209" i="8"/>
  <c r="C209" i="8"/>
  <c r="CA208" i="8"/>
  <c r="BZ208" i="8"/>
  <c r="BY208" i="8"/>
  <c r="BX208" i="8"/>
  <c r="BW208" i="8"/>
  <c r="BV208" i="8"/>
  <c r="BT208" i="8"/>
  <c r="BK208" i="8"/>
  <c r="G208" i="11" s="1"/>
  <c r="BB208" i="8"/>
  <c r="AS208" i="8"/>
  <c r="AJ208" i="8"/>
  <c r="AA208" i="8"/>
  <c r="R208" i="8"/>
  <c r="I208" i="8"/>
  <c r="CA207" i="8"/>
  <c r="BZ207" i="8"/>
  <c r="BY207" i="8"/>
  <c r="BX207" i="8"/>
  <c r="BW207" i="8"/>
  <c r="BT207" i="8"/>
  <c r="BK207" i="8"/>
  <c r="G207" i="11" s="1"/>
  <c r="BB207" i="8"/>
  <c r="AS207" i="8"/>
  <c r="AJ207" i="8"/>
  <c r="AA207" i="8"/>
  <c r="R207" i="8"/>
  <c r="BV207" i="8"/>
  <c r="CC207" i="8" s="1"/>
  <c r="G207" i="10" s="1"/>
  <c r="CA206" i="8"/>
  <c r="BZ206" i="8"/>
  <c r="BY206" i="8"/>
  <c r="BX206" i="8"/>
  <c r="BW206" i="8"/>
  <c r="BV206" i="8"/>
  <c r="BT206" i="8"/>
  <c r="BK206" i="8"/>
  <c r="BB206" i="8"/>
  <c r="AS206" i="8"/>
  <c r="AJ206" i="8"/>
  <c r="AA206" i="8"/>
  <c r="R206" i="8"/>
  <c r="I206" i="8"/>
  <c r="CA205" i="8"/>
  <c r="BZ205" i="8"/>
  <c r="BY205" i="8"/>
  <c r="BX205" i="8"/>
  <c r="BW205" i="8"/>
  <c r="BV205" i="8"/>
  <c r="CC205" i="8" s="1"/>
  <c r="BT205" i="8"/>
  <c r="BK205" i="8"/>
  <c r="BB205" i="8"/>
  <c r="AS205" i="8"/>
  <c r="AJ205" i="8"/>
  <c r="AA205" i="8"/>
  <c r="R205" i="8"/>
  <c r="I205" i="8"/>
  <c r="CA204" i="8"/>
  <c r="BZ204" i="8"/>
  <c r="BY204" i="8"/>
  <c r="BX204" i="8"/>
  <c r="BW204" i="8"/>
  <c r="BT204" i="8"/>
  <c r="BK204" i="8"/>
  <c r="G204" i="11" s="1"/>
  <c r="BB204" i="8"/>
  <c r="AS204" i="8"/>
  <c r="AJ204" i="8"/>
  <c r="AA204" i="8"/>
  <c r="R204" i="8"/>
  <c r="I204" i="8"/>
  <c r="BV204" i="8"/>
  <c r="CC204" i="8" s="1"/>
  <c r="G204" i="10" s="1"/>
  <c r="CA203" i="8"/>
  <c r="BZ203" i="8"/>
  <c r="BY203" i="8"/>
  <c r="BX203" i="8"/>
  <c r="BW203" i="8"/>
  <c r="BT203" i="8"/>
  <c r="BK203" i="8"/>
  <c r="BB203" i="8"/>
  <c r="AS203" i="8"/>
  <c r="AJ203" i="8"/>
  <c r="AA203" i="8"/>
  <c r="R203" i="8"/>
  <c r="CA202" i="8"/>
  <c r="BZ202" i="8"/>
  <c r="BY202" i="8"/>
  <c r="BX202" i="8"/>
  <c r="BW202" i="8"/>
  <c r="BT202" i="8"/>
  <c r="BK202" i="8"/>
  <c r="G202" i="11" s="1"/>
  <c r="BB202" i="8"/>
  <c r="AS202" i="8"/>
  <c r="AJ202" i="8"/>
  <c r="AA202" i="8"/>
  <c r="R202" i="8"/>
  <c r="BV202" i="8"/>
  <c r="CA201" i="8"/>
  <c r="BZ201" i="8"/>
  <c r="BY201" i="8"/>
  <c r="BX201" i="8"/>
  <c r="BW201" i="8"/>
  <c r="BW209" i="8" s="1"/>
  <c r="BT201" i="8"/>
  <c r="BK201" i="8"/>
  <c r="G201" i="11" s="1"/>
  <c r="BB201" i="8"/>
  <c r="AS201" i="8"/>
  <c r="AJ201" i="8"/>
  <c r="AA201" i="8"/>
  <c r="R201" i="8"/>
  <c r="BV201" i="8"/>
  <c r="CC201" i="8" s="1"/>
  <c r="G201" i="10" s="1"/>
  <c r="CA200" i="8"/>
  <c r="BZ200" i="8"/>
  <c r="BY200" i="8"/>
  <c r="BX200" i="8"/>
  <c r="BW200" i="8"/>
  <c r="BT200" i="8"/>
  <c r="BK200" i="8"/>
  <c r="BB200" i="8"/>
  <c r="AS200" i="8"/>
  <c r="AJ200" i="8"/>
  <c r="AA200" i="8"/>
  <c r="R200" i="8"/>
  <c r="CA199" i="8"/>
  <c r="BZ199" i="8"/>
  <c r="BY199" i="8"/>
  <c r="BY209" i="8" s="1"/>
  <c r="BX199" i="8"/>
  <c r="BW199" i="8"/>
  <c r="BT199" i="8"/>
  <c r="BT209" i="8" s="1"/>
  <c r="BK199" i="8"/>
  <c r="G199" i="11" s="1"/>
  <c r="BB199" i="8"/>
  <c r="BB209" i="8" s="1"/>
  <c r="AS199" i="8"/>
  <c r="AL209" i="8"/>
  <c r="AC209" i="8"/>
  <c r="AA199" i="8"/>
  <c r="T209" i="8"/>
  <c r="R199" i="8"/>
  <c r="BV199" i="8"/>
  <c r="I199" i="8"/>
  <c r="CC198" i="8"/>
  <c r="CB198" i="8"/>
  <c r="CA198" i="8"/>
  <c r="BZ198" i="8"/>
  <c r="BY198" i="8"/>
  <c r="BX198" i="8"/>
  <c r="BW198" i="8"/>
  <c r="BV198" i="8"/>
  <c r="BT198" i="8"/>
  <c r="BS198" i="8"/>
  <c r="BR198" i="8"/>
  <c r="BQ198" i="8"/>
  <c r="BP198" i="8"/>
  <c r="BO198" i="8"/>
  <c r="BN198" i="8"/>
  <c r="BM198" i="8"/>
  <c r="BK198" i="8"/>
  <c r="BJ198" i="8"/>
  <c r="BI198" i="8"/>
  <c r="BH198" i="8"/>
  <c r="BG198" i="8"/>
  <c r="BF198" i="8"/>
  <c r="BE198" i="8"/>
  <c r="BD198" i="8"/>
  <c r="BB198" i="8"/>
  <c r="BA198" i="8"/>
  <c r="AZ198" i="8"/>
  <c r="AY198" i="8"/>
  <c r="AX198" i="8"/>
  <c r="AW198" i="8"/>
  <c r="AV198" i="8"/>
  <c r="AU198" i="8"/>
  <c r="AS198" i="8"/>
  <c r="AR198" i="8"/>
  <c r="AQ198" i="8"/>
  <c r="AP198" i="8"/>
  <c r="AO198" i="8"/>
  <c r="AN198" i="8"/>
  <c r="AM198" i="8"/>
  <c r="AL198" i="8"/>
  <c r="AJ198" i="8"/>
  <c r="AI198" i="8"/>
  <c r="AH198" i="8"/>
  <c r="AG198" i="8"/>
  <c r="AF198" i="8"/>
  <c r="AE198" i="8"/>
  <c r="AD198" i="8"/>
  <c r="AC198" i="8"/>
  <c r="AA198" i="8"/>
  <c r="Z198" i="8"/>
  <c r="Y198" i="8"/>
  <c r="X198" i="8"/>
  <c r="W198" i="8"/>
  <c r="V198" i="8"/>
  <c r="U198" i="8"/>
  <c r="T198" i="8"/>
  <c r="R198" i="8"/>
  <c r="Q198" i="8"/>
  <c r="P198" i="8"/>
  <c r="O198" i="8"/>
  <c r="N198" i="8"/>
  <c r="M198" i="8"/>
  <c r="L198" i="8"/>
  <c r="K198" i="8"/>
  <c r="I198" i="8"/>
  <c r="H198" i="8"/>
  <c r="G198" i="8"/>
  <c r="F198" i="8"/>
  <c r="E198" i="8"/>
  <c r="D198" i="8"/>
  <c r="C198" i="8"/>
  <c r="B198" i="8"/>
  <c r="CB197" i="8"/>
  <c r="BS197" i="8"/>
  <c r="BR197" i="8"/>
  <c r="BQ197" i="8"/>
  <c r="BP197" i="8"/>
  <c r="BN197" i="8"/>
  <c r="BM197" i="8"/>
  <c r="BJ197" i="8"/>
  <c r="BI197" i="8"/>
  <c r="BH197" i="8"/>
  <c r="BG197" i="8"/>
  <c r="BE197" i="8"/>
  <c r="BA197" i="8"/>
  <c r="AZ197" i="8"/>
  <c r="AY197" i="8"/>
  <c r="AX197" i="8"/>
  <c r="AV197" i="8"/>
  <c r="AR197" i="8"/>
  <c r="AQ197" i="8"/>
  <c r="AP197" i="8"/>
  <c r="AO197" i="8"/>
  <c r="AM197" i="8"/>
  <c r="AI197" i="8"/>
  <c r="AH197" i="8"/>
  <c r="AG197" i="8"/>
  <c r="AF197" i="8"/>
  <c r="AD197" i="8"/>
  <c r="Z197" i="8"/>
  <c r="Y197" i="8"/>
  <c r="X197" i="8"/>
  <c r="W197" i="8"/>
  <c r="U197" i="8"/>
  <c r="Q197" i="8"/>
  <c r="P197" i="8"/>
  <c r="O197" i="8"/>
  <c r="N197" i="8"/>
  <c r="L197" i="8"/>
  <c r="H197" i="8"/>
  <c r="G197" i="8"/>
  <c r="F197" i="8"/>
  <c r="E197" i="8"/>
  <c r="C197" i="8"/>
  <c r="CA195" i="8"/>
  <c r="BZ195" i="8"/>
  <c r="BY195" i="8"/>
  <c r="CC195" i="8" s="1"/>
  <c r="BX195" i="8"/>
  <c r="BW195" i="8"/>
  <c r="BV195" i="8"/>
  <c r="BT195" i="8"/>
  <c r="BK195" i="8"/>
  <c r="BB195" i="8"/>
  <c r="AS195" i="8"/>
  <c r="AJ195" i="8"/>
  <c r="AA195" i="8"/>
  <c r="R195" i="8"/>
  <c r="I195" i="8"/>
  <c r="CA194" i="8"/>
  <c r="BZ194" i="8"/>
  <c r="BY194" i="8"/>
  <c r="BX194" i="8"/>
  <c r="BW194" i="8"/>
  <c r="CC194" i="8" s="1"/>
  <c r="BV194" i="8"/>
  <c r="BK194" i="8"/>
  <c r="AS194" i="8"/>
  <c r="AJ194" i="8"/>
  <c r="AA194" i="8"/>
  <c r="R194" i="8"/>
  <c r="I194" i="8"/>
  <c r="CA193" i="8"/>
  <c r="BZ193" i="8"/>
  <c r="BY193" i="8"/>
  <c r="BX193" i="8"/>
  <c r="BW193" i="8"/>
  <c r="BV193" i="8"/>
  <c r="BT193" i="8"/>
  <c r="BK193" i="8"/>
  <c r="BB193" i="8"/>
  <c r="AS193" i="8"/>
  <c r="AJ193" i="8"/>
  <c r="AA193" i="8"/>
  <c r="R193" i="8"/>
  <c r="I193" i="8"/>
  <c r="CA192" i="8"/>
  <c r="CC192" i="8" s="1"/>
  <c r="BZ192" i="8"/>
  <c r="BY192" i="8"/>
  <c r="BX192" i="8"/>
  <c r="BW192" i="8"/>
  <c r="BV192" i="8"/>
  <c r="BT192" i="8"/>
  <c r="BK192" i="8"/>
  <c r="BB192" i="8"/>
  <c r="AS192" i="8"/>
  <c r="AJ192" i="8"/>
  <c r="AA192" i="8"/>
  <c r="R192" i="8"/>
  <c r="I192" i="8"/>
  <c r="CA191" i="8"/>
  <c r="BZ191" i="8"/>
  <c r="BY191" i="8"/>
  <c r="BX191" i="8"/>
  <c r="BW191" i="8"/>
  <c r="BT191" i="8"/>
  <c r="BK191" i="8"/>
  <c r="BB191" i="8"/>
  <c r="AS191" i="8"/>
  <c r="BV191" i="8"/>
  <c r="CC191" i="8" s="1"/>
  <c r="G191" i="10" s="1"/>
  <c r="AJ191" i="8"/>
  <c r="AA191" i="8"/>
  <c r="R191" i="8"/>
  <c r="I191" i="8"/>
  <c r="CA190" i="8"/>
  <c r="BZ190" i="8"/>
  <c r="BY190" i="8"/>
  <c r="BX190" i="8"/>
  <c r="BW190" i="8"/>
  <c r="BV190" i="8"/>
  <c r="CC190" i="8" s="1"/>
  <c r="BT190" i="8"/>
  <c r="BK190" i="8"/>
  <c r="BB190" i="8"/>
  <c r="AS190" i="8"/>
  <c r="AJ190" i="8"/>
  <c r="AA190" i="8"/>
  <c r="R190" i="8"/>
  <c r="I190" i="8"/>
  <c r="CA189" i="8"/>
  <c r="BZ189" i="8"/>
  <c r="BY189" i="8"/>
  <c r="BX189" i="8"/>
  <c r="BW189" i="8"/>
  <c r="BV189" i="8"/>
  <c r="BT189" i="8"/>
  <c r="BK189" i="8"/>
  <c r="BB189" i="8"/>
  <c r="AS189" i="8"/>
  <c r="AJ189" i="8"/>
  <c r="AA189" i="8"/>
  <c r="R189" i="8"/>
  <c r="I189" i="8"/>
  <c r="CC188" i="8"/>
  <c r="CA188" i="8"/>
  <c r="BZ188" i="8"/>
  <c r="BY188" i="8"/>
  <c r="BX188" i="8"/>
  <c r="BW188" i="8"/>
  <c r="BV188" i="8"/>
  <c r="BT188" i="8"/>
  <c r="BK188" i="8"/>
  <c r="BB188" i="8"/>
  <c r="AS188" i="8"/>
  <c r="AJ188" i="8"/>
  <c r="AA188" i="8"/>
  <c r="R188" i="8"/>
  <c r="I188" i="8"/>
  <c r="CA187" i="8"/>
  <c r="BZ187" i="8"/>
  <c r="BY187" i="8"/>
  <c r="BX187" i="8"/>
  <c r="BW187" i="8"/>
  <c r="BT187" i="8"/>
  <c r="CA186" i="8"/>
  <c r="BZ186" i="8"/>
  <c r="BY186" i="8"/>
  <c r="BX186" i="8"/>
  <c r="BW186" i="8"/>
  <c r="BV186" i="8"/>
  <c r="CC186" i="8" s="1"/>
  <c r="BT186" i="8"/>
  <c r="BK186" i="8"/>
  <c r="BB186" i="8"/>
  <c r="AS186" i="8"/>
  <c r="AJ186" i="8"/>
  <c r="AA186" i="8"/>
  <c r="R186" i="8"/>
  <c r="I186" i="8"/>
  <c r="CA185" i="8"/>
  <c r="BZ185" i="8"/>
  <c r="BY185" i="8"/>
  <c r="BX185" i="8"/>
  <c r="BW185" i="8"/>
  <c r="BV185" i="8"/>
  <c r="BT185" i="8"/>
  <c r="BK185" i="8"/>
  <c r="BB185" i="8"/>
  <c r="AS185" i="8"/>
  <c r="AJ185" i="8"/>
  <c r="AA185" i="8"/>
  <c r="R185" i="8"/>
  <c r="I185" i="8"/>
  <c r="CA184" i="8"/>
  <c r="BZ184" i="8"/>
  <c r="BY184" i="8"/>
  <c r="BX184" i="8"/>
  <c r="BW184" i="8"/>
  <c r="CC184" i="8" s="1"/>
  <c r="BV184" i="8"/>
  <c r="BT184" i="8"/>
  <c r="BK184" i="8"/>
  <c r="BB184" i="8"/>
  <c r="AS184" i="8"/>
  <c r="AJ184" i="8"/>
  <c r="AA184" i="8"/>
  <c r="R184" i="8"/>
  <c r="I184" i="8"/>
  <c r="CA183" i="8"/>
  <c r="BZ183" i="8"/>
  <c r="BY183" i="8"/>
  <c r="BW183" i="8"/>
  <c r="BV183" i="8"/>
  <c r="CA182" i="8"/>
  <c r="BZ182" i="8"/>
  <c r="BY182" i="8"/>
  <c r="BW182" i="8"/>
  <c r="BV182" i="8"/>
  <c r="BT182" i="8"/>
  <c r="BB182" i="8"/>
  <c r="AS182" i="8"/>
  <c r="AJ182" i="8"/>
  <c r="AA182" i="8"/>
  <c r="R182" i="8"/>
  <c r="I182" i="8"/>
  <c r="CA181" i="8"/>
  <c r="BZ181" i="8"/>
  <c r="BY181" i="8"/>
  <c r="BX181" i="8"/>
  <c r="BW181" i="8"/>
  <c r="BT181" i="8"/>
  <c r="BK181" i="8"/>
  <c r="BB181" i="8"/>
  <c r="AS181" i="8"/>
  <c r="AJ181" i="8"/>
  <c r="R181" i="8"/>
  <c r="I181" i="8"/>
  <c r="CA180" i="8"/>
  <c r="CC180" i="8" s="1"/>
  <c r="BZ180" i="8"/>
  <c r="BY180" i="8"/>
  <c r="BX180" i="8"/>
  <c r="BW180" i="8"/>
  <c r="BV180" i="8"/>
  <c r="BT180" i="8"/>
  <c r="BK180" i="8"/>
  <c r="BB180" i="8"/>
  <c r="AS180" i="8"/>
  <c r="AJ180" i="8"/>
  <c r="AA180" i="8"/>
  <c r="R180" i="8"/>
  <c r="I180" i="8"/>
  <c r="CA179" i="8"/>
  <c r="BZ179" i="8"/>
  <c r="BY179" i="8"/>
  <c r="BX179" i="8"/>
  <c r="BW179" i="8"/>
  <c r="BV179" i="8"/>
  <c r="BT179" i="8"/>
  <c r="BK179" i="8"/>
  <c r="BB179" i="8"/>
  <c r="AS179" i="8"/>
  <c r="AJ179" i="8"/>
  <c r="AA179" i="8"/>
  <c r="R179" i="8"/>
  <c r="I179" i="8"/>
  <c r="CA178" i="8"/>
  <c r="BZ178" i="8"/>
  <c r="BY178" i="8"/>
  <c r="BX178" i="8"/>
  <c r="BW178" i="8"/>
  <c r="BT178" i="8"/>
  <c r="BK178" i="8"/>
  <c r="G178" i="11" s="1"/>
  <c r="BB178" i="8"/>
  <c r="AS178" i="8"/>
  <c r="AJ178" i="8"/>
  <c r="AA178" i="8"/>
  <c r="R178" i="8"/>
  <c r="CA177" i="8"/>
  <c r="BZ177" i="8"/>
  <c r="BY177" i="8"/>
  <c r="BX177" i="8"/>
  <c r="BW177" i="8"/>
  <c r="BT177" i="8"/>
  <c r="BK177" i="8"/>
  <c r="G177" i="11" s="1"/>
  <c r="BB177" i="8"/>
  <c r="AS177" i="8"/>
  <c r="AJ177" i="8"/>
  <c r="AA177" i="8"/>
  <c r="R177" i="8"/>
  <c r="CA176" i="8"/>
  <c r="BZ176" i="8"/>
  <c r="BY176" i="8"/>
  <c r="BX176" i="8"/>
  <c r="BW176" i="8"/>
  <c r="BT176" i="8"/>
  <c r="BK176" i="8"/>
  <c r="AS176" i="8"/>
  <c r="AJ176" i="8"/>
  <c r="AA176" i="8"/>
  <c r="R176" i="8"/>
  <c r="I176" i="8"/>
  <c r="BV176" i="8"/>
  <c r="CA175" i="8"/>
  <c r="BZ175" i="8"/>
  <c r="BY175" i="8"/>
  <c r="BX175" i="8"/>
  <c r="BW175" i="8"/>
  <c r="BV175" i="8"/>
  <c r="BT175" i="8"/>
  <c r="BK175" i="8"/>
  <c r="BB175" i="8"/>
  <c r="AS175" i="8"/>
  <c r="AJ175" i="8"/>
  <c r="AA175" i="8"/>
  <c r="R175" i="8"/>
  <c r="I175" i="8"/>
  <c r="CA174" i="8"/>
  <c r="CA197" i="8" s="1"/>
  <c r="BZ174" i="8"/>
  <c r="BY174" i="8"/>
  <c r="BX174" i="8"/>
  <c r="BW174" i="8"/>
  <c r="BV174" i="8"/>
  <c r="BT174" i="8"/>
  <c r="BK174" i="8"/>
  <c r="BB174" i="8"/>
  <c r="AS174" i="8"/>
  <c r="AJ174" i="8"/>
  <c r="AA174" i="8"/>
  <c r="R174" i="8"/>
  <c r="I174" i="8"/>
  <c r="CA173" i="8"/>
  <c r="BZ173" i="8"/>
  <c r="BY173" i="8"/>
  <c r="BX173" i="8"/>
  <c r="BW173" i="8"/>
  <c r="BT173" i="8"/>
  <c r="BK173" i="8"/>
  <c r="G173" i="11" s="1"/>
  <c r="BB173" i="8"/>
  <c r="AS173" i="8"/>
  <c r="AJ173" i="8"/>
  <c r="AA173" i="8"/>
  <c r="R173" i="8"/>
  <c r="I173" i="8"/>
  <c r="CA172" i="8"/>
  <c r="BZ172" i="8"/>
  <c r="BY172" i="8"/>
  <c r="BY197" i="8" s="1"/>
  <c r="BX172" i="8"/>
  <c r="BW172" i="8"/>
  <c r="BT172" i="8"/>
  <c r="BB172" i="8"/>
  <c r="AS172" i="8"/>
  <c r="AJ172" i="8"/>
  <c r="I172" i="8"/>
  <c r="CC171" i="8"/>
  <c r="CB171" i="8"/>
  <c r="CA171" i="8"/>
  <c r="BZ171" i="8"/>
  <c r="BY171" i="8"/>
  <c r="BX171" i="8"/>
  <c r="BW171" i="8"/>
  <c r="BV171" i="8"/>
  <c r="BT171" i="8"/>
  <c r="BS171" i="8"/>
  <c r="BR171" i="8"/>
  <c r="BQ171" i="8"/>
  <c r="BP171" i="8"/>
  <c r="BO171" i="8"/>
  <c r="BN171" i="8"/>
  <c r="BM171" i="8"/>
  <c r="BK171" i="8"/>
  <c r="BJ171" i="8"/>
  <c r="BI171" i="8"/>
  <c r="BH171" i="8"/>
  <c r="BG171" i="8"/>
  <c r="BF171" i="8"/>
  <c r="BE171" i="8"/>
  <c r="BD171" i="8"/>
  <c r="BB171" i="8"/>
  <c r="BA171" i="8"/>
  <c r="AZ171" i="8"/>
  <c r="AY171" i="8"/>
  <c r="AX171" i="8"/>
  <c r="AW171" i="8"/>
  <c r="AV171" i="8"/>
  <c r="AU171" i="8"/>
  <c r="AS171" i="8"/>
  <c r="AR171" i="8"/>
  <c r="AQ171" i="8"/>
  <c r="AP171" i="8"/>
  <c r="AO171" i="8"/>
  <c r="AN171" i="8"/>
  <c r="AM171" i="8"/>
  <c r="AL171" i="8"/>
  <c r="AJ171" i="8"/>
  <c r="AI171" i="8"/>
  <c r="AH171" i="8"/>
  <c r="AG171" i="8"/>
  <c r="AF171" i="8"/>
  <c r="AE171" i="8"/>
  <c r="AD171" i="8"/>
  <c r="AC171" i="8"/>
  <c r="AA171" i="8"/>
  <c r="Z171" i="8"/>
  <c r="Y171" i="8"/>
  <c r="X171" i="8"/>
  <c r="W171" i="8"/>
  <c r="V171" i="8"/>
  <c r="U171" i="8"/>
  <c r="T171" i="8"/>
  <c r="R171" i="8"/>
  <c r="Q171" i="8"/>
  <c r="P171" i="8"/>
  <c r="O171" i="8"/>
  <c r="N171" i="8"/>
  <c r="M171" i="8"/>
  <c r="L171" i="8"/>
  <c r="K171" i="8"/>
  <c r="I171" i="8"/>
  <c r="H171" i="8"/>
  <c r="G171" i="8"/>
  <c r="F171" i="8"/>
  <c r="E171" i="8"/>
  <c r="D171" i="8"/>
  <c r="C171" i="8"/>
  <c r="B171" i="8"/>
  <c r="BP170" i="8"/>
  <c r="BO170" i="8"/>
  <c r="BH170" i="8"/>
  <c r="BG170" i="8"/>
  <c r="BF170" i="8"/>
  <c r="AX170" i="8"/>
  <c r="AW170" i="8"/>
  <c r="AO170" i="8"/>
  <c r="AN170" i="8"/>
  <c r="AF170" i="8"/>
  <c r="AE170" i="8"/>
  <c r="W170" i="8"/>
  <c r="V170" i="8"/>
  <c r="N170" i="8"/>
  <c r="M170" i="8"/>
  <c r="E170" i="8"/>
  <c r="D170" i="8"/>
  <c r="CA169" i="8"/>
  <c r="BZ169" i="8"/>
  <c r="BY169" i="8"/>
  <c r="BX169" i="8"/>
  <c r="BW169" i="8"/>
  <c r="BV169" i="8"/>
  <c r="BT169" i="8"/>
  <c r="BK169" i="8"/>
  <c r="BB169" i="8"/>
  <c r="AS169" i="8"/>
  <c r="AJ169" i="8"/>
  <c r="AA169" i="8"/>
  <c r="R169" i="8"/>
  <c r="I169" i="8"/>
  <c r="CA168" i="8"/>
  <c r="BZ168" i="8"/>
  <c r="BY168" i="8"/>
  <c r="BX168" i="8"/>
  <c r="BW168" i="8"/>
  <c r="CA167" i="8"/>
  <c r="BZ167" i="8"/>
  <c r="BY167" i="8"/>
  <c r="BX167" i="8"/>
  <c r="BW167" i="8"/>
  <c r="CA166" i="8"/>
  <c r="BZ166" i="8"/>
  <c r="BY166" i="8"/>
  <c r="BX166" i="8"/>
  <c r="BW166" i="8"/>
  <c r="CA165" i="8"/>
  <c r="BZ165" i="8"/>
  <c r="BY165" i="8"/>
  <c r="BX165" i="8"/>
  <c r="BW165" i="8"/>
  <c r="CC165" i="8" s="1"/>
  <c r="BV165" i="8"/>
  <c r="BT165" i="8"/>
  <c r="BK165" i="8"/>
  <c r="BB165" i="8"/>
  <c r="AS165" i="8"/>
  <c r="AJ165" i="8"/>
  <c r="AA165" i="8"/>
  <c r="R165" i="8"/>
  <c r="I165" i="8"/>
  <c r="CA164" i="8"/>
  <c r="BZ164" i="8"/>
  <c r="BY164" i="8"/>
  <c r="BX164" i="8"/>
  <c r="BW164" i="8"/>
  <c r="BT164" i="8"/>
  <c r="CA163" i="8"/>
  <c r="BZ163" i="8"/>
  <c r="BY163" i="8"/>
  <c r="BX163" i="8"/>
  <c r="BW163" i="8"/>
  <c r="BV163" i="8"/>
  <c r="BT163" i="8"/>
  <c r="BK163" i="8"/>
  <c r="BB163" i="8"/>
  <c r="AS163" i="8"/>
  <c r="AJ163" i="8"/>
  <c r="AA163" i="8"/>
  <c r="R163" i="8"/>
  <c r="I163" i="8"/>
  <c r="CA162" i="8"/>
  <c r="BZ162" i="8"/>
  <c r="BY162" i="8"/>
  <c r="BX162" i="8"/>
  <c r="BW162" i="8"/>
  <c r="BV162" i="8"/>
  <c r="BT162" i="8"/>
  <c r="BK162" i="8"/>
  <c r="G162" i="11" s="1"/>
  <c r="BB162" i="8"/>
  <c r="G162" i="9" s="1"/>
  <c r="AS162" i="8"/>
  <c r="AJ162" i="8"/>
  <c r="AA162" i="8"/>
  <c r="R162" i="8"/>
  <c r="I162" i="8"/>
  <c r="BY161" i="8"/>
  <c r="BX161" i="8"/>
  <c r="CA160" i="8"/>
  <c r="BZ160" i="8"/>
  <c r="BY160" i="8"/>
  <c r="BX160" i="8"/>
  <c r="BW160" i="8"/>
  <c r="CA159" i="8"/>
  <c r="BZ159" i="8"/>
  <c r="BY159" i="8"/>
  <c r="BX159" i="8"/>
  <c r="BW159" i="8"/>
  <c r="BT159" i="8"/>
  <c r="BK159" i="8"/>
  <c r="AS159" i="8"/>
  <c r="AJ159" i="8"/>
  <c r="AA159" i="8"/>
  <c r="R159" i="8"/>
  <c r="I159" i="8"/>
  <c r="CA158" i="8"/>
  <c r="BZ158" i="8"/>
  <c r="BY158" i="8"/>
  <c r="BX158" i="8"/>
  <c r="BW158" i="8"/>
  <c r="BT158" i="8"/>
  <c r="BK158" i="8"/>
  <c r="AS158" i="8"/>
  <c r="AJ158" i="8"/>
  <c r="AA158" i="8"/>
  <c r="R158" i="8"/>
  <c r="K158" i="8"/>
  <c r="I158" i="8"/>
  <c r="CA157" i="8"/>
  <c r="BZ157" i="8"/>
  <c r="BY157" i="8"/>
  <c r="BX157" i="8"/>
  <c r="BV157" i="8"/>
  <c r="CA156" i="8"/>
  <c r="BZ156" i="8"/>
  <c r="BY156" i="8"/>
  <c r="BX156" i="8"/>
  <c r="BW156" i="8"/>
  <c r="BT156" i="8"/>
  <c r="BK156" i="8"/>
  <c r="G156" i="11" s="1"/>
  <c r="BB156" i="8"/>
  <c r="G156" i="9" s="1"/>
  <c r="AJ156" i="8"/>
  <c r="AA156" i="8"/>
  <c r="K156" i="8"/>
  <c r="CC155" i="8"/>
  <c r="CB155" i="8"/>
  <c r="CA155" i="8"/>
  <c r="BZ155" i="8"/>
  <c r="BY155" i="8"/>
  <c r="BX155" i="8"/>
  <c r="BW155" i="8"/>
  <c r="BV155" i="8"/>
  <c r="BT155" i="8"/>
  <c r="BS155" i="8"/>
  <c r="BR155" i="8"/>
  <c r="BQ155" i="8"/>
  <c r="BP155" i="8"/>
  <c r="BO155" i="8"/>
  <c r="BN155" i="8"/>
  <c r="BM155" i="8"/>
  <c r="BK155" i="8"/>
  <c r="BJ155" i="8"/>
  <c r="BI155" i="8"/>
  <c r="BH155" i="8"/>
  <c r="BG155" i="8"/>
  <c r="BF155" i="8"/>
  <c r="BE155" i="8"/>
  <c r="BD155" i="8"/>
  <c r="BB155" i="8"/>
  <c r="BA155" i="8"/>
  <c r="AZ155" i="8"/>
  <c r="AY155" i="8"/>
  <c r="AX155" i="8"/>
  <c r="AW155" i="8"/>
  <c r="AV155" i="8"/>
  <c r="AU155" i="8"/>
  <c r="AS155" i="8"/>
  <c r="AR155" i="8"/>
  <c r="AQ155" i="8"/>
  <c r="AP155" i="8"/>
  <c r="AO155" i="8"/>
  <c r="AN155" i="8"/>
  <c r="AM155" i="8"/>
  <c r="AL155" i="8"/>
  <c r="AJ155" i="8"/>
  <c r="AI155" i="8"/>
  <c r="AH155" i="8"/>
  <c r="AG155" i="8"/>
  <c r="AF155" i="8"/>
  <c r="AE155" i="8"/>
  <c r="AD155" i="8"/>
  <c r="AC155" i="8"/>
  <c r="AA155" i="8"/>
  <c r="Z155" i="8"/>
  <c r="Y155" i="8"/>
  <c r="X155" i="8"/>
  <c r="W155" i="8"/>
  <c r="V155" i="8"/>
  <c r="U155" i="8"/>
  <c r="T155" i="8"/>
  <c r="R155" i="8"/>
  <c r="Q155" i="8"/>
  <c r="P155" i="8"/>
  <c r="O155" i="8"/>
  <c r="N155" i="8"/>
  <c r="M155" i="8"/>
  <c r="L155" i="8"/>
  <c r="K155" i="8"/>
  <c r="I155" i="8"/>
  <c r="H155" i="8"/>
  <c r="G155" i="8"/>
  <c r="F155" i="8"/>
  <c r="E155" i="8"/>
  <c r="D155" i="8"/>
  <c r="C155" i="8"/>
  <c r="B155" i="8"/>
  <c r="CB154" i="8"/>
  <c r="BS154" i="8"/>
  <c r="BR154" i="8"/>
  <c r="BQ154" i="8"/>
  <c r="BP154" i="8"/>
  <c r="BO154" i="8"/>
  <c r="BJ154" i="8"/>
  <c r="BI154" i="8"/>
  <c r="BH154" i="8"/>
  <c r="BG154" i="8"/>
  <c r="BF154" i="8"/>
  <c r="BA154" i="8"/>
  <c r="AZ154" i="8"/>
  <c r="AY154" i="8"/>
  <c r="AX154" i="8"/>
  <c r="AW154" i="8"/>
  <c r="AV154" i="8"/>
  <c r="AR154" i="8"/>
  <c r="AQ154" i="8"/>
  <c r="AP154" i="8"/>
  <c r="AN154" i="8"/>
  <c r="AI154" i="8"/>
  <c r="AH154" i="8"/>
  <c r="AG154" i="8"/>
  <c r="AF154" i="8"/>
  <c r="AE154" i="8"/>
  <c r="Z154" i="8"/>
  <c r="Y154" i="8"/>
  <c r="X154" i="8"/>
  <c r="V154" i="8"/>
  <c r="U154" i="8"/>
  <c r="Q154" i="8"/>
  <c r="P154" i="8"/>
  <c r="O154" i="8"/>
  <c r="M154" i="8"/>
  <c r="H154" i="8"/>
  <c r="G154" i="8"/>
  <c r="F154" i="8"/>
  <c r="E154" i="8"/>
  <c r="D154" i="8"/>
  <c r="CA153" i="8"/>
  <c r="BZ153" i="8"/>
  <c r="BY153" i="8"/>
  <c r="BX153" i="8"/>
  <c r="BW153" i="8"/>
  <c r="BB153" i="8"/>
  <c r="CA152" i="8"/>
  <c r="BZ152" i="8"/>
  <c r="BY152" i="8"/>
  <c r="BX152" i="8"/>
  <c r="BW152" i="8"/>
  <c r="CC152" i="8" s="1"/>
  <c r="BV152" i="8"/>
  <c r="BT152" i="8"/>
  <c r="BK152" i="8"/>
  <c r="BB152" i="8"/>
  <c r="AS152" i="8"/>
  <c r="AJ152" i="8"/>
  <c r="AA152" i="8"/>
  <c r="R152" i="8"/>
  <c r="I152" i="8"/>
  <c r="CA151" i="8"/>
  <c r="BZ151" i="8"/>
  <c r="BY151" i="8"/>
  <c r="BX151" i="8"/>
  <c r="BT151" i="8"/>
  <c r="BN151" i="8"/>
  <c r="BN154" i="8" s="1"/>
  <c r="BM151" i="8"/>
  <c r="BE151" i="8"/>
  <c r="BE154" i="8" s="1"/>
  <c r="BD151" i="8"/>
  <c r="BK151" i="8" s="1"/>
  <c r="BB151" i="8"/>
  <c r="G151" i="9" s="1"/>
  <c r="G154" i="9" s="1"/>
  <c r="AV151" i="8"/>
  <c r="AM151" i="8"/>
  <c r="AM154" i="8" s="1"/>
  <c r="AL151" i="8"/>
  <c r="AS151" i="8" s="1"/>
  <c r="AD151" i="8"/>
  <c r="AC151" i="8"/>
  <c r="U151" i="8"/>
  <c r="T151" i="8"/>
  <c r="AA151" i="8" s="1"/>
  <c r="L151" i="8"/>
  <c r="L154" i="8" s="1"/>
  <c r="K151" i="8"/>
  <c r="R151" i="8" s="1"/>
  <c r="C151" i="8"/>
  <c r="C154" i="8" s="1"/>
  <c r="B151" i="8"/>
  <c r="CA150" i="8"/>
  <c r="BZ150" i="8"/>
  <c r="BY150" i="8"/>
  <c r="BX150" i="8"/>
  <c r="BW150" i="8"/>
  <c r="BB150" i="8"/>
  <c r="CA149" i="8"/>
  <c r="BZ149" i="8"/>
  <c r="BY149" i="8"/>
  <c r="BX149" i="8"/>
  <c r="BW149" i="8"/>
  <c r="CA148" i="8"/>
  <c r="BZ148" i="8"/>
  <c r="BY148" i="8"/>
  <c r="BX148" i="8"/>
  <c r="BW148" i="8"/>
  <c r="CA147" i="8"/>
  <c r="BZ147" i="8"/>
  <c r="BY147" i="8"/>
  <c r="BX147" i="8"/>
  <c r="BW147" i="8"/>
  <c r="CA146" i="8"/>
  <c r="BZ146" i="8"/>
  <c r="BY146" i="8"/>
  <c r="BX146" i="8"/>
  <c r="BW146" i="8"/>
  <c r="BD146" i="8"/>
  <c r="BK146" i="8" s="1"/>
  <c r="BB146" i="8"/>
  <c r="AL146" i="8"/>
  <c r="AJ146" i="8"/>
  <c r="AC146" i="8"/>
  <c r="AA146" i="8"/>
  <c r="R146" i="8"/>
  <c r="I146" i="8"/>
  <c r="CA145" i="8"/>
  <c r="BZ145" i="8"/>
  <c r="BY145" i="8"/>
  <c r="BX145" i="8"/>
  <c r="BW145" i="8"/>
  <c r="BT145" i="8"/>
  <c r="BK145" i="8"/>
  <c r="BB145" i="8"/>
  <c r="AU145" i="8"/>
  <c r="AS145" i="8"/>
  <c r="AC145" i="8"/>
  <c r="AJ145" i="8" s="1"/>
  <c r="AA145" i="8"/>
  <c r="R145" i="8"/>
  <c r="I145" i="8"/>
  <c r="CA144" i="8"/>
  <c r="BZ144" i="8"/>
  <c r="BY144" i="8"/>
  <c r="BX144" i="8"/>
  <c r="BW144" i="8"/>
  <c r="CC143" i="8"/>
  <c r="CB143" i="8"/>
  <c r="CA143" i="8"/>
  <c r="BZ143" i="8"/>
  <c r="BY143" i="8"/>
  <c r="BX143" i="8"/>
  <c r="BW143" i="8"/>
  <c r="BV143" i="8"/>
  <c r="BT143" i="8"/>
  <c r="BS143" i="8"/>
  <c r="BR143" i="8"/>
  <c r="BQ143" i="8"/>
  <c r="BP143" i="8"/>
  <c r="BO143" i="8"/>
  <c r="BN143" i="8"/>
  <c r="BM143" i="8"/>
  <c r="BK143" i="8"/>
  <c r="BJ143" i="8"/>
  <c r="BI143" i="8"/>
  <c r="BH143" i="8"/>
  <c r="BG143" i="8"/>
  <c r="BF143" i="8"/>
  <c r="BE143" i="8"/>
  <c r="BD143" i="8"/>
  <c r="BB143" i="8"/>
  <c r="BA143" i="8"/>
  <c r="AZ143" i="8"/>
  <c r="AY143" i="8"/>
  <c r="AX143" i="8"/>
  <c r="AW143" i="8"/>
  <c r="AV143" i="8"/>
  <c r="AU143" i="8"/>
  <c r="AS143" i="8"/>
  <c r="AR143" i="8"/>
  <c r="AQ143" i="8"/>
  <c r="AP143" i="8"/>
  <c r="AO143" i="8"/>
  <c r="AN143" i="8"/>
  <c r="AM143" i="8"/>
  <c r="AL143" i="8"/>
  <c r="AJ143" i="8"/>
  <c r="AI143" i="8"/>
  <c r="AH143" i="8"/>
  <c r="AG143" i="8"/>
  <c r="AF143" i="8"/>
  <c r="AE143" i="8"/>
  <c r="AD143" i="8"/>
  <c r="AC143" i="8"/>
  <c r="AA143" i="8"/>
  <c r="Z143" i="8"/>
  <c r="Y143" i="8"/>
  <c r="X143" i="8"/>
  <c r="W143" i="8"/>
  <c r="V143" i="8"/>
  <c r="U143" i="8"/>
  <c r="T143" i="8"/>
  <c r="R143" i="8"/>
  <c r="Q143" i="8"/>
  <c r="P143" i="8"/>
  <c r="O143" i="8"/>
  <c r="N143" i="8"/>
  <c r="M143" i="8"/>
  <c r="L143" i="8"/>
  <c r="K143" i="8"/>
  <c r="I143" i="8"/>
  <c r="H143" i="8"/>
  <c r="G143" i="8"/>
  <c r="F143" i="8"/>
  <c r="E143" i="8"/>
  <c r="D143" i="8"/>
  <c r="C143" i="8"/>
  <c r="B143" i="8"/>
  <c r="AO140" i="8"/>
  <c r="X140" i="8"/>
  <c r="N140" i="8"/>
  <c r="CA139" i="8"/>
  <c r="BZ139" i="8"/>
  <c r="BY139" i="8"/>
  <c r="BX139" i="8"/>
  <c r="BW139" i="8"/>
  <c r="BV139" i="8"/>
  <c r="BT139" i="8"/>
  <c r="BK139" i="8"/>
  <c r="BB139" i="8"/>
  <c r="AS139" i="8"/>
  <c r="AJ139" i="8"/>
  <c r="AA139" i="8"/>
  <c r="R139" i="8"/>
  <c r="I139" i="8"/>
  <c r="CA138" i="8"/>
  <c r="BZ138" i="8"/>
  <c r="BY138" i="8"/>
  <c r="BX138" i="8"/>
  <c r="BW138" i="8"/>
  <c r="BV138" i="8"/>
  <c r="BT138" i="8"/>
  <c r="BK138" i="8"/>
  <c r="BB138" i="8"/>
  <c r="AS138" i="8"/>
  <c r="AJ138" i="8"/>
  <c r="AA138" i="8"/>
  <c r="R138" i="8"/>
  <c r="I138" i="8"/>
  <c r="CA137" i="8"/>
  <c r="BZ137" i="8"/>
  <c r="BY137" i="8"/>
  <c r="BX137" i="8"/>
  <c r="BW137" i="8"/>
  <c r="BT137" i="8"/>
  <c r="BK137" i="8"/>
  <c r="AS137" i="8"/>
  <c r="AJ137" i="8"/>
  <c r="AA137" i="8"/>
  <c r="R137" i="8"/>
  <c r="I137" i="8"/>
  <c r="BY135" i="8"/>
  <c r="BP135" i="8"/>
  <c r="AX135" i="8"/>
  <c r="AO135" i="8"/>
  <c r="AF135" i="8"/>
  <c r="X135" i="8"/>
  <c r="W135" i="8"/>
  <c r="N135" i="8"/>
  <c r="E135" i="8"/>
  <c r="W133" i="8"/>
  <c r="CB132" i="8"/>
  <c r="CB133" i="8" s="1"/>
  <c r="BA132" i="8"/>
  <c r="CB131" i="8"/>
  <c r="BS131" i="8"/>
  <c r="BR131" i="8"/>
  <c r="BQ131" i="8"/>
  <c r="BO131" i="8"/>
  <c r="BM131" i="8"/>
  <c r="BJ131" i="8"/>
  <c r="BI131" i="8"/>
  <c r="BH131" i="8"/>
  <c r="BD131" i="8"/>
  <c r="BA131" i="8"/>
  <c r="AZ131" i="8"/>
  <c r="AY131" i="8"/>
  <c r="AQ131" i="8"/>
  <c r="AP131" i="8"/>
  <c r="AL131" i="8"/>
  <c r="X131" i="8"/>
  <c r="V131" i="8"/>
  <c r="Q131" i="8"/>
  <c r="O131" i="8"/>
  <c r="M131" i="8"/>
  <c r="H131" i="8"/>
  <c r="G131" i="8"/>
  <c r="C131" i="8"/>
  <c r="BP130" i="8"/>
  <c r="BP131" i="8" s="1"/>
  <c r="BO130" i="8"/>
  <c r="BN130" i="8"/>
  <c r="BM130" i="8"/>
  <c r="BG130" i="8"/>
  <c r="BG140" i="8" s="1"/>
  <c r="BF130" i="8"/>
  <c r="BF131" i="8" s="1"/>
  <c r="BE130" i="8"/>
  <c r="BD130" i="8"/>
  <c r="AX130" i="8"/>
  <c r="AX140" i="8" s="1"/>
  <c r="AW130" i="8"/>
  <c r="AW131" i="8" s="1"/>
  <c r="AV130" i="8"/>
  <c r="AU130" i="8"/>
  <c r="AS130" i="8"/>
  <c r="AR130" i="8"/>
  <c r="AR131" i="8" s="1"/>
  <c r="AQ130" i="8"/>
  <c r="AP130" i="8"/>
  <c r="AO130" i="8"/>
  <c r="AO131" i="8" s="1"/>
  <c r="AO132" i="8" s="1"/>
  <c r="AN130" i="8"/>
  <c r="AN131" i="8" s="1"/>
  <c r="AM130" i="8"/>
  <c r="AL130" i="8"/>
  <c r="AI130" i="8"/>
  <c r="AI131" i="8" s="1"/>
  <c r="AH130" i="8"/>
  <c r="AH131" i="8" s="1"/>
  <c r="AG130" i="8"/>
  <c r="AG131" i="8" s="1"/>
  <c r="AF130" i="8"/>
  <c r="AE130" i="8"/>
  <c r="AE131" i="8" s="1"/>
  <c r="AD130" i="8"/>
  <c r="AC130" i="8"/>
  <c r="Z130" i="8"/>
  <c r="Z131" i="8" s="1"/>
  <c r="Y130" i="8"/>
  <c r="Y131" i="8" s="1"/>
  <c r="X130" i="8"/>
  <c r="W130" i="8"/>
  <c r="W140" i="8" s="1"/>
  <c r="V130" i="8"/>
  <c r="U130" i="8"/>
  <c r="T130" i="8"/>
  <c r="R130" i="8"/>
  <c r="Q130" i="8"/>
  <c r="P130" i="8"/>
  <c r="P131" i="8" s="1"/>
  <c r="O130" i="8"/>
  <c r="N130" i="8"/>
  <c r="M130" i="8"/>
  <c r="L130" i="8"/>
  <c r="K130" i="8"/>
  <c r="H130" i="8"/>
  <c r="G130" i="8"/>
  <c r="F130" i="8"/>
  <c r="E130" i="8"/>
  <c r="D130" i="8"/>
  <c r="BX130" i="8" s="1"/>
  <c r="C130" i="8"/>
  <c r="BW130" i="8" s="1"/>
  <c r="B130" i="8"/>
  <c r="CA129" i="8"/>
  <c r="BZ129" i="8"/>
  <c r="BY129" i="8"/>
  <c r="BX129" i="8"/>
  <c r="BN129" i="8"/>
  <c r="BM129" i="8"/>
  <c r="BT129" i="8" s="1"/>
  <c r="BE129" i="8"/>
  <c r="BK129" i="8" s="1"/>
  <c r="BD129" i="8"/>
  <c r="BB129" i="8"/>
  <c r="AV129" i="8"/>
  <c r="AV131" i="8" s="1"/>
  <c r="AU129" i="8"/>
  <c r="AU131" i="8" s="1"/>
  <c r="AS129" i="8"/>
  <c r="AM129" i="8"/>
  <c r="AD129" i="8"/>
  <c r="AA129" i="8"/>
  <c r="L129" i="8"/>
  <c r="R129" i="8" s="1"/>
  <c r="K129" i="8"/>
  <c r="I129" i="8"/>
  <c r="C129" i="8"/>
  <c r="BW129" i="8" s="1"/>
  <c r="B129" i="8"/>
  <c r="BV129" i="8" s="1"/>
  <c r="CA128" i="8"/>
  <c r="BZ128" i="8"/>
  <c r="BY128" i="8"/>
  <c r="BX128" i="8"/>
  <c r="BW128" i="8"/>
  <c r="BT128" i="8"/>
  <c r="BK128" i="8"/>
  <c r="BB128" i="8"/>
  <c r="AS128" i="8"/>
  <c r="AJ128" i="8"/>
  <c r="R128" i="8"/>
  <c r="K131" i="8"/>
  <c r="CA127" i="8"/>
  <c r="BZ127" i="8"/>
  <c r="BY127" i="8"/>
  <c r="BX127" i="8"/>
  <c r="BV127" i="8"/>
  <c r="BT127" i="8"/>
  <c r="BK127" i="8"/>
  <c r="BB127" i="8"/>
  <c r="AS127" i="8"/>
  <c r="AJ127" i="8"/>
  <c r="AA127" i="8"/>
  <c r="R127" i="8"/>
  <c r="I127" i="8"/>
  <c r="CA126" i="8"/>
  <c r="BZ126" i="8"/>
  <c r="BY126" i="8"/>
  <c r="BX126" i="8"/>
  <c r="BV126" i="8"/>
  <c r="BT126" i="8"/>
  <c r="BK126" i="8"/>
  <c r="BB126" i="8"/>
  <c r="AS126" i="8"/>
  <c r="AJ126" i="8"/>
  <c r="BW126" i="8"/>
  <c r="R126" i="8"/>
  <c r="I126" i="8"/>
  <c r="CA125" i="8"/>
  <c r="BZ125" i="8"/>
  <c r="BY125" i="8"/>
  <c r="BX125" i="8"/>
  <c r="BW125" i="8"/>
  <c r="BV125" i="8"/>
  <c r="BT125" i="8"/>
  <c r="BK125" i="8"/>
  <c r="BB125" i="8"/>
  <c r="AJ125" i="8"/>
  <c r="AA125" i="8"/>
  <c r="R125" i="8"/>
  <c r="I125" i="8"/>
  <c r="CA124" i="8"/>
  <c r="BZ124" i="8"/>
  <c r="BY124" i="8"/>
  <c r="BX124" i="8"/>
  <c r="BV124" i="8"/>
  <c r="BT124" i="8"/>
  <c r="BK124" i="8"/>
  <c r="BB124" i="8"/>
  <c r="AS124" i="8"/>
  <c r="AJ124" i="8"/>
  <c r="BW124" i="8"/>
  <c r="CC124" i="8" s="1"/>
  <c r="G124" i="10" s="1"/>
  <c r="AA124" i="8"/>
  <c r="R124" i="8"/>
  <c r="I124" i="8"/>
  <c r="CA123" i="8"/>
  <c r="BZ123" i="8"/>
  <c r="BY123" i="8"/>
  <c r="BX123" i="8"/>
  <c r="BV123" i="8"/>
  <c r="BT123" i="8"/>
  <c r="BK123" i="8"/>
  <c r="BB123" i="8"/>
  <c r="AS123" i="8"/>
  <c r="AJ123" i="8"/>
  <c r="AA123" i="8"/>
  <c r="U131" i="8"/>
  <c r="R123" i="8"/>
  <c r="I123" i="8"/>
  <c r="BW123" i="8"/>
  <c r="CB121" i="8"/>
  <c r="BS121" i="8"/>
  <c r="BS132" i="8" s="1"/>
  <c r="BR121" i="8"/>
  <c r="BR132" i="8" s="1"/>
  <c r="BQ121" i="8"/>
  <c r="BQ132" i="8" s="1"/>
  <c r="BP121" i="8"/>
  <c r="BP132" i="8" s="1"/>
  <c r="BI121" i="8"/>
  <c r="BI132" i="8" s="1"/>
  <c r="BH121" i="8"/>
  <c r="BH132" i="8" s="1"/>
  <c r="BA121" i="8"/>
  <c r="AZ121" i="8"/>
  <c r="AZ132" i="8" s="1"/>
  <c r="AZ133" i="8" s="1"/>
  <c r="AR121" i="8"/>
  <c r="AR132" i="8" s="1"/>
  <c r="AQ121" i="8"/>
  <c r="AP121" i="8"/>
  <c r="AN121" i="8"/>
  <c r="AN132" i="8" s="1"/>
  <c r="AI121" i="8"/>
  <c r="AI132" i="8" s="1"/>
  <c r="AI133" i="8" s="1"/>
  <c r="AH121" i="8"/>
  <c r="AH132" i="8" s="1"/>
  <c r="AG121" i="8"/>
  <c r="AF121" i="8"/>
  <c r="Z121" i="8"/>
  <c r="Z132" i="8" s="1"/>
  <c r="Q121" i="8"/>
  <c r="Q132" i="8" s="1"/>
  <c r="P121" i="8"/>
  <c r="P132" i="8" s="1"/>
  <c r="H121" i="8"/>
  <c r="G121" i="8"/>
  <c r="F121" i="8"/>
  <c r="BO121" i="8"/>
  <c r="BO132" i="8" s="1"/>
  <c r="BJ121" i="8"/>
  <c r="BJ132" i="8" s="1"/>
  <c r="BG121" i="8"/>
  <c r="BF121" i="8"/>
  <c r="BF132" i="8" s="1"/>
  <c r="AY121" i="8"/>
  <c r="AY132" i="8" s="1"/>
  <c r="Y121" i="8"/>
  <c r="Y132" i="8" s="1"/>
  <c r="CA116" i="8"/>
  <c r="BZ116" i="8"/>
  <c r="BY116" i="8"/>
  <c r="BX116" i="8"/>
  <c r="BW116" i="8"/>
  <c r="BT116" i="8"/>
  <c r="BK116" i="8"/>
  <c r="G116" i="11" s="1"/>
  <c r="BB116" i="8"/>
  <c r="AS116" i="8"/>
  <c r="AJ116" i="8"/>
  <c r="AA116" i="8"/>
  <c r="R116" i="8"/>
  <c r="I116" i="8"/>
  <c r="CA115" i="8"/>
  <c r="BZ115" i="8"/>
  <c r="BY115" i="8"/>
  <c r="BX115" i="8"/>
  <c r="BV115" i="8"/>
  <c r="BB115" i="8"/>
  <c r="G115" i="9" s="1"/>
  <c r="CA114" i="8"/>
  <c r="BZ114" i="8"/>
  <c r="BY114" i="8"/>
  <c r="BX114" i="8"/>
  <c r="BW114" i="8"/>
  <c r="BT114" i="8"/>
  <c r="AK114" i="8"/>
  <c r="J114" i="8"/>
  <c r="CA113" i="8"/>
  <c r="BZ113" i="8"/>
  <c r="BY113" i="8"/>
  <c r="BX113" i="8"/>
  <c r="BW113" i="8"/>
  <c r="BV113" i="8"/>
  <c r="CC113" i="8" s="1"/>
  <c r="G113" i="10" s="1"/>
  <c r="BT113" i="8"/>
  <c r="BK113" i="8"/>
  <c r="G113" i="11" s="1"/>
  <c r="BB113" i="8"/>
  <c r="AS113" i="8"/>
  <c r="AJ113" i="8"/>
  <c r="AA113" i="8"/>
  <c r="R113" i="8"/>
  <c r="I113" i="8"/>
  <c r="CA112" i="8"/>
  <c r="BZ112" i="8"/>
  <c r="BY112" i="8"/>
  <c r="BX112" i="8"/>
  <c r="BW112" i="8"/>
  <c r="BT112" i="8"/>
  <c r="BK112" i="8"/>
  <c r="G112" i="11" s="1"/>
  <c r="BB112" i="8"/>
  <c r="G112" i="9" s="1"/>
  <c r="AS112" i="8"/>
  <c r="AJ112" i="8"/>
  <c r="AA112" i="8"/>
  <c r="I112" i="8"/>
  <c r="CA111" i="8"/>
  <c r="BZ111" i="8"/>
  <c r="BY111" i="8"/>
  <c r="BX111" i="8"/>
  <c r="BW111" i="8"/>
  <c r="BT111" i="8"/>
  <c r="BK111" i="8"/>
  <c r="G111" i="11" s="1"/>
  <c r="BB111" i="8"/>
  <c r="AS111" i="8"/>
  <c r="AJ111" i="8"/>
  <c r="AA111" i="8"/>
  <c r="R111" i="8"/>
  <c r="CA110" i="8"/>
  <c r="BZ110" i="8"/>
  <c r="BY110" i="8"/>
  <c r="BX110" i="8"/>
  <c r="BW110" i="8"/>
  <c r="BT110" i="8"/>
  <c r="BB110" i="8"/>
  <c r="AS110" i="8"/>
  <c r="AJ110" i="8"/>
  <c r="AA110" i="8"/>
  <c r="R110" i="8"/>
  <c r="CA109" i="8"/>
  <c r="BZ109" i="8"/>
  <c r="BY109" i="8"/>
  <c r="BX109" i="8"/>
  <c r="BW109" i="8"/>
  <c r="BT109" i="8"/>
  <c r="BB109" i="8"/>
  <c r="G109" i="9" s="1"/>
  <c r="AJ109" i="8"/>
  <c r="AA109" i="8"/>
  <c r="R109" i="8"/>
  <c r="CA108" i="8"/>
  <c r="BZ108" i="8"/>
  <c r="BY108" i="8"/>
  <c r="BX108" i="8"/>
  <c r="BW108" i="8"/>
  <c r="BT108" i="8"/>
  <c r="BK108" i="8"/>
  <c r="G108" i="11" s="1"/>
  <c r="BB108" i="8"/>
  <c r="G108" i="9" s="1"/>
  <c r="AJ108" i="8"/>
  <c r="AA108" i="8"/>
  <c r="R108" i="8"/>
  <c r="CA107" i="8"/>
  <c r="BZ107" i="8"/>
  <c r="BY107" i="8"/>
  <c r="BX107" i="8"/>
  <c r="BW107" i="8"/>
  <c r="BV107" i="8"/>
  <c r="BT107" i="8"/>
  <c r="BK107" i="8"/>
  <c r="G107" i="11" s="1"/>
  <c r="AS107" i="8"/>
  <c r="AJ107" i="8"/>
  <c r="AA107" i="8"/>
  <c r="R107" i="8"/>
  <c r="I107" i="8"/>
  <c r="CC105" i="8"/>
  <c r="CB105" i="8"/>
  <c r="CA105" i="8"/>
  <c r="BZ105" i="8"/>
  <c r="BY105" i="8"/>
  <c r="BX105" i="8"/>
  <c r="BW105" i="8"/>
  <c r="BV105" i="8"/>
  <c r="BT105" i="8"/>
  <c r="BS105" i="8"/>
  <c r="BR105" i="8"/>
  <c r="BQ105" i="8"/>
  <c r="BP105" i="8"/>
  <c r="BO105" i="8"/>
  <c r="BN105" i="8"/>
  <c r="BM105" i="8"/>
  <c r="BK105" i="8"/>
  <c r="BJ105" i="8"/>
  <c r="BI105" i="8"/>
  <c r="BH105" i="8"/>
  <c r="BG105" i="8"/>
  <c r="BF105" i="8"/>
  <c r="BE105" i="8"/>
  <c r="BD105" i="8"/>
  <c r="BB105" i="8"/>
  <c r="BA105" i="8"/>
  <c r="AZ105" i="8"/>
  <c r="AY105" i="8"/>
  <c r="AX105" i="8"/>
  <c r="AW105" i="8"/>
  <c r="AV105" i="8"/>
  <c r="AU105" i="8"/>
  <c r="AS105" i="8"/>
  <c r="AR105" i="8"/>
  <c r="AQ105" i="8"/>
  <c r="AP105" i="8"/>
  <c r="AO105" i="8"/>
  <c r="AN105" i="8"/>
  <c r="AM105" i="8"/>
  <c r="AL105" i="8"/>
  <c r="AJ105" i="8"/>
  <c r="AI105" i="8"/>
  <c r="AH105" i="8"/>
  <c r="AG105" i="8"/>
  <c r="AF105" i="8"/>
  <c r="AE105" i="8"/>
  <c r="AD105" i="8"/>
  <c r="AC105" i="8"/>
  <c r="AA105" i="8"/>
  <c r="Z105" i="8"/>
  <c r="Y105" i="8"/>
  <c r="X105" i="8"/>
  <c r="W105" i="8"/>
  <c r="V105" i="8"/>
  <c r="U105" i="8"/>
  <c r="T105" i="8"/>
  <c r="R105" i="8"/>
  <c r="Q105" i="8"/>
  <c r="P105" i="8"/>
  <c r="O105" i="8"/>
  <c r="N105" i="8"/>
  <c r="M105" i="8"/>
  <c r="L105" i="8"/>
  <c r="K105" i="8"/>
  <c r="I105" i="8"/>
  <c r="H105" i="8"/>
  <c r="G105" i="8"/>
  <c r="F105" i="8"/>
  <c r="E105" i="8"/>
  <c r="D105" i="8"/>
  <c r="C105" i="8"/>
  <c r="B105" i="8"/>
  <c r="CB103" i="8"/>
  <c r="CA103" i="8"/>
  <c r="BW103" i="8"/>
  <c r="BP103" i="8"/>
  <c r="BO103" i="8"/>
  <c r="BN103" i="8"/>
  <c r="BM103" i="8"/>
  <c r="BI103" i="8"/>
  <c r="BH103" i="8"/>
  <c r="BG103" i="8"/>
  <c r="BF103" i="8"/>
  <c r="BE103" i="8"/>
  <c r="BD103" i="8"/>
  <c r="BA103" i="8"/>
  <c r="AZ103" i="8"/>
  <c r="AX103" i="8"/>
  <c r="AW103" i="8"/>
  <c r="AV103" i="8"/>
  <c r="AU103" i="8"/>
  <c r="AO103" i="8"/>
  <c r="AN103" i="8"/>
  <c r="AM103" i="8"/>
  <c r="AL103" i="8"/>
  <c r="AI103" i="8"/>
  <c r="AH103" i="8"/>
  <c r="AG103" i="8"/>
  <c r="AF103" i="8"/>
  <c r="AE103" i="8"/>
  <c r="AD103" i="8"/>
  <c r="AC103" i="8"/>
  <c r="Z103" i="8"/>
  <c r="Y103" i="8"/>
  <c r="W103" i="8"/>
  <c r="V103" i="8"/>
  <c r="U103" i="8"/>
  <c r="T103" i="8"/>
  <c r="N103" i="8"/>
  <c r="M103" i="8"/>
  <c r="L103" i="8"/>
  <c r="K103" i="8"/>
  <c r="H103" i="8"/>
  <c r="G103" i="8"/>
  <c r="F103" i="8"/>
  <c r="E103" i="8"/>
  <c r="D103" i="8"/>
  <c r="C103" i="8"/>
  <c r="B103" i="8"/>
  <c r="CA102" i="8"/>
  <c r="BZ102" i="8"/>
  <c r="BY102" i="8"/>
  <c r="BX102" i="8"/>
  <c r="BW102" i="8"/>
  <c r="BV102" i="8"/>
  <c r="CC102" i="8" s="1"/>
  <c r="BT102" i="8"/>
  <c r="BK102" i="8"/>
  <c r="BB102" i="8"/>
  <c r="AS102" i="8"/>
  <c r="AJ102" i="8"/>
  <c r="AA102" i="8"/>
  <c r="R102" i="8"/>
  <c r="I102" i="8"/>
  <c r="CA101" i="8"/>
  <c r="BZ101" i="8"/>
  <c r="BY101" i="8"/>
  <c r="BX101" i="8"/>
  <c r="BW101" i="8"/>
  <c r="BV101" i="8"/>
  <c r="BT101" i="8"/>
  <c r="BK101" i="8"/>
  <c r="BB101" i="8"/>
  <c r="AS101" i="8"/>
  <c r="AJ101" i="8"/>
  <c r="AA101" i="8"/>
  <c r="R101" i="8"/>
  <c r="I101" i="8"/>
  <c r="CB100" i="8"/>
  <c r="BY100" i="8"/>
  <c r="BX100" i="8"/>
  <c r="BW100" i="8"/>
  <c r="BV100" i="8"/>
  <c r="BT100" i="8"/>
  <c r="BS100" i="8"/>
  <c r="BS103" i="8" s="1"/>
  <c r="BR100" i="8"/>
  <c r="BR103" i="8" s="1"/>
  <c r="BQ100" i="8"/>
  <c r="BQ103" i="8" s="1"/>
  <c r="BJ100" i="8"/>
  <c r="BK100" i="8" s="1"/>
  <c r="BI100" i="8"/>
  <c r="BH100" i="8"/>
  <c r="BA100" i="8"/>
  <c r="AZ100" i="8"/>
  <c r="AY100" i="8"/>
  <c r="AS100" i="8"/>
  <c r="AR100" i="8"/>
  <c r="AR103" i="8" s="1"/>
  <c r="AQ100" i="8"/>
  <c r="AQ103" i="8" s="1"/>
  <c r="AP100" i="8"/>
  <c r="AP103" i="8" s="1"/>
  <c r="AJ100" i="8"/>
  <c r="AI100" i="8"/>
  <c r="AH100" i="8"/>
  <c r="AG100" i="8"/>
  <c r="Z100" i="8"/>
  <c r="Y100" i="8"/>
  <c r="X100" i="8"/>
  <c r="R100" i="8"/>
  <c r="Q100" i="8"/>
  <c r="Q103" i="8" s="1"/>
  <c r="P100" i="8"/>
  <c r="P103" i="8" s="1"/>
  <c r="O100" i="8"/>
  <c r="O103" i="8" s="1"/>
  <c r="H100" i="8"/>
  <c r="I100" i="8" s="1"/>
  <c r="I103" i="8" s="1"/>
  <c r="G100" i="8"/>
  <c r="CA100" i="8" s="1"/>
  <c r="F100" i="8"/>
  <c r="CA99" i="8"/>
  <c r="BZ99" i="8"/>
  <c r="BY99" i="8"/>
  <c r="BX99" i="8"/>
  <c r="BW99" i="8"/>
  <c r="BV99" i="8"/>
  <c r="CC99" i="8" s="1"/>
  <c r="BT99" i="8"/>
  <c r="BK99" i="8"/>
  <c r="BB99" i="8"/>
  <c r="AS99" i="8"/>
  <c r="AJ99" i="8"/>
  <c r="AA99" i="8"/>
  <c r="R99" i="8"/>
  <c r="I99" i="8"/>
  <c r="BH97" i="8"/>
  <c r="AQ97" i="8"/>
  <c r="AH97" i="8"/>
  <c r="AD97" i="8"/>
  <c r="BO96" i="8"/>
  <c r="BN96" i="8"/>
  <c r="BM96" i="8"/>
  <c r="BI96" i="8"/>
  <c r="BH96" i="8"/>
  <c r="BF96" i="8"/>
  <c r="BE96" i="8"/>
  <c r="BD96" i="8"/>
  <c r="AW96" i="8"/>
  <c r="AV96" i="8"/>
  <c r="AU96" i="8"/>
  <c r="AQ96" i="8"/>
  <c r="AN96" i="8"/>
  <c r="AM96" i="8"/>
  <c r="AL96" i="8"/>
  <c r="AH96" i="8"/>
  <c r="AF96" i="8"/>
  <c r="AE96" i="8"/>
  <c r="AD96" i="8"/>
  <c r="Y96" i="8"/>
  <c r="V96" i="8"/>
  <c r="U96" i="8"/>
  <c r="T96" i="8"/>
  <c r="P96" i="8"/>
  <c r="M96" i="8"/>
  <c r="L96" i="8"/>
  <c r="K96" i="8"/>
  <c r="G96" i="8"/>
  <c r="D96" i="8"/>
  <c r="C96" i="8"/>
  <c r="B96" i="8"/>
  <c r="CA95" i="8"/>
  <c r="BZ95" i="8"/>
  <c r="BY95" i="8"/>
  <c r="BX95" i="8"/>
  <c r="BW95" i="8"/>
  <c r="BV95" i="8"/>
  <c r="BT95" i="8"/>
  <c r="BK95" i="8"/>
  <c r="BB95" i="8"/>
  <c r="AS95" i="8"/>
  <c r="AJ95" i="8"/>
  <c r="AA95" i="8"/>
  <c r="R95" i="8"/>
  <c r="I95" i="8"/>
  <c r="CA94" i="8"/>
  <c r="BZ94" i="8"/>
  <c r="BY94" i="8"/>
  <c r="BX94" i="8"/>
  <c r="BW94" i="8"/>
  <c r="BV94" i="8"/>
  <c r="BT94" i="8"/>
  <c r="BK94" i="8"/>
  <c r="BB94" i="8"/>
  <c r="AS94" i="8"/>
  <c r="AC94" i="8"/>
  <c r="AC96" i="8" s="1"/>
  <c r="AA94" i="8"/>
  <c r="R94" i="8"/>
  <c r="I94" i="8"/>
  <c r="BY93" i="8"/>
  <c r="BX93" i="8"/>
  <c r="BW93" i="8"/>
  <c r="BV93" i="8"/>
  <c r="CA92" i="8"/>
  <c r="BZ92" i="8"/>
  <c r="BY92" i="8"/>
  <c r="BX92" i="8"/>
  <c r="BW92" i="8"/>
  <c r="BV92" i="8"/>
  <c r="BT92" i="8"/>
  <c r="BK92" i="8"/>
  <c r="BB92" i="8"/>
  <c r="AS92" i="8"/>
  <c r="AJ92" i="8"/>
  <c r="AA92" i="8"/>
  <c r="R92" i="8"/>
  <c r="I92" i="8"/>
  <c r="CB90" i="8"/>
  <c r="BS90" i="8"/>
  <c r="BR90" i="8"/>
  <c r="BQ90" i="8"/>
  <c r="BN90" i="8"/>
  <c r="BM90" i="8"/>
  <c r="BJ90" i="8"/>
  <c r="BI90" i="8"/>
  <c r="BH90" i="8"/>
  <c r="BD90" i="8"/>
  <c r="BA90" i="8"/>
  <c r="AZ90" i="8"/>
  <c r="AY90" i="8"/>
  <c r="AU90" i="8"/>
  <c r="AR90" i="8"/>
  <c r="AQ90" i="8"/>
  <c r="AP90" i="8"/>
  <c r="AM90" i="8"/>
  <c r="AL90" i="8"/>
  <c r="AI90" i="8"/>
  <c r="AH90" i="8"/>
  <c r="AG90" i="8"/>
  <c r="AF90" i="8"/>
  <c r="AC90" i="8"/>
  <c r="Z90" i="8"/>
  <c r="Y90" i="8"/>
  <c r="X90" i="8"/>
  <c r="U90" i="8"/>
  <c r="T90" i="8"/>
  <c r="Q90" i="8"/>
  <c r="P90" i="8"/>
  <c r="O90" i="8"/>
  <c r="K90" i="8"/>
  <c r="H90" i="8"/>
  <c r="G90" i="8"/>
  <c r="F90" i="8"/>
  <c r="B90" i="8"/>
  <c r="CA89" i="8"/>
  <c r="BZ89" i="8"/>
  <c r="BY89" i="8"/>
  <c r="BX89" i="8"/>
  <c r="BW89" i="8"/>
  <c r="BV89" i="8"/>
  <c r="CA88" i="8"/>
  <c r="BZ88" i="8"/>
  <c r="BY88" i="8"/>
  <c r="BX88" i="8"/>
  <c r="CC88" i="8" s="1"/>
  <c r="BW88" i="8"/>
  <c r="BV88" i="8"/>
  <c r="BT88" i="8"/>
  <c r="BK88" i="8"/>
  <c r="BB88" i="8"/>
  <c r="AS88" i="8"/>
  <c r="AJ88" i="8"/>
  <c r="AA88" i="8"/>
  <c r="R88" i="8"/>
  <c r="I88" i="8"/>
  <c r="CA87" i="8"/>
  <c r="BZ87" i="8"/>
  <c r="CC87" i="8" s="1"/>
  <c r="BY87" i="8"/>
  <c r="BX87" i="8"/>
  <c r="BW87" i="8"/>
  <c r="BV87" i="8"/>
  <c r="BT87" i="8"/>
  <c r="BK87" i="8"/>
  <c r="BB87" i="8"/>
  <c r="AS87" i="8"/>
  <c r="AJ87" i="8"/>
  <c r="AA87" i="8"/>
  <c r="R87" i="8"/>
  <c r="I87" i="8"/>
  <c r="CA86" i="8"/>
  <c r="BZ86" i="8"/>
  <c r="BY86" i="8"/>
  <c r="BX86" i="8"/>
  <c r="BW86" i="8"/>
  <c r="BV86" i="8"/>
  <c r="BT86" i="8"/>
  <c r="BK86" i="8"/>
  <c r="BB86" i="8"/>
  <c r="AS86" i="8"/>
  <c r="AJ86" i="8"/>
  <c r="AA86" i="8"/>
  <c r="R86" i="8"/>
  <c r="I86" i="8"/>
  <c r="CA85" i="8"/>
  <c r="BZ85" i="8"/>
  <c r="BZ90" i="8" s="1"/>
  <c r="BY85" i="8"/>
  <c r="BX85" i="8"/>
  <c r="BW85" i="8"/>
  <c r="BV85" i="8"/>
  <c r="BT85" i="8"/>
  <c r="BK85" i="8"/>
  <c r="BB85" i="8"/>
  <c r="AS85" i="8"/>
  <c r="AJ85" i="8"/>
  <c r="AA85" i="8"/>
  <c r="R85" i="8"/>
  <c r="I85" i="8"/>
  <c r="CA84" i="8"/>
  <c r="BZ84" i="8"/>
  <c r="BY84" i="8"/>
  <c r="BW84" i="8"/>
  <c r="BV84" i="8"/>
  <c r="CA83" i="8"/>
  <c r="BZ83" i="8"/>
  <c r="BY83" i="8"/>
  <c r="BW83" i="8"/>
  <c r="BV83" i="8"/>
  <c r="BT83" i="8"/>
  <c r="BB83" i="8"/>
  <c r="AS83" i="8"/>
  <c r="AJ83" i="8"/>
  <c r="AA83" i="8"/>
  <c r="R83" i="8"/>
  <c r="I83" i="8"/>
  <c r="CA82" i="8"/>
  <c r="CA90" i="8" s="1"/>
  <c r="BZ82" i="8"/>
  <c r="BY82" i="8"/>
  <c r="BX82" i="8"/>
  <c r="BV82" i="8"/>
  <c r="BV90" i="8" s="1"/>
  <c r="BT82" i="8"/>
  <c r="BE82" i="8"/>
  <c r="AV82" i="8"/>
  <c r="AV90" i="8" s="1"/>
  <c r="AS82" i="8"/>
  <c r="AM82" i="8"/>
  <c r="AJ82" i="8"/>
  <c r="AD82" i="8"/>
  <c r="AD90" i="8" s="1"/>
  <c r="AA82" i="8"/>
  <c r="U82" i="8"/>
  <c r="L82" i="8"/>
  <c r="L90" i="8" s="1"/>
  <c r="I82" i="8"/>
  <c r="C82" i="8"/>
  <c r="C90" i="8" s="1"/>
  <c r="CB80" i="8"/>
  <c r="CA80" i="8"/>
  <c r="BZ80" i="8"/>
  <c r="BS80" i="8"/>
  <c r="BR80" i="8"/>
  <c r="BQ80" i="8"/>
  <c r="BO80" i="8"/>
  <c r="BN80" i="8"/>
  <c r="BN97" i="8" s="1"/>
  <c r="BJ80" i="8"/>
  <c r="BI80" i="8"/>
  <c r="BI97" i="8" s="1"/>
  <c r="BH80" i="8"/>
  <c r="BF80" i="8"/>
  <c r="BA80" i="8"/>
  <c r="AZ80" i="8"/>
  <c r="AY80" i="8"/>
  <c r="AW80" i="8"/>
  <c r="AR80" i="8"/>
  <c r="AQ80" i="8"/>
  <c r="AP80" i="8"/>
  <c r="AN80" i="8"/>
  <c r="AI80" i="8"/>
  <c r="AH80" i="8"/>
  <c r="AG80" i="8"/>
  <c r="AF80" i="8"/>
  <c r="AF97" i="8" s="1"/>
  <c r="AE80" i="8"/>
  <c r="Z80" i="8"/>
  <c r="Y80" i="8"/>
  <c r="Y97" i="8" s="1"/>
  <c r="X80" i="8"/>
  <c r="V80" i="8"/>
  <c r="Q80" i="8"/>
  <c r="P80" i="8"/>
  <c r="P97" i="8" s="1"/>
  <c r="O80" i="8"/>
  <c r="M80" i="8"/>
  <c r="H80" i="8"/>
  <c r="G80" i="8"/>
  <c r="G97" i="8" s="1"/>
  <c r="F80" i="8"/>
  <c r="D80" i="8"/>
  <c r="CA79" i="8"/>
  <c r="BZ79" i="8"/>
  <c r="BY79" i="8"/>
  <c r="BX79" i="8"/>
  <c r="BV79" i="8"/>
  <c r="BT79" i="8"/>
  <c r="BN79" i="8"/>
  <c r="BE79" i="8"/>
  <c r="BE80" i="8" s="1"/>
  <c r="AV79" i="8"/>
  <c r="AV80" i="8" s="1"/>
  <c r="AM79" i="8"/>
  <c r="AM80" i="8" s="1"/>
  <c r="AD79" i="8"/>
  <c r="AD80" i="8" s="1"/>
  <c r="U79" i="8"/>
  <c r="AA79" i="8" s="1"/>
  <c r="L79" i="8"/>
  <c r="C79" i="8"/>
  <c r="C80" i="8" s="1"/>
  <c r="C97" i="8" s="1"/>
  <c r="CC78" i="8"/>
  <c r="CA78" i="8"/>
  <c r="BZ78" i="8"/>
  <c r="BY78" i="8"/>
  <c r="BX78" i="8"/>
  <c r="BW78" i="8"/>
  <c r="BV78" i="8"/>
  <c r="BT78" i="8"/>
  <c r="BK78" i="8"/>
  <c r="BB78" i="8"/>
  <c r="AS78" i="8"/>
  <c r="AJ78" i="8"/>
  <c r="AA78" i="8"/>
  <c r="R78" i="8"/>
  <c r="I78" i="8"/>
  <c r="CA77" i="8"/>
  <c r="BZ77" i="8"/>
  <c r="BY77" i="8"/>
  <c r="BX77" i="8"/>
  <c r="BW77" i="8"/>
  <c r="BT77" i="8"/>
  <c r="BM77" i="8"/>
  <c r="BD77" i="8"/>
  <c r="BK77" i="8" s="1"/>
  <c r="BB77" i="8"/>
  <c r="AU77" i="8"/>
  <c r="AL77" i="8"/>
  <c r="AS77" i="8" s="1"/>
  <c r="AC77" i="8"/>
  <c r="AJ77" i="8" s="1"/>
  <c r="T77" i="8"/>
  <c r="AA77" i="8" s="1"/>
  <c r="K77" i="8"/>
  <c r="I77" i="8"/>
  <c r="B77" i="8"/>
  <c r="CA76" i="8"/>
  <c r="BZ76" i="8"/>
  <c r="BY76" i="8"/>
  <c r="BX76" i="8"/>
  <c r="BX80" i="8" s="1"/>
  <c r="BW76" i="8"/>
  <c r="BM76" i="8"/>
  <c r="BT76" i="8" s="1"/>
  <c r="BD76" i="8"/>
  <c r="BK76" i="8" s="1"/>
  <c r="G76" i="11" s="1"/>
  <c r="AU76" i="8"/>
  <c r="BB76" i="8" s="1"/>
  <c r="G76" i="9" s="1"/>
  <c r="T76" i="8"/>
  <c r="AA76" i="8" s="1"/>
  <c r="I76" i="8"/>
  <c r="B76" i="8"/>
  <c r="CA75" i="8"/>
  <c r="BZ75" i="8"/>
  <c r="BY75" i="8"/>
  <c r="BX75" i="8"/>
  <c r="BW75" i="8"/>
  <c r="BT75" i="8"/>
  <c r="BM75" i="8"/>
  <c r="BD75" i="8"/>
  <c r="BK75" i="8" s="1"/>
  <c r="AU75" i="8"/>
  <c r="BB75" i="8" s="1"/>
  <c r="G75" i="9" s="1"/>
  <c r="AS75" i="8"/>
  <c r="AL75" i="8"/>
  <c r="AC75" i="8"/>
  <c r="AJ75" i="8" s="1"/>
  <c r="T75" i="8"/>
  <c r="AA75" i="8" s="1"/>
  <c r="K75" i="8"/>
  <c r="R75" i="8" s="1"/>
  <c r="B75" i="8"/>
  <c r="I75" i="8" s="1"/>
  <c r="CA74" i="8"/>
  <c r="BZ74" i="8"/>
  <c r="BY74" i="8"/>
  <c r="BX74" i="8"/>
  <c r="BW74" i="8"/>
  <c r="CC72" i="8"/>
  <c r="CB72" i="8"/>
  <c r="CA72" i="8"/>
  <c r="BZ72" i="8"/>
  <c r="BY72" i="8"/>
  <c r="BX72" i="8"/>
  <c r="BW72" i="8"/>
  <c r="BV72" i="8"/>
  <c r="BT72" i="8"/>
  <c r="BS72" i="8"/>
  <c r="BR72" i="8"/>
  <c r="BQ72" i="8"/>
  <c r="BP72" i="8"/>
  <c r="BO72" i="8"/>
  <c r="BN72" i="8"/>
  <c r="BM72" i="8"/>
  <c r="BK72" i="8"/>
  <c r="BJ72" i="8"/>
  <c r="BI72" i="8"/>
  <c r="BH72" i="8"/>
  <c r="BG72" i="8"/>
  <c r="BF72" i="8"/>
  <c r="BE72" i="8"/>
  <c r="BD72" i="8"/>
  <c r="BB72" i="8"/>
  <c r="BA72" i="8"/>
  <c r="AZ72" i="8"/>
  <c r="AY72" i="8"/>
  <c r="AX72" i="8"/>
  <c r="AW72" i="8"/>
  <c r="AV72" i="8"/>
  <c r="AU72" i="8"/>
  <c r="AS72" i="8"/>
  <c r="AR72" i="8"/>
  <c r="AQ72" i="8"/>
  <c r="AP72" i="8"/>
  <c r="AO72" i="8"/>
  <c r="AN72" i="8"/>
  <c r="AM72" i="8"/>
  <c r="AL72" i="8"/>
  <c r="AJ72" i="8"/>
  <c r="AI72" i="8"/>
  <c r="AH72" i="8"/>
  <c r="AG72" i="8"/>
  <c r="AF72" i="8"/>
  <c r="AE72" i="8"/>
  <c r="AD72" i="8"/>
  <c r="AC72" i="8"/>
  <c r="AA72" i="8"/>
  <c r="Z72" i="8"/>
  <c r="Y72" i="8"/>
  <c r="X72" i="8"/>
  <c r="W72" i="8"/>
  <c r="V72" i="8"/>
  <c r="U72" i="8"/>
  <c r="T72" i="8"/>
  <c r="R72" i="8"/>
  <c r="Q72" i="8"/>
  <c r="P72" i="8"/>
  <c r="O72" i="8"/>
  <c r="N72" i="8"/>
  <c r="M72" i="8"/>
  <c r="L72" i="8"/>
  <c r="K72" i="8"/>
  <c r="I72" i="8"/>
  <c r="H72" i="8"/>
  <c r="G72" i="8"/>
  <c r="F72" i="8"/>
  <c r="E72" i="8"/>
  <c r="D72" i="8"/>
  <c r="C72" i="8"/>
  <c r="B72" i="8"/>
  <c r="G65" i="8"/>
  <c r="BR64" i="8"/>
  <c r="BR65" i="8" s="1"/>
  <c r="BJ64" i="8"/>
  <c r="BI64" i="8"/>
  <c r="BH64" i="8"/>
  <c r="BE64" i="8"/>
  <c r="AZ64" i="8"/>
  <c r="AW64" i="8"/>
  <c r="AW65" i="8" s="1"/>
  <c r="AW136" i="8" s="1"/>
  <c r="AO64" i="8"/>
  <c r="AH64" i="8"/>
  <c r="AG64" i="8"/>
  <c r="AG65" i="8" s="1"/>
  <c r="AD64" i="8"/>
  <c r="V64" i="8"/>
  <c r="V65" i="8" s="1"/>
  <c r="V136" i="8" s="1"/>
  <c r="H64" i="8"/>
  <c r="H65" i="8" s="1"/>
  <c r="G64" i="8"/>
  <c r="F64" i="8"/>
  <c r="C64" i="8"/>
  <c r="C65" i="8" s="1"/>
  <c r="C136" i="8" s="1"/>
  <c r="BY63" i="8"/>
  <c r="BR63" i="8"/>
  <c r="BP63" i="8"/>
  <c r="BN63" i="8"/>
  <c r="BN65" i="8" s="1"/>
  <c r="BN136" i="8" s="1"/>
  <c r="BJ63" i="8"/>
  <c r="BJ65" i="8" s="1"/>
  <c r="BI63" i="8"/>
  <c r="BI65" i="8" s="1"/>
  <c r="BH63" i="8"/>
  <c r="BH65" i="8" s="1"/>
  <c r="BG63" i="8"/>
  <c r="AX63" i="8"/>
  <c r="AW63" i="8"/>
  <c r="AV63" i="8"/>
  <c r="AU63" i="8"/>
  <c r="AU65" i="8" s="1"/>
  <c r="AU136" i="8" s="1"/>
  <c r="AO63" i="8"/>
  <c r="AO65" i="8" s="1"/>
  <c r="AM63" i="8"/>
  <c r="AI63" i="8"/>
  <c r="AI65" i="8" s="1"/>
  <c r="AG63" i="8"/>
  <c r="AF63" i="8"/>
  <c r="AF65" i="8" s="1"/>
  <c r="Y63" i="8"/>
  <c r="Y65" i="8" s="1"/>
  <c r="W63" i="8"/>
  <c r="W65" i="8" s="1"/>
  <c r="W136" i="8" s="1"/>
  <c r="BY136" i="8" s="1"/>
  <c r="V63" i="8"/>
  <c r="P63" i="8"/>
  <c r="N63" i="8"/>
  <c r="N65" i="8" s="1"/>
  <c r="H63" i="8"/>
  <c r="G63" i="8"/>
  <c r="E63" i="8"/>
  <c r="C63" i="8"/>
  <c r="CB61" i="8"/>
  <c r="CB64" i="8" s="1"/>
  <c r="BS61" i="8"/>
  <c r="BS64" i="8" s="1"/>
  <c r="BR61" i="8"/>
  <c r="BQ61" i="8"/>
  <c r="BQ64" i="8" s="1"/>
  <c r="BP61" i="8"/>
  <c r="BP64" i="8" s="1"/>
  <c r="BP65" i="8" s="1"/>
  <c r="BO61" i="8"/>
  <c r="BO64" i="8" s="1"/>
  <c r="BN61" i="8"/>
  <c r="BN64" i="8" s="1"/>
  <c r="BM61" i="8"/>
  <c r="BM64" i="8" s="1"/>
  <c r="BJ61" i="8"/>
  <c r="BI61" i="8"/>
  <c r="BH61" i="8"/>
  <c r="BG61" i="8"/>
  <c r="BG64" i="8" s="1"/>
  <c r="BF61" i="8"/>
  <c r="BF64" i="8" s="1"/>
  <c r="BE61" i="8"/>
  <c r="BD61" i="8"/>
  <c r="BD64" i="8" s="1"/>
  <c r="BA61" i="8"/>
  <c r="BA64" i="8" s="1"/>
  <c r="AZ61" i="8"/>
  <c r="AY61" i="8"/>
  <c r="AY64" i="8" s="1"/>
  <c r="AX61" i="8"/>
  <c r="AX64" i="8" s="1"/>
  <c r="AW61" i="8"/>
  <c r="AV61" i="8"/>
  <c r="AV64" i="8" s="1"/>
  <c r="AV65" i="8" s="1"/>
  <c r="AV136" i="8" s="1"/>
  <c r="AU61" i="8"/>
  <c r="AU64" i="8" s="1"/>
  <c r="AR61" i="8"/>
  <c r="AR64" i="8" s="1"/>
  <c r="AQ61" i="8"/>
  <c r="AQ64" i="8" s="1"/>
  <c r="AP61" i="8"/>
  <c r="AP64" i="8" s="1"/>
  <c r="AO61" i="8"/>
  <c r="AN61" i="8"/>
  <c r="AN64" i="8" s="1"/>
  <c r="AM61" i="8"/>
  <c r="AM64" i="8" s="1"/>
  <c r="AL61" i="8"/>
  <c r="AL64" i="8" s="1"/>
  <c r="AI61" i="8"/>
  <c r="AI64" i="8" s="1"/>
  <c r="AH61" i="8"/>
  <c r="AG61" i="8"/>
  <c r="AF61" i="8"/>
  <c r="AF64" i="8" s="1"/>
  <c r="AE61" i="8"/>
  <c r="AE64" i="8" s="1"/>
  <c r="AD61" i="8"/>
  <c r="AC61" i="8"/>
  <c r="AC64" i="8" s="1"/>
  <c r="Z61" i="8"/>
  <c r="Z64" i="8" s="1"/>
  <c r="Y61" i="8"/>
  <c r="Y64" i="8" s="1"/>
  <c r="X61" i="8"/>
  <c r="X64" i="8" s="1"/>
  <c r="W61" i="8"/>
  <c r="W64" i="8" s="1"/>
  <c r="V61" i="8"/>
  <c r="U61" i="8"/>
  <c r="U64" i="8" s="1"/>
  <c r="T61" i="8"/>
  <c r="T64" i="8" s="1"/>
  <c r="Q61" i="8"/>
  <c r="Q64" i="8" s="1"/>
  <c r="P61" i="8"/>
  <c r="P64" i="8" s="1"/>
  <c r="O61" i="8"/>
  <c r="O64" i="8" s="1"/>
  <c r="N61" i="8"/>
  <c r="N64" i="8" s="1"/>
  <c r="M61" i="8"/>
  <c r="M64" i="8" s="1"/>
  <c r="L61" i="8"/>
  <c r="L64" i="8" s="1"/>
  <c r="K61" i="8"/>
  <c r="K64" i="8" s="1"/>
  <c r="H61" i="8"/>
  <c r="G61" i="8"/>
  <c r="F61" i="8"/>
  <c r="E61" i="8"/>
  <c r="E64" i="8" s="1"/>
  <c r="D61" i="8"/>
  <c r="D64" i="8" s="1"/>
  <c r="C61" i="8"/>
  <c r="B61" i="8"/>
  <c r="B64" i="8" s="1"/>
  <c r="CC60" i="8"/>
  <c r="CA60" i="8"/>
  <c r="BZ60" i="8"/>
  <c r="BY60" i="8"/>
  <c r="BX60" i="8"/>
  <c r="BW60" i="8"/>
  <c r="BV60" i="8"/>
  <c r="BT60" i="8"/>
  <c r="BK60" i="8"/>
  <c r="BB60" i="8"/>
  <c r="AS60" i="8"/>
  <c r="AJ60" i="8"/>
  <c r="AA60" i="8"/>
  <c r="R60" i="8"/>
  <c r="I60" i="8"/>
  <c r="CA59" i="8"/>
  <c r="BZ59" i="8"/>
  <c r="BY59" i="8"/>
  <c r="BX59" i="8"/>
  <c r="BW59" i="8"/>
  <c r="BV59" i="8"/>
  <c r="BT59" i="8"/>
  <c r="BK59" i="8"/>
  <c r="BB59" i="8"/>
  <c r="AS59" i="8"/>
  <c r="AJ59" i="8"/>
  <c r="AA59" i="8"/>
  <c r="R59" i="8"/>
  <c r="I59" i="8"/>
  <c r="CA58" i="8"/>
  <c r="BZ58" i="8"/>
  <c r="BY58" i="8"/>
  <c r="BX58" i="8"/>
  <c r="BW58" i="8"/>
  <c r="BV58" i="8"/>
  <c r="CC58" i="8" s="1"/>
  <c r="BT58" i="8"/>
  <c r="BK58" i="8"/>
  <c r="BB58" i="8"/>
  <c r="AS58" i="8"/>
  <c r="AJ58" i="8"/>
  <c r="AA58" i="8"/>
  <c r="R58" i="8"/>
  <c r="I58" i="8"/>
  <c r="CA57" i="8"/>
  <c r="BZ57" i="8"/>
  <c r="BY57" i="8"/>
  <c r="BX57" i="8"/>
  <c r="BW57" i="8"/>
  <c r="CC57" i="8" s="1"/>
  <c r="BV57" i="8"/>
  <c r="BT57" i="8"/>
  <c r="BK57" i="8"/>
  <c r="BB57" i="8"/>
  <c r="AS57" i="8"/>
  <c r="AJ57" i="8"/>
  <c r="AA57" i="8"/>
  <c r="R57" i="8"/>
  <c r="I57" i="8"/>
  <c r="CA56" i="8"/>
  <c r="BZ56" i="8"/>
  <c r="BY56" i="8"/>
  <c r="BX56" i="8"/>
  <c r="BW56" i="8"/>
  <c r="BV56" i="8"/>
  <c r="CC56" i="8" s="1"/>
  <c r="BT56" i="8"/>
  <c r="BK56" i="8"/>
  <c r="BB56" i="8"/>
  <c r="AS56" i="8"/>
  <c r="AJ56" i="8"/>
  <c r="AA56" i="8"/>
  <c r="R56" i="8"/>
  <c r="I56" i="8"/>
  <c r="CA55" i="8"/>
  <c r="BZ55" i="8"/>
  <c r="BY55" i="8"/>
  <c r="BX55" i="8"/>
  <c r="BW55" i="8"/>
  <c r="BV55" i="8"/>
  <c r="BT55" i="8"/>
  <c r="BK55" i="8"/>
  <c r="BB55" i="8"/>
  <c r="AS55" i="8"/>
  <c r="AJ55" i="8"/>
  <c r="AA55" i="8"/>
  <c r="R55" i="8"/>
  <c r="I55" i="8"/>
  <c r="CA54" i="8"/>
  <c r="BZ54" i="8"/>
  <c r="BY54" i="8"/>
  <c r="BX54" i="8"/>
  <c r="CC54" i="8" s="1"/>
  <c r="BW54" i="8"/>
  <c r="BV54" i="8"/>
  <c r="BT54" i="8"/>
  <c r="BK54" i="8"/>
  <c r="BB54" i="8"/>
  <c r="AS54" i="8"/>
  <c r="AJ54" i="8"/>
  <c r="AA54" i="8"/>
  <c r="R54" i="8"/>
  <c r="I54" i="8"/>
  <c r="CA53" i="8"/>
  <c r="BZ53" i="8"/>
  <c r="BY53" i="8"/>
  <c r="BX53" i="8"/>
  <c r="BW53" i="8"/>
  <c r="CC53" i="8" s="1"/>
  <c r="BV53" i="8"/>
  <c r="BT53" i="8"/>
  <c r="BK53" i="8"/>
  <c r="BB53" i="8"/>
  <c r="AS53" i="8"/>
  <c r="AJ53" i="8"/>
  <c r="AA53" i="8"/>
  <c r="R53" i="8"/>
  <c r="I53" i="8"/>
  <c r="CA52" i="8"/>
  <c r="BZ52" i="8"/>
  <c r="BY52" i="8"/>
  <c r="BX52" i="8"/>
  <c r="BW52" i="8"/>
  <c r="BV52" i="8"/>
  <c r="BT52" i="8"/>
  <c r="BK52" i="8"/>
  <c r="BB52" i="8"/>
  <c r="AS52" i="8"/>
  <c r="AJ52" i="8"/>
  <c r="AA52" i="8"/>
  <c r="R52" i="8"/>
  <c r="I52" i="8"/>
  <c r="CA51" i="8"/>
  <c r="BZ51" i="8"/>
  <c r="BY51" i="8"/>
  <c r="BX51" i="8"/>
  <c r="BW51" i="8"/>
  <c r="BV51" i="8"/>
  <c r="BT51" i="8"/>
  <c r="BK51" i="8"/>
  <c r="BB51" i="8"/>
  <c r="AS51" i="8"/>
  <c r="AJ51" i="8"/>
  <c r="AA51" i="8"/>
  <c r="R51" i="8"/>
  <c r="I51" i="8"/>
  <c r="CA50" i="8"/>
  <c r="BZ50" i="8"/>
  <c r="BY50" i="8"/>
  <c r="BX50" i="8"/>
  <c r="BW50" i="8"/>
  <c r="BV50" i="8"/>
  <c r="BV61" i="8" s="1"/>
  <c r="BV64" i="8" s="1"/>
  <c r="BT50" i="8"/>
  <c r="BK50" i="8"/>
  <c r="G50" i="11" s="1"/>
  <c r="BB50" i="8"/>
  <c r="AS50" i="8"/>
  <c r="AJ50" i="8"/>
  <c r="AA50" i="8"/>
  <c r="R50" i="8"/>
  <c r="I50" i="8"/>
  <c r="CA49" i="8"/>
  <c r="BZ49" i="8"/>
  <c r="BY49" i="8"/>
  <c r="BX49" i="8"/>
  <c r="BW49" i="8"/>
  <c r="BV49" i="8"/>
  <c r="BT49" i="8"/>
  <c r="BK49" i="8"/>
  <c r="BB49" i="8"/>
  <c r="AS49" i="8"/>
  <c r="AJ49" i="8"/>
  <c r="AA49" i="8"/>
  <c r="R49" i="8"/>
  <c r="I49" i="8"/>
  <c r="CA48" i="8"/>
  <c r="BZ48" i="8"/>
  <c r="BY48" i="8"/>
  <c r="BX48" i="8"/>
  <c r="BW48" i="8"/>
  <c r="BV48" i="8"/>
  <c r="CC48" i="8" s="1"/>
  <c r="BT48" i="8"/>
  <c r="BK48" i="8"/>
  <c r="BB48" i="8"/>
  <c r="AS48" i="8"/>
  <c r="AJ48" i="8"/>
  <c r="AA48" i="8"/>
  <c r="R48" i="8"/>
  <c r="I48" i="8"/>
  <c r="CA47" i="8"/>
  <c r="BZ47" i="8"/>
  <c r="BY47" i="8"/>
  <c r="BX47" i="8"/>
  <c r="BW47" i="8"/>
  <c r="BV47" i="8"/>
  <c r="BT47" i="8"/>
  <c r="BK47" i="8"/>
  <c r="BB47" i="8"/>
  <c r="AS47" i="8"/>
  <c r="AJ47" i="8"/>
  <c r="AA47" i="8"/>
  <c r="R47" i="8"/>
  <c r="I47" i="8"/>
  <c r="CA46" i="8"/>
  <c r="CC46" i="8" s="1"/>
  <c r="BZ46" i="8"/>
  <c r="BY46" i="8"/>
  <c r="BX46" i="8"/>
  <c r="BW46" i="8"/>
  <c r="BV46" i="8"/>
  <c r="BT46" i="8"/>
  <c r="BK46" i="8"/>
  <c r="BB46" i="8"/>
  <c r="AS46" i="8"/>
  <c r="AJ46" i="8"/>
  <c r="AA46" i="8"/>
  <c r="R46" i="8"/>
  <c r="I46" i="8"/>
  <c r="CA45" i="8"/>
  <c r="BZ45" i="8"/>
  <c r="BY45" i="8"/>
  <c r="BX45" i="8"/>
  <c r="BW45" i="8"/>
  <c r="BV45" i="8"/>
  <c r="BT45" i="8"/>
  <c r="BK45" i="8"/>
  <c r="BB45" i="8"/>
  <c r="AS45" i="8"/>
  <c r="AJ45" i="8"/>
  <c r="AA45" i="8"/>
  <c r="R45" i="8"/>
  <c r="I45" i="8"/>
  <c r="CC44" i="8"/>
  <c r="CA44" i="8"/>
  <c r="BZ44" i="8"/>
  <c r="BY44" i="8"/>
  <c r="BX44" i="8"/>
  <c r="BW44" i="8"/>
  <c r="BV44" i="8"/>
  <c r="BT44" i="8"/>
  <c r="BK44" i="8"/>
  <c r="BB44" i="8"/>
  <c r="AS44" i="8"/>
  <c r="AJ44" i="8"/>
  <c r="AA44" i="8"/>
  <c r="R44" i="8"/>
  <c r="I44" i="8"/>
  <c r="CA43" i="8"/>
  <c r="BZ43" i="8"/>
  <c r="BY43" i="8"/>
  <c r="BX43" i="8"/>
  <c r="BW43" i="8"/>
  <c r="BV43" i="8"/>
  <c r="CC43" i="8" s="1"/>
  <c r="BT43" i="8"/>
  <c r="BK43" i="8"/>
  <c r="BB43" i="8"/>
  <c r="AS43" i="8"/>
  <c r="AJ43" i="8"/>
  <c r="AA43" i="8"/>
  <c r="R43" i="8"/>
  <c r="I43" i="8"/>
  <c r="CA42" i="8"/>
  <c r="BZ42" i="8"/>
  <c r="BY42" i="8"/>
  <c r="BX42" i="8"/>
  <c r="BX61" i="8" s="1"/>
  <c r="BX64" i="8" s="1"/>
  <c r="BW42" i="8"/>
  <c r="BV42" i="8"/>
  <c r="BT42" i="8"/>
  <c r="BK42" i="8"/>
  <c r="BB42" i="8"/>
  <c r="AS42" i="8"/>
  <c r="AJ42" i="8"/>
  <c r="AA42" i="8"/>
  <c r="R42" i="8"/>
  <c r="I42" i="8"/>
  <c r="CA41" i="8"/>
  <c r="CA61" i="8" s="1"/>
  <c r="CA64" i="8" s="1"/>
  <c r="BZ41" i="8"/>
  <c r="BY41" i="8"/>
  <c r="BX41" i="8"/>
  <c r="BW41" i="8"/>
  <c r="BV41" i="8"/>
  <c r="BT41" i="8"/>
  <c r="BK41" i="8"/>
  <c r="BB41" i="8"/>
  <c r="AS41" i="8"/>
  <c r="AJ41" i="8"/>
  <c r="AA41" i="8"/>
  <c r="R41" i="8"/>
  <c r="R61" i="8" s="1"/>
  <c r="R64" i="8" s="1"/>
  <c r="I41" i="8"/>
  <c r="CA40" i="8"/>
  <c r="BZ40" i="8"/>
  <c r="BY40" i="8"/>
  <c r="BX40" i="8"/>
  <c r="BW40" i="8"/>
  <c r="CC40" i="8" s="1"/>
  <c r="BV40" i="8"/>
  <c r="BT40" i="8"/>
  <c r="BK40" i="8"/>
  <c r="BB40" i="8"/>
  <c r="AS40" i="8"/>
  <c r="AJ40" i="8"/>
  <c r="AA40" i="8"/>
  <c r="AA61" i="8" s="1"/>
  <c r="AA64" i="8" s="1"/>
  <c r="R40" i="8"/>
  <c r="I40" i="8"/>
  <c r="CA39" i="8"/>
  <c r="BZ39" i="8"/>
  <c r="BY39" i="8"/>
  <c r="BX39" i="8"/>
  <c r="BW39" i="8"/>
  <c r="BV39" i="8"/>
  <c r="BT39" i="8"/>
  <c r="BK39" i="8"/>
  <c r="BB39" i="8"/>
  <c r="BB61" i="8" s="1"/>
  <c r="BB64" i="8" s="1"/>
  <c r="AS39" i="8"/>
  <c r="AJ39" i="8"/>
  <c r="AA39" i="8"/>
  <c r="R39" i="8"/>
  <c r="I39" i="8"/>
  <c r="CC38" i="8"/>
  <c r="CB38" i="8"/>
  <c r="CA38" i="8"/>
  <c r="BZ38" i="8"/>
  <c r="BY38" i="8"/>
  <c r="BX38" i="8"/>
  <c r="BW38" i="8"/>
  <c r="BV38" i="8"/>
  <c r="BT38" i="8"/>
  <c r="BS38" i="8"/>
  <c r="BR38" i="8"/>
  <c r="BQ38" i="8"/>
  <c r="BP38" i="8"/>
  <c r="BO38" i="8"/>
  <c r="BN38" i="8"/>
  <c r="BM38" i="8"/>
  <c r="BK38" i="8"/>
  <c r="BJ38" i="8"/>
  <c r="BI38" i="8"/>
  <c r="BH38" i="8"/>
  <c r="BG38" i="8"/>
  <c r="BF38" i="8"/>
  <c r="BE38" i="8"/>
  <c r="BD38" i="8"/>
  <c r="BB38" i="8"/>
  <c r="BA38" i="8"/>
  <c r="AZ38" i="8"/>
  <c r="AY38" i="8"/>
  <c r="AX38" i="8"/>
  <c r="AW38" i="8"/>
  <c r="AV38" i="8"/>
  <c r="AU38" i="8"/>
  <c r="AS38" i="8"/>
  <c r="AR38" i="8"/>
  <c r="AQ38" i="8"/>
  <c r="AP38" i="8"/>
  <c r="AO38" i="8"/>
  <c r="AN38" i="8"/>
  <c r="AM38" i="8"/>
  <c r="AL38" i="8"/>
  <c r="AJ38" i="8"/>
  <c r="AI38" i="8"/>
  <c r="AH38" i="8"/>
  <c r="AG38" i="8"/>
  <c r="AF38" i="8"/>
  <c r="AE38" i="8"/>
  <c r="AD38" i="8"/>
  <c r="AC38" i="8"/>
  <c r="AA38" i="8"/>
  <c r="Z38" i="8"/>
  <c r="Y38" i="8"/>
  <c r="X38" i="8"/>
  <c r="W38" i="8"/>
  <c r="V38" i="8"/>
  <c r="U38" i="8"/>
  <c r="T38" i="8"/>
  <c r="R38" i="8"/>
  <c r="Q38" i="8"/>
  <c r="P38" i="8"/>
  <c r="O38" i="8"/>
  <c r="N38" i="8"/>
  <c r="M38" i="8"/>
  <c r="L38" i="8"/>
  <c r="K38" i="8"/>
  <c r="I38" i="8"/>
  <c r="H38" i="8"/>
  <c r="G38" i="8"/>
  <c r="F38" i="8"/>
  <c r="E38" i="8"/>
  <c r="D38" i="8"/>
  <c r="C38" i="8"/>
  <c r="B38" i="8"/>
  <c r="CB36" i="8"/>
  <c r="BS36" i="8"/>
  <c r="BR36" i="8"/>
  <c r="BQ36" i="8"/>
  <c r="BO36" i="8"/>
  <c r="BN36" i="8"/>
  <c r="BM36" i="8"/>
  <c r="BJ36" i="8"/>
  <c r="BI36" i="8"/>
  <c r="BH36" i="8"/>
  <c r="BH140" i="8" s="1"/>
  <c r="BF36" i="8"/>
  <c r="BE36" i="8"/>
  <c r="BE115" i="8" s="1"/>
  <c r="BK115" i="8" s="1"/>
  <c r="G115" i="11" s="1"/>
  <c r="BD36" i="8"/>
  <c r="BD114" i="8" s="1"/>
  <c r="BA36" i="8"/>
  <c r="AZ36" i="8"/>
  <c r="AY36" i="8"/>
  <c r="AW36" i="8"/>
  <c r="AV36" i="8"/>
  <c r="AU36" i="8"/>
  <c r="AR36" i="8"/>
  <c r="AR63" i="8" s="1"/>
  <c r="AQ36" i="8"/>
  <c r="AQ63" i="8" s="1"/>
  <c r="AP36" i="8"/>
  <c r="AN36" i="8"/>
  <c r="AM36" i="8"/>
  <c r="AL36" i="8"/>
  <c r="AJ36" i="8"/>
  <c r="AJ63" i="8" s="1"/>
  <c r="AI36" i="8"/>
  <c r="AH36" i="8"/>
  <c r="AG36" i="8"/>
  <c r="AE36" i="8"/>
  <c r="AD36" i="8"/>
  <c r="AC36" i="8"/>
  <c r="Z36" i="8"/>
  <c r="Y36" i="8"/>
  <c r="X36" i="8"/>
  <c r="X63" i="8" s="1"/>
  <c r="X65" i="8" s="1"/>
  <c r="V36" i="8"/>
  <c r="U36" i="8"/>
  <c r="U63" i="8" s="1"/>
  <c r="U65" i="8" s="1"/>
  <c r="U136" i="8" s="1"/>
  <c r="T36" i="8"/>
  <c r="Q36" i="8"/>
  <c r="Q63" i="8" s="1"/>
  <c r="P36" i="8"/>
  <c r="O36" i="8"/>
  <c r="M36" i="8"/>
  <c r="M63" i="8" s="1"/>
  <c r="M65" i="8" s="1"/>
  <c r="M136" i="8" s="1"/>
  <c r="L36" i="8"/>
  <c r="L63" i="8" s="1"/>
  <c r="L65" i="8" s="1"/>
  <c r="L136" i="8" s="1"/>
  <c r="K36" i="8"/>
  <c r="K63" i="8" s="1"/>
  <c r="H36" i="8"/>
  <c r="G36" i="8"/>
  <c r="G140" i="8" s="1"/>
  <c r="F36" i="8"/>
  <c r="D36" i="8"/>
  <c r="C36" i="8"/>
  <c r="B36" i="8"/>
  <c r="CA35" i="8"/>
  <c r="BZ35" i="8"/>
  <c r="BY35" i="8"/>
  <c r="BX35" i="8"/>
  <c r="BW35" i="8"/>
  <c r="BV35" i="8"/>
  <c r="BT35" i="8"/>
  <c r="BK35" i="8"/>
  <c r="BB35" i="8"/>
  <c r="AS35" i="8"/>
  <c r="AJ35" i="8"/>
  <c r="AA35" i="8"/>
  <c r="R35" i="8"/>
  <c r="I35" i="8"/>
  <c r="CA34" i="8"/>
  <c r="BZ34" i="8"/>
  <c r="BY34" i="8"/>
  <c r="BX34" i="8"/>
  <c r="BW34" i="8"/>
  <c r="BV34" i="8"/>
  <c r="CC34" i="8" s="1"/>
  <c r="G34" i="10" s="1"/>
  <c r="BT34" i="8"/>
  <c r="BK34" i="8"/>
  <c r="G34" i="11" s="1"/>
  <c r="BB34" i="8"/>
  <c r="AS34" i="8"/>
  <c r="AJ34" i="8"/>
  <c r="AA34" i="8"/>
  <c r="R34" i="8"/>
  <c r="I34" i="8"/>
  <c r="CA33" i="8"/>
  <c r="BZ33" i="8"/>
  <c r="BY33" i="8"/>
  <c r="BX33" i="8"/>
  <c r="BW33" i="8"/>
  <c r="BV33" i="8"/>
  <c r="BT33" i="8"/>
  <c r="BK33" i="8"/>
  <c r="BB33" i="8"/>
  <c r="AS33" i="8"/>
  <c r="AJ33" i="8"/>
  <c r="AA33" i="8"/>
  <c r="R33" i="8"/>
  <c r="I33" i="8"/>
  <c r="CA32" i="8"/>
  <c r="CC32" i="8" s="1"/>
  <c r="BZ32" i="8"/>
  <c r="BY32" i="8"/>
  <c r="BX32" i="8"/>
  <c r="BW32" i="8"/>
  <c r="BV32" i="8"/>
  <c r="BT32" i="8"/>
  <c r="BK32" i="8"/>
  <c r="BB32" i="8"/>
  <c r="AS32" i="8"/>
  <c r="AJ32" i="8"/>
  <c r="AA32" i="8"/>
  <c r="R32" i="8"/>
  <c r="I32" i="8"/>
  <c r="CA31" i="8"/>
  <c r="BZ31" i="8"/>
  <c r="BY31" i="8"/>
  <c r="BX31" i="8"/>
  <c r="BW31" i="8"/>
  <c r="BV31" i="8"/>
  <c r="BT31" i="8"/>
  <c r="BK31" i="8"/>
  <c r="BB31" i="8"/>
  <c r="AS31" i="8"/>
  <c r="AJ31" i="8"/>
  <c r="AA31" i="8"/>
  <c r="R31" i="8"/>
  <c r="R36" i="8" s="1"/>
  <c r="R63" i="8" s="1"/>
  <c r="R65" i="8" s="1"/>
  <c r="I31" i="8"/>
  <c r="CC30" i="8"/>
  <c r="CA30" i="8"/>
  <c r="BZ30" i="8"/>
  <c r="BY30" i="8"/>
  <c r="BX30" i="8"/>
  <c r="BW30" i="8"/>
  <c r="BV30" i="8"/>
  <c r="BT30" i="8"/>
  <c r="BK30" i="8"/>
  <c r="BB30" i="8"/>
  <c r="AS30" i="8"/>
  <c r="AS36" i="8" s="1"/>
  <c r="AS63" i="8" s="1"/>
  <c r="AJ30" i="8"/>
  <c r="AA30" i="8"/>
  <c r="AA36" i="8" s="1"/>
  <c r="AA63" i="8" s="1"/>
  <c r="R30" i="8"/>
  <c r="I30" i="8"/>
  <c r="CA29" i="8"/>
  <c r="BZ29" i="8"/>
  <c r="BY29" i="8"/>
  <c r="BX29" i="8"/>
  <c r="BX36" i="8" s="1"/>
  <c r="BX63" i="8" s="1"/>
  <c r="BW29" i="8"/>
  <c r="BV29" i="8"/>
  <c r="CC29" i="8" s="1"/>
  <c r="BT29" i="8"/>
  <c r="BK29" i="8"/>
  <c r="BB29" i="8"/>
  <c r="AS29" i="8"/>
  <c r="AJ29" i="8"/>
  <c r="AA29" i="8"/>
  <c r="R29" i="8"/>
  <c r="I29" i="8"/>
  <c r="CA28" i="8"/>
  <c r="BZ28" i="8"/>
  <c r="BY28" i="8"/>
  <c r="CC28" i="8" s="1"/>
  <c r="G28" i="10" s="1"/>
  <c r="BX28" i="8"/>
  <c r="BW28" i="8"/>
  <c r="BV28" i="8"/>
  <c r="BU28" i="8"/>
  <c r="BT28" i="8"/>
  <c r="BL28" i="8"/>
  <c r="BK28" i="8"/>
  <c r="G28" i="11" s="1"/>
  <c r="BC28" i="8"/>
  <c r="BB28" i="8"/>
  <c r="AT28" i="8"/>
  <c r="AS28" i="8"/>
  <c r="AK28" i="8"/>
  <c r="AJ28" i="8"/>
  <c r="AB28" i="8"/>
  <c r="AA28" i="8"/>
  <c r="S28" i="8"/>
  <c r="R28" i="8"/>
  <c r="J28" i="8"/>
  <c r="I28" i="8"/>
  <c r="CA27" i="8"/>
  <c r="BZ27" i="8"/>
  <c r="BZ36" i="8" s="1"/>
  <c r="BZ63" i="8" s="1"/>
  <c r="BY27" i="8"/>
  <c r="CC27" i="8" s="1"/>
  <c r="BX27" i="8"/>
  <c r="BW27" i="8"/>
  <c r="BV27" i="8"/>
  <c r="BU27" i="8"/>
  <c r="BT27" i="8"/>
  <c r="BK27" i="8"/>
  <c r="BC27" i="8"/>
  <c r="BB27" i="8"/>
  <c r="AT27" i="8"/>
  <c r="AS27" i="8"/>
  <c r="AK27" i="8"/>
  <c r="AJ27" i="8"/>
  <c r="AB27" i="8"/>
  <c r="AA27" i="8"/>
  <c r="S27" i="8"/>
  <c r="R27" i="8"/>
  <c r="I27" i="8"/>
  <c r="I36" i="8" s="1"/>
  <c r="I63" i="8" s="1"/>
  <c r="CC26" i="8"/>
  <c r="CB26" i="8"/>
  <c r="CA26" i="8"/>
  <c r="BZ26" i="8"/>
  <c r="BY26" i="8"/>
  <c r="BX26" i="8"/>
  <c r="BW26" i="8"/>
  <c r="BV26" i="8"/>
  <c r="BT26" i="8"/>
  <c r="BS26" i="8"/>
  <c r="BR26" i="8"/>
  <c r="BQ26" i="8"/>
  <c r="BP26" i="8"/>
  <c r="BO26" i="8"/>
  <c r="BN26" i="8"/>
  <c r="BM26" i="8"/>
  <c r="BK26" i="8"/>
  <c r="BJ26" i="8"/>
  <c r="BI26" i="8"/>
  <c r="BH26" i="8"/>
  <c r="BG26" i="8"/>
  <c r="BF26" i="8"/>
  <c r="BE26" i="8"/>
  <c r="BD26" i="8"/>
  <c r="BB26" i="8"/>
  <c r="BA26" i="8"/>
  <c r="AZ26" i="8"/>
  <c r="AY26" i="8"/>
  <c r="AX26" i="8"/>
  <c r="AW26" i="8"/>
  <c r="AV26" i="8"/>
  <c r="AU26" i="8"/>
  <c r="AS26" i="8"/>
  <c r="AR26" i="8"/>
  <c r="AQ26" i="8"/>
  <c r="AP26" i="8"/>
  <c r="AO26" i="8"/>
  <c r="AN26" i="8"/>
  <c r="AM26" i="8"/>
  <c r="AL26" i="8"/>
  <c r="AJ26" i="8"/>
  <c r="AI26" i="8"/>
  <c r="AH26" i="8"/>
  <c r="AG26" i="8"/>
  <c r="AF26" i="8"/>
  <c r="AE26" i="8"/>
  <c r="AD26" i="8"/>
  <c r="AC26" i="8"/>
  <c r="AA26" i="8"/>
  <c r="Z26" i="8"/>
  <c r="Y26" i="8"/>
  <c r="X26" i="8"/>
  <c r="W26" i="8"/>
  <c r="V26" i="8"/>
  <c r="U26" i="8"/>
  <c r="T26" i="8"/>
  <c r="R26" i="8"/>
  <c r="Q26" i="8"/>
  <c r="P26" i="8"/>
  <c r="O26" i="8"/>
  <c r="N26" i="8"/>
  <c r="M26" i="8"/>
  <c r="L26" i="8"/>
  <c r="K26" i="8"/>
  <c r="I26" i="8"/>
  <c r="H26" i="8"/>
  <c r="G26" i="8"/>
  <c r="F26" i="8"/>
  <c r="E26" i="8"/>
  <c r="D26" i="8"/>
  <c r="C26" i="8"/>
  <c r="B26" i="8"/>
  <c r="CA24" i="8"/>
  <c r="BZ24" i="8"/>
  <c r="BY24" i="8"/>
  <c r="BX24" i="8"/>
  <c r="BW24" i="8"/>
  <c r="BV24" i="8"/>
  <c r="CC24" i="8" s="1"/>
  <c r="BT24" i="8"/>
  <c r="BK24" i="8"/>
  <c r="BB24" i="8"/>
  <c r="AS24" i="8"/>
  <c r="AJ24" i="8"/>
  <c r="AA24" i="8"/>
  <c r="R24" i="8"/>
  <c r="I24" i="8"/>
  <c r="CA23" i="8"/>
  <c r="BZ23" i="8"/>
  <c r="BY23" i="8"/>
  <c r="BX23" i="8"/>
  <c r="BW23" i="8"/>
  <c r="BV23" i="8"/>
  <c r="BT23" i="8"/>
  <c r="BK23" i="8"/>
  <c r="BB23" i="8"/>
  <c r="AS23" i="8"/>
  <c r="AJ23" i="8"/>
  <c r="AA23" i="8"/>
  <c r="R23" i="8"/>
  <c r="I23" i="8"/>
  <c r="CA22" i="8"/>
  <c r="BZ22" i="8"/>
  <c r="BY22" i="8"/>
  <c r="BX22" i="8"/>
  <c r="BW22" i="8"/>
  <c r="BT22" i="8"/>
  <c r="BK22" i="8"/>
  <c r="G22" i="11" s="1"/>
  <c r="BB22" i="8"/>
  <c r="G22" i="9" s="1"/>
  <c r="AS22" i="8"/>
  <c r="AL76" i="8"/>
  <c r="AS76" i="8" s="1"/>
  <c r="AA22" i="8"/>
  <c r="BV22" i="8"/>
  <c r="I22" i="8"/>
  <c r="CA21" i="8"/>
  <c r="BZ21" i="8"/>
  <c r="BY21" i="8"/>
  <c r="BX21" i="8"/>
  <c r="BW21" i="8"/>
  <c r="BV21" i="8"/>
  <c r="BT21" i="8"/>
  <c r="BK21" i="8"/>
  <c r="G21" i="11" s="1"/>
  <c r="BB21" i="8"/>
  <c r="G21" i="9" s="1"/>
  <c r="AS21" i="8"/>
  <c r="AJ21" i="8"/>
  <c r="AA21" i="8"/>
  <c r="R21" i="8"/>
  <c r="I21" i="8"/>
  <c r="CA20" i="8"/>
  <c r="BZ20" i="8"/>
  <c r="BY20" i="8"/>
  <c r="BX20" i="8"/>
  <c r="BW20" i="8"/>
  <c r="CD28" i="8" s="1"/>
  <c r="BV20" i="8"/>
  <c r="BT20" i="8"/>
  <c r="BK20" i="8"/>
  <c r="G20" i="11" s="1"/>
  <c r="BB20" i="8"/>
  <c r="G20" i="9" s="1"/>
  <c r="AS20" i="8"/>
  <c r="AJ20" i="8"/>
  <c r="AA20" i="8"/>
  <c r="R20" i="8"/>
  <c r="I20" i="8"/>
  <c r="CC19" i="8"/>
  <c r="CB19" i="8"/>
  <c r="CA19" i="8"/>
  <c r="BZ19" i="8"/>
  <c r="BY19" i="8"/>
  <c r="BX19" i="8"/>
  <c r="BW19" i="8"/>
  <c r="BV19" i="8"/>
  <c r="BT19" i="8"/>
  <c r="BS19" i="8"/>
  <c r="BR19" i="8"/>
  <c r="BQ19" i="8"/>
  <c r="BP19" i="8"/>
  <c r="BO19" i="8"/>
  <c r="BN19" i="8"/>
  <c r="BM19" i="8"/>
  <c r="BK19" i="8"/>
  <c r="BJ19" i="8"/>
  <c r="BI19" i="8"/>
  <c r="BH19" i="8"/>
  <c r="BG19" i="8"/>
  <c r="BF19" i="8"/>
  <c r="BE19" i="8"/>
  <c r="BD19" i="8"/>
  <c r="BB19" i="8"/>
  <c r="BA19" i="8"/>
  <c r="AZ19" i="8"/>
  <c r="AY19" i="8"/>
  <c r="AX19" i="8"/>
  <c r="AW19" i="8"/>
  <c r="AV19" i="8"/>
  <c r="AU19" i="8"/>
  <c r="AS19" i="8"/>
  <c r="AR19" i="8"/>
  <c r="AQ19" i="8"/>
  <c r="AP19" i="8"/>
  <c r="AO19" i="8"/>
  <c r="AN19" i="8"/>
  <c r="AM19" i="8"/>
  <c r="AL19" i="8"/>
  <c r="AJ19" i="8"/>
  <c r="AI19" i="8"/>
  <c r="AH19" i="8"/>
  <c r="AG19" i="8"/>
  <c r="AF19" i="8"/>
  <c r="AE19" i="8"/>
  <c r="AD19" i="8"/>
  <c r="AC19" i="8"/>
  <c r="AA19" i="8"/>
  <c r="Z19" i="8"/>
  <c r="Y19" i="8"/>
  <c r="X19" i="8"/>
  <c r="W19" i="8"/>
  <c r="V19" i="8"/>
  <c r="U19" i="8"/>
  <c r="T19" i="8"/>
  <c r="R19" i="8"/>
  <c r="Q19" i="8"/>
  <c r="P19" i="8"/>
  <c r="O19" i="8"/>
  <c r="N19" i="8"/>
  <c r="M19" i="8"/>
  <c r="L19" i="8"/>
  <c r="K19" i="8"/>
  <c r="I19" i="8"/>
  <c r="H19" i="8"/>
  <c r="G19" i="8"/>
  <c r="F19" i="8"/>
  <c r="E19" i="8"/>
  <c r="D19" i="8"/>
  <c r="C19" i="8"/>
  <c r="B19" i="8"/>
  <c r="CB17" i="8"/>
  <c r="BS17" i="8"/>
  <c r="BR17" i="8"/>
  <c r="BQ17" i="8"/>
  <c r="BO17" i="8"/>
  <c r="BN17" i="8"/>
  <c r="BM17" i="8"/>
  <c r="BJ17" i="8"/>
  <c r="BI17" i="8"/>
  <c r="BH17" i="8"/>
  <c r="BF17" i="8"/>
  <c r="BE17" i="8"/>
  <c r="BC17" i="8"/>
  <c r="BA17" i="8"/>
  <c r="AZ17" i="8"/>
  <c r="AY17" i="8"/>
  <c r="AW17" i="8"/>
  <c r="AV17" i="8"/>
  <c r="AR17" i="8"/>
  <c r="AQ17" i="8"/>
  <c r="AP17" i="8"/>
  <c r="AN17" i="8"/>
  <c r="AM17" i="8"/>
  <c r="AI17" i="8"/>
  <c r="AH17" i="8"/>
  <c r="AG17" i="8"/>
  <c r="AE17" i="8"/>
  <c r="AD17" i="8"/>
  <c r="Z17" i="8"/>
  <c r="Y17" i="8"/>
  <c r="X17" i="8"/>
  <c r="V17" i="8"/>
  <c r="U17" i="8"/>
  <c r="Q17" i="8"/>
  <c r="P17" i="8"/>
  <c r="O17" i="8"/>
  <c r="M17" i="8"/>
  <c r="L17" i="8"/>
  <c r="H17" i="8"/>
  <c r="G17" i="8"/>
  <c r="F17" i="8"/>
  <c r="D17" i="8"/>
  <c r="C17" i="8"/>
  <c r="CA16" i="8"/>
  <c r="BZ16" i="8"/>
  <c r="BY16" i="8"/>
  <c r="BX16" i="8"/>
  <c r="BW16" i="8"/>
  <c r="BT16" i="8"/>
  <c r="BK16" i="8"/>
  <c r="BB16" i="8"/>
  <c r="AU16" i="8"/>
  <c r="AL16" i="8"/>
  <c r="AS16" i="8" s="1"/>
  <c r="AT16" i="8" s="1"/>
  <c r="CD16" i="8" s="1"/>
  <c r="AC16" i="8"/>
  <c r="AJ16" i="8" s="1"/>
  <c r="AK16" i="8" s="1"/>
  <c r="AA16" i="8"/>
  <c r="R16" i="8"/>
  <c r="I16" i="8"/>
  <c r="CA15" i="8"/>
  <c r="BZ15" i="8"/>
  <c r="BY15" i="8"/>
  <c r="BX15" i="8"/>
  <c r="BW15" i="8"/>
  <c r="BT15" i="8"/>
  <c r="BK15" i="8"/>
  <c r="BB15" i="8"/>
  <c r="AU15" i="8"/>
  <c r="AS15" i="8"/>
  <c r="AT15" i="8" s="1"/>
  <c r="AL15" i="8"/>
  <c r="AJ15" i="8"/>
  <c r="AK15" i="8" s="1"/>
  <c r="CD15" i="8" s="1"/>
  <c r="AC15" i="8"/>
  <c r="BV15" i="8" s="1"/>
  <c r="CC15" i="8" s="1"/>
  <c r="AA15" i="8"/>
  <c r="R15" i="8"/>
  <c r="I15" i="8"/>
  <c r="CA14" i="8"/>
  <c r="BZ14" i="8"/>
  <c r="BY14" i="8"/>
  <c r="BX14" i="8"/>
  <c r="BW14" i="8"/>
  <c r="BT14" i="8"/>
  <c r="BK14" i="8"/>
  <c r="AU14" i="8"/>
  <c r="BB14" i="8" s="1"/>
  <c r="AL14" i="8"/>
  <c r="AK14" i="8"/>
  <c r="AJ14" i="8"/>
  <c r="AC14" i="8"/>
  <c r="AA14" i="8"/>
  <c r="R14" i="8"/>
  <c r="I14" i="8"/>
  <c r="CA13" i="8"/>
  <c r="BZ13" i="8"/>
  <c r="BY13" i="8"/>
  <c r="BX13" i="8"/>
  <c r="BW13" i="8"/>
  <c r="BV13" i="8"/>
  <c r="CC13" i="8" s="1"/>
  <c r="BT13" i="8"/>
  <c r="BK13" i="8"/>
  <c r="BB13" i="8"/>
  <c r="AU13" i="8"/>
  <c r="AL13" i="8"/>
  <c r="AS13" i="8" s="1"/>
  <c r="AT13" i="8" s="1"/>
  <c r="AK13" i="8"/>
  <c r="CD13" i="8" s="1"/>
  <c r="AJ13" i="8"/>
  <c r="AC13" i="8"/>
  <c r="AA13" i="8"/>
  <c r="R13" i="8"/>
  <c r="I13" i="8"/>
  <c r="CA12" i="8"/>
  <c r="BZ12" i="8"/>
  <c r="BY12" i="8"/>
  <c r="BX12" i="8"/>
  <c r="BW12" i="8"/>
  <c r="BT12" i="8"/>
  <c r="BK12" i="8"/>
  <c r="BB12" i="8"/>
  <c r="AU12" i="8"/>
  <c r="AT12" i="8"/>
  <c r="AS12" i="8"/>
  <c r="AL12" i="8"/>
  <c r="AC12" i="8"/>
  <c r="AJ12" i="8" s="1"/>
  <c r="AK12" i="8" s="1"/>
  <c r="T12" i="8"/>
  <c r="AA12" i="8" s="1"/>
  <c r="AB12" i="8" s="1"/>
  <c r="CD12" i="8" s="1"/>
  <c r="S12" i="8"/>
  <c r="R12" i="8"/>
  <c r="K12" i="8"/>
  <c r="I12" i="8"/>
  <c r="CA11" i="8"/>
  <c r="BZ11" i="8"/>
  <c r="BY11" i="8"/>
  <c r="BX11" i="8"/>
  <c r="BW11" i="8"/>
  <c r="BT11" i="8"/>
  <c r="BK11" i="8"/>
  <c r="AU11" i="8"/>
  <c r="BB11" i="8" s="1"/>
  <c r="AL11" i="8"/>
  <c r="AS11" i="8" s="1"/>
  <c r="AT11" i="8" s="1"/>
  <c r="AC11" i="8"/>
  <c r="AB11" i="8"/>
  <c r="AA11" i="8"/>
  <c r="T11" i="8"/>
  <c r="K11" i="8"/>
  <c r="R11" i="8" s="1"/>
  <c r="S11" i="8" s="1"/>
  <c r="I11" i="8"/>
  <c r="CA10" i="8"/>
  <c r="BZ10" i="8"/>
  <c r="BY10" i="8"/>
  <c r="BX10" i="8"/>
  <c r="BW10" i="8"/>
  <c r="BT10" i="8"/>
  <c r="BK10" i="8"/>
  <c r="BL10" i="8" s="1"/>
  <c r="AU10" i="8"/>
  <c r="BB10" i="8" s="1"/>
  <c r="AL10" i="8"/>
  <c r="AS10" i="8" s="1"/>
  <c r="AT10" i="8" s="1"/>
  <c r="AK10" i="8"/>
  <c r="AJ10" i="8"/>
  <c r="AC10" i="8"/>
  <c r="T10" i="8"/>
  <c r="T3" i="8" s="1"/>
  <c r="K10" i="8"/>
  <c r="I10" i="8"/>
  <c r="CA9" i="8"/>
  <c r="BZ9" i="8"/>
  <c r="BY9" i="8"/>
  <c r="BX9" i="8"/>
  <c r="BW9" i="8"/>
  <c r="BT9" i="8"/>
  <c r="BK9" i="8"/>
  <c r="BB9" i="8"/>
  <c r="AL9" i="8"/>
  <c r="AS9" i="8" s="1"/>
  <c r="AT9" i="8" s="1"/>
  <c r="AJ9" i="8"/>
  <c r="AK9" i="8" s="1"/>
  <c r="AC9" i="8"/>
  <c r="AB9" i="8"/>
  <c r="AA9" i="8"/>
  <c r="T9" i="8"/>
  <c r="R9" i="8"/>
  <c r="S9" i="8" s="1"/>
  <c r="K9" i="8"/>
  <c r="B9" i="8"/>
  <c r="BV9" i="8" s="1"/>
  <c r="CC9" i="8" s="1"/>
  <c r="CA8" i="8"/>
  <c r="BZ8" i="8"/>
  <c r="BY8" i="8"/>
  <c r="BX8" i="8"/>
  <c r="BW8" i="8"/>
  <c r="BT8" i="8"/>
  <c r="BD8" i="8"/>
  <c r="BK8" i="8" s="1"/>
  <c r="BL8" i="8" s="1"/>
  <c r="BB8" i="8"/>
  <c r="AS8" i="8"/>
  <c r="AT8" i="8" s="1"/>
  <c r="AL8" i="8"/>
  <c r="AC8" i="8"/>
  <c r="AJ8" i="8" s="1"/>
  <c r="AK8" i="8" s="1"/>
  <c r="AB8" i="8"/>
  <c r="AA8" i="8"/>
  <c r="T8" i="8"/>
  <c r="S8" i="8"/>
  <c r="R8" i="8"/>
  <c r="K8" i="8"/>
  <c r="B8" i="8"/>
  <c r="BV8" i="8" s="1"/>
  <c r="CA7" i="8"/>
  <c r="BZ7" i="8"/>
  <c r="BY7" i="8"/>
  <c r="BX7" i="8"/>
  <c r="BX17" i="8" s="1"/>
  <c r="BW7" i="8"/>
  <c r="BT7" i="8"/>
  <c r="BD7" i="8"/>
  <c r="BK7" i="8" s="1"/>
  <c r="BL7" i="8" s="1"/>
  <c r="BB7" i="8"/>
  <c r="AL7" i="8"/>
  <c r="AS7" i="8" s="1"/>
  <c r="AT7" i="8" s="1"/>
  <c r="AC7" i="8"/>
  <c r="AJ7" i="8" s="1"/>
  <c r="AK7" i="8" s="1"/>
  <c r="AB7" i="8"/>
  <c r="T7" i="8"/>
  <c r="AA7" i="8" s="1"/>
  <c r="S7" i="8"/>
  <c r="R7" i="8"/>
  <c r="K7" i="8"/>
  <c r="B7" i="8"/>
  <c r="BV7" i="8" s="1"/>
  <c r="CC7" i="8" s="1"/>
  <c r="CA6" i="8"/>
  <c r="BZ6" i="8"/>
  <c r="BY6" i="8"/>
  <c r="BX6" i="8"/>
  <c r="BW6" i="8"/>
  <c r="BT6" i="8"/>
  <c r="BD6" i="8"/>
  <c r="BK6" i="8" s="1"/>
  <c r="BL6" i="8" s="1"/>
  <c r="BB6" i="8"/>
  <c r="AS6" i="8"/>
  <c r="AT6" i="8" s="1"/>
  <c r="AL6" i="8"/>
  <c r="AC6" i="8"/>
  <c r="AJ6" i="8" s="1"/>
  <c r="AK6" i="8" s="1"/>
  <c r="AB6" i="8"/>
  <c r="AA6" i="8"/>
  <c r="T6" i="8"/>
  <c r="K6" i="8"/>
  <c r="R6" i="8" s="1"/>
  <c r="S6" i="8" s="1"/>
  <c r="B6" i="8"/>
  <c r="CA5" i="8"/>
  <c r="BZ5" i="8"/>
  <c r="BY5" i="8"/>
  <c r="BX5" i="8"/>
  <c r="BW5" i="8"/>
  <c r="BT5" i="8"/>
  <c r="BD5" i="8"/>
  <c r="BK5" i="8" s="1"/>
  <c r="BL5" i="8" s="1"/>
  <c r="BB5" i="8"/>
  <c r="AL5" i="8"/>
  <c r="AS5" i="8" s="1"/>
  <c r="AT5" i="8" s="1"/>
  <c r="AC5" i="8"/>
  <c r="AJ5" i="8" s="1"/>
  <c r="AK5" i="8" s="1"/>
  <c r="AA5" i="8"/>
  <c r="T5" i="8"/>
  <c r="R5" i="8"/>
  <c r="S5" i="8" s="1"/>
  <c r="K5" i="8"/>
  <c r="I5" i="8"/>
  <c r="J5" i="8" s="1"/>
  <c r="B5" i="8"/>
  <c r="BV5" i="8" s="1"/>
  <c r="CC5" i="8" s="1"/>
  <c r="CA4" i="8"/>
  <c r="BZ4" i="8"/>
  <c r="BZ17" i="8" s="1"/>
  <c r="BY4" i="8"/>
  <c r="BX4" i="8"/>
  <c r="BW4" i="8"/>
  <c r="BW17" i="8" s="1"/>
  <c r="BT4" i="8"/>
  <c r="BD4" i="8"/>
  <c r="BD17" i="8" s="1"/>
  <c r="BB4" i="8"/>
  <c r="BB17" i="8" s="1"/>
  <c r="AL4" i="8"/>
  <c r="AS4" i="8" s="1"/>
  <c r="AC4" i="8"/>
  <c r="AC3" i="8" s="1"/>
  <c r="AB4" i="8"/>
  <c r="T4" i="8"/>
  <c r="AA4" i="8" s="1"/>
  <c r="K4" i="8"/>
  <c r="K17" i="8" s="1"/>
  <c r="J4" i="8"/>
  <c r="I4" i="8"/>
  <c r="B4" i="8"/>
  <c r="BM3" i="8"/>
  <c r="BM74" i="8" s="1"/>
  <c r="CC2" i="8"/>
  <c r="BT2" i="8"/>
  <c r="BK2" i="8"/>
  <c r="BB2" i="8"/>
  <c r="AS2" i="8"/>
  <c r="AJ2" i="8"/>
  <c r="AA2" i="8"/>
  <c r="R2" i="8"/>
  <c r="I2" i="8"/>
  <c r="AC16" i="7"/>
  <c r="AL16" i="7"/>
  <c r="BL11" i="7"/>
  <c r="BL10" i="7"/>
  <c r="BL8" i="7"/>
  <c r="BD8" i="7"/>
  <c r="BD9" i="7"/>
  <c r="BD10" i="7"/>
  <c r="BD11" i="7"/>
  <c r="CC222" i="7"/>
  <c r="CB222" i="7"/>
  <c r="CA222" i="7"/>
  <c r="BZ222" i="7"/>
  <c r="BY222" i="7"/>
  <c r="BX222" i="7"/>
  <c r="BW222" i="7"/>
  <c r="BV222" i="7"/>
  <c r="BT222" i="7"/>
  <c r="BS222" i="7"/>
  <c r="BR222" i="7"/>
  <c r="BQ222" i="7"/>
  <c r="BP222" i="7"/>
  <c r="BO222" i="7"/>
  <c r="BN222" i="7"/>
  <c r="BM222" i="7"/>
  <c r="BK222" i="7"/>
  <c r="BJ222" i="7"/>
  <c r="BI222" i="7"/>
  <c r="BH222" i="7"/>
  <c r="BG222" i="7"/>
  <c r="BF222" i="7"/>
  <c r="BE222" i="7"/>
  <c r="BD222" i="7"/>
  <c r="BB222" i="7"/>
  <c r="BA222" i="7"/>
  <c r="AZ222" i="7"/>
  <c r="AY222" i="7"/>
  <c r="AX222" i="7"/>
  <c r="AW222" i="7"/>
  <c r="AV222" i="7"/>
  <c r="AU222" i="7"/>
  <c r="AS222" i="7"/>
  <c r="AR222" i="7"/>
  <c r="AQ222" i="7"/>
  <c r="AP222" i="7"/>
  <c r="AO222" i="7"/>
  <c r="AN222" i="7"/>
  <c r="AM222" i="7"/>
  <c r="AL222" i="7"/>
  <c r="AJ222" i="7"/>
  <c r="AI222" i="7"/>
  <c r="AH222" i="7"/>
  <c r="AG222" i="7"/>
  <c r="AF222" i="7"/>
  <c r="AE222" i="7"/>
  <c r="AD222" i="7"/>
  <c r="AC222" i="7"/>
  <c r="AA222" i="7"/>
  <c r="Z222" i="7"/>
  <c r="Y222" i="7"/>
  <c r="X222" i="7"/>
  <c r="W222" i="7"/>
  <c r="V222" i="7"/>
  <c r="U222" i="7"/>
  <c r="T222" i="7"/>
  <c r="R222" i="7"/>
  <c r="Q222" i="7"/>
  <c r="P222" i="7"/>
  <c r="O222" i="7"/>
  <c r="N222" i="7"/>
  <c r="M222" i="7"/>
  <c r="L222" i="7"/>
  <c r="K222" i="7"/>
  <c r="I222" i="7"/>
  <c r="H222" i="7"/>
  <c r="G222" i="7"/>
  <c r="F222" i="7"/>
  <c r="E222" i="7"/>
  <c r="D222" i="7"/>
  <c r="C222" i="7"/>
  <c r="B222" i="7"/>
  <c r="A222" i="7"/>
  <c r="CC218" i="7"/>
  <c r="BT218" i="7"/>
  <c r="BK218" i="7"/>
  <c r="BB218" i="7"/>
  <c r="AS218" i="7"/>
  <c r="AJ218" i="7"/>
  <c r="AA218" i="7"/>
  <c r="R218" i="7"/>
  <c r="I218" i="7"/>
  <c r="CC217" i="7"/>
  <c r="CA217" i="7"/>
  <c r="BZ217" i="7"/>
  <c r="BY217" i="7"/>
  <c r="BX217" i="7"/>
  <c r="BW217" i="7"/>
  <c r="BV217" i="7"/>
  <c r="BT217" i="7"/>
  <c r="BK217" i="7"/>
  <c r="BB217" i="7"/>
  <c r="AS217" i="7"/>
  <c r="AJ217" i="7"/>
  <c r="AA217" i="7"/>
  <c r="R217" i="7"/>
  <c r="I217" i="7"/>
  <c r="CA216" i="7"/>
  <c r="BZ216" i="7"/>
  <c r="BY216" i="7"/>
  <c r="BX216" i="7"/>
  <c r="BW216" i="7"/>
  <c r="BT216" i="7"/>
  <c r="BK216" i="7"/>
  <c r="BB216" i="7"/>
  <c r="AS216" i="7"/>
  <c r="AJ216" i="7"/>
  <c r="AA216" i="7"/>
  <c r="R216" i="7"/>
  <c r="B216" i="7"/>
  <c r="I216" i="7" s="1"/>
  <c r="CA215" i="7"/>
  <c r="BZ215" i="7"/>
  <c r="BY215" i="7"/>
  <c r="BX215" i="7"/>
  <c r="BW215" i="7"/>
  <c r="BV215" i="7"/>
  <c r="BT215" i="7"/>
  <c r="BK215" i="7"/>
  <c r="BB215" i="7"/>
  <c r="AS215" i="7"/>
  <c r="AJ215" i="7"/>
  <c r="AA215" i="7"/>
  <c r="R215" i="7"/>
  <c r="I215" i="7"/>
  <c r="CA214" i="7"/>
  <c r="BZ214" i="7"/>
  <c r="BY214" i="7"/>
  <c r="BX214" i="7"/>
  <c r="BW214" i="7"/>
  <c r="BV214" i="7"/>
  <c r="BT214" i="7"/>
  <c r="BK214" i="7"/>
  <c r="BB214" i="7"/>
  <c r="AS214" i="7"/>
  <c r="AJ214" i="7"/>
  <c r="AA214" i="7"/>
  <c r="R214" i="7"/>
  <c r="I214" i="7"/>
  <c r="CA213" i="7"/>
  <c r="BZ213" i="7"/>
  <c r="BY213" i="7"/>
  <c r="BX213" i="7"/>
  <c r="BW213" i="7"/>
  <c r="BT213" i="7"/>
  <c r="BB213" i="7"/>
  <c r="AS213" i="7"/>
  <c r="AJ213" i="7"/>
  <c r="AA213" i="7"/>
  <c r="R213" i="7"/>
  <c r="I213" i="7"/>
  <c r="CB209" i="7"/>
  <c r="BW209" i="7"/>
  <c r="BS209" i="7"/>
  <c r="BR209" i="7"/>
  <c r="BQ209" i="7"/>
  <c r="BP209" i="7"/>
  <c r="BO209" i="7"/>
  <c r="BN209" i="7"/>
  <c r="BM209" i="7"/>
  <c r="BJ209" i="7"/>
  <c r="BI209" i="7"/>
  <c r="BH209" i="7"/>
  <c r="BG209" i="7"/>
  <c r="BF209" i="7"/>
  <c r="BE209" i="7"/>
  <c r="BA209" i="7"/>
  <c r="AZ209" i="7"/>
  <c r="AY209" i="7"/>
  <c r="AX209" i="7"/>
  <c r="AW209" i="7"/>
  <c r="AV209" i="7"/>
  <c r="AU209" i="7"/>
  <c r="AR209" i="7"/>
  <c r="AQ209" i="7"/>
  <c r="AP209" i="7"/>
  <c r="AO209" i="7"/>
  <c r="AN209" i="7"/>
  <c r="AM209" i="7"/>
  <c r="AI209" i="7"/>
  <c r="AH209" i="7"/>
  <c r="AG209" i="7"/>
  <c r="AF209" i="7"/>
  <c r="AE209" i="7"/>
  <c r="AD209" i="7"/>
  <c r="Z209" i="7"/>
  <c r="Y209" i="7"/>
  <c r="X209" i="7"/>
  <c r="W209" i="7"/>
  <c r="V209" i="7"/>
  <c r="U209" i="7"/>
  <c r="Q209" i="7"/>
  <c r="P209" i="7"/>
  <c r="O209" i="7"/>
  <c r="N209" i="7"/>
  <c r="M209" i="7"/>
  <c r="L209" i="7"/>
  <c r="H209" i="7"/>
  <c r="G209" i="7"/>
  <c r="F209" i="7"/>
  <c r="E209" i="7"/>
  <c r="D209" i="7"/>
  <c r="C209" i="7"/>
  <c r="CA208" i="7"/>
  <c r="BZ208" i="7"/>
  <c r="BY208" i="7"/>
  <c r="BX208" i="7"/>
  <c r="BW208" i="7"/>
  <c r="BT208" i="7"/>
  <c r="BK208" i="7"/>
  <c r="BB208" i="7"/>
  <c r="AS208" i="7"/>
  <c r="AJ208" i="7"/>
  <c r="AA208" i="7"/>
  <c r="R208" i="7"/>
  <c r="I208" i="7"/>
  <c r="BV208" i="7"/>
  <c r="CC208" i="7" s="1"/>
  <c r="F208" i="10" s="1"/>
  <c r="CA207" i="7"/>
  <c r="BZ207" i="7"/>
  <c r="BY207" i="7"/>
  <c r="BX207" i="7"/>
  <c r="BW207" i="7"/>
  <c r="BT207" i="7"/>
  <c r="BK207" i="7"/>
  <c r="F207" i="11" s="1"/>
  <c r="BB207" i="7"/>
  <c r="AS207" i="7"/>
  <c r="AJ207" i="7"/>
  <c r="AA207" i="7"/>
  <c r="R207" i="7"/>
  <c r="I207" i="7"/>
  <c r="CA206" i="7"/>
  <c r="BZ206" i="7"/>
  <c r="BY206" i="7"/>
  <c r="BX206" i="7"/>
  <c r="BW206" i="7"/>
  <c r="BV206" i="7"/>
  <c r="CC206" i="7" s="1"/>
  <c r="BT206" i="7"/>
  <c r="BK206" i="7"/>
  <c r="BB206" i="7"/>
  <c r="AS206" i="7"/>
  <c r="AJ206" i="7"/>
  <c r="AA206" i="7"/>
  <c r="R206" i="7"/>
  <c r="I206" i="7"/>
  <c r="CA205" i="7"/>
  <c r="BZ205" i="7"/>
  <c r="BY205" i="7"/>
  <c r="BX205" i="7"/>
  <c r="BW205" i="7"/>
  <c r="BV205" i="7"/>
  <c r="BT205" i="7"/>
  <c r="BK205" i="7"/>
  <c r="BB205" i="7"/>
  <c r="AS205" i="7"/>
  <c r="AJ205" i="7"/>
  <c r="AA205" i="7"/>
  <c r="R205" i="7"/>
  <c r="I205" i="7"/>
  <c r="CA204" i="7"/>
  <c r="BZ204" i="7"/>
  <c r="BY204" i="7"/>
  <c r="BX204" i="7"/>
  <c r="BW204" i="7"/>
  <c r="BT204" i="7"/>
  <c r="BK204" i="7"/>
  <c r="F204" i="11" s="1"/>
  <c r="BB204" i="7"/>
  <c r="AS204" i="7"/>
  <c r="AJ204" i="7"/>
  <c r="AA204" i="7"/>
  <c r="R204" i="7"/>
  <c r="CA203" i="7"/>
  <c r="BZ203" i="7"/>
  <c r="BY203" i="7"/>
  <c r="BX203" i="7"/>
  <c r="BW203" i="7"/>
  <c r="BT203" i="7"/>
  <c r="BK203" i="7"/>
  <c r="F203" i="11" s="1"/>
  <c r="BB203" i="7"/>
  <c r="AS203" i="7"/>
  <c r="AJ203" i="7"/>
  <c r="AA203" i="7"/>
  <c r="R203" i="7"/>
  <c r="I203" i="7"/>
  <c r="CA202" i="7"/>
  <c r="BZ202" i="7"/>
  <c r="BY202" i="7"/>
  <c r="BX202" i="7"/>
  <c r="BW202" i="7"/>
  <c r="BT202" i="7"/>
  <c r="BK202" i="7"/>
  <c r="F202" i="11" s="1"/>
  <c r="BB202" i="7"/>
  <c r="AS202" i="7"/>
  <c r="R202" i="7"/>
  <c r="I202" i="7"/>
  <c r="CA201" i="7"/>
  <c r="BZ201" i="7"/>
  <c r="BY201" i="7"/>
  <c r="BX201" i="7"/>
  <c r="BW201" i="7"/>
  <c r="BT201" i="7"/>
  <c r="BT209" i="7" s="1"/>
  <c r="BK201" i="7"/>
  <c r="F201" i="11" s="1"/>
  <c r="BB201" i="7"/>
  <c r="AS201" i="7"/>
  <c r="AJ201" i="7"/>
  <c r="AA201" i="7"/>
  <c r="I201" i="7"/>
  <c r="CA200" i="7"/>
  <c r="BZ200" i="7"/>
  <c r="BY200" i="7"/>
  <c r="BX200" i="7"/>
  <c r="BW200" i="7"/>
  <c r="BT200" i="7"/>
  <c r="BK200" i="7"/>
  <c r="F200" i="11" s="1"/>
  <c r="BB200" i="7"/>
  <c r="AS200" i="7"/>
  <c r="AJ200" i="7"/>
  <c r="AA200" i="7"/>
  <c r="R200" i="7"/>
  <c r="CA199" i="7"/>
  <c r="BZ199" i="7"/>
  <c r="BZ209" i="7" s="1"/>
  <c r="BY199" i="7"/>
  <c r="BY209" i="7" s="1"/>
  <c r="BX199" i="7"/>
  <c r="BW199" i="7"/>
  <c r="BT199" i="7"/>
  <c r="BK199" i="7"/>
  <c r="F199" i="11" s="1"/>
  <c r="BB199" i="7"/>
  <c r="BB209" i="7" s="1"/>
  <c r="AJ199" i="7"/>
  <c r="AA199" i="7"/>
  <c r="R199" i="7"/>
  <c r="I199" i="7"/>
  <c r="CC198" i="7"/>
  <c r="CB198" i="7"/>
  <c r="CA198" i="7"/>
  <c r="BZ198" i="7"/>
  <c r="BY198" i="7"/>
  <c r="BX198" i="7"/>
  <c r="BW198" i="7"/>
  <c r="BV198" i="7"/>
  <c r="BT198" i="7"/>
  <c r="BS198" i="7"/>
  <c r="BR198" i="7"/>
  <c r="BQ198" i="7"/>
  <c r="BP198" i="7"/>
  <c r="BO198" i="7"/>
  <c r="BN198" i="7"/>
  <c r="BM198" i="7"/>
  <c r="BK198" i="7"/>
  <c r="BJ198" i="7"/>
  <c r="BI198" i="7"/>
  <c r="BH198" i="7"/>
  <c r="BG198" i="7"/>
  <c r="BF198" i="7"/>
  <c r="BE198" i="7"/>
  <c r="BD198" i="7"/>
  <c r="BB198" i="7"/>
  <c r="BA198" i="7"/>
  <c r="AZ198" i="7"/>
  <c r="AY198" i="7"/>
  <c r="AX198" i="7"/>
  <c r="AW198" i="7"/>
  <c r="AV198" i="7"/>
  <c r="AU198" i="7"/>
  <c r="AS198" i="7"/>
  <c r="AR198" i="7"/>
  <c r="AQ198" i="7"/>
  <c r="AP198" i="7"/>
  <c r="AO198" i="7"/>
  <c r="AN198" i="7"/>
  <c r="AM198" i="7"/>
  <c r="AL198" i="7"/>
  <c r="AJ198" i="7"/>
  <c r="AI198" i="7"/>
  <c r="AH198" i="7"/>
  <c r="AG198" i="7"/>
  <c r="AF198" i="7"/>
  <c r="AE198" i="7"/>
  <c r="AD198" i="7"/>
  <c r="AC198" i="7"/>
  <c r="AA198" i="7"/>
  <c r="Z198" i="7"/>
  <c r="Y198" i="7"/>
  <c r="X198" i="7"/>
  <c r="W198" i="7"/>
  <c r="V198" i="7"/>
  <c r="U198" i="7"/>
  <c r="T198" i="7"/>
  <c r="R198" i="7"/>
  <c r="Q198" i="7"/>
  <c r="P198" i="7"/>
  <c r="O198" i="7"/>
  <c r="N198" i="7"/>
  <c r="M198" i="7"/>
  <c r="L198" i="7"/>
  <c r="K198" i="7"/>
  <c r="I198" i="7"/>
  <c r="H198" i="7"/>
  <c r="G198" i="7"/>
  <c r="F198" i="7"/>
  <c r="E198" i="7"/>
  <c r="D198" i="7"/>
  <c r="C198" i="7"/>
  <c r="B198" i="7"/>
  <c r="CB197" i="7"/>
  <c r="BS197" i="7"/>
  <c r="BR197" i="7"/>
  <c r="BQ197" i="7"/>
  <c r="BP197" i="7"/>
  <c r="BN197" i="7"/>
  <c r="BM197" i="7"/>
  <c r="BJ197" i="7"/>
  <c r="BI197" i="7"/>
  <c r="BH197" i="7"/>
  <c r="BG197" i="7"/>
  <c r="BE197" i="7"/>
  <c r="BA197" i="7"/>
  <c r="AZ197" i="7"/>
  <c r="AY197" i="7"/>
  <c r="AX197" i="7"/>
  <c r="AV197" i="7"/>
  <c r="AR197" i="7"/>
  <c r="AQ197" i="7"/>
  <c r="AP197" i="7"/>
  <c r="AO197" i="7"/>
  <c r="AM197" i="7"/>
  <c r="AI197" i="7"/>
  <c r="AH197" i="7"/>
  <c r="AG197" i="7"/>
  <c r="AF197" i="7"/>
  <c r="AD197" i="7"/>
  <c r="Z197" i="7"/>
  <c r="Y197" i="7"/>
  <c r="X197" i="7"/>
  <c r="W197" i="7"/>
  <c r="U197" i="7"/>
  <c r="Q197" i="7"/>
  <c r="P197" i="7"/>
  <c r="O197" i="7"/>
  <c r="N197" i="7"/>
  <c r="L197" i="7"/>
  <c r="H197" i="7"/>
  <c r="G197" i="7"/>
  <c r="F197" i="7"/>
  <c r="E197" i="7"/>
  <c r="C197" i="7"/>
  <c r="CA195" i="7"/>
  <c r="CC195" i="7" s="1"/>
  <c r="BZ195" i="7"/>
  <c r="BY195" i="7"/>
  <c r="BX195" i="7"/>
  <c r="BW195" i="7"/>
  <c r="BV195" i="7"/>
  <c r="BT195" i="7"/>
  <c r="BK195" i="7"/>
  <c r="BB195" i="7"/>
  <c r="AS195" i="7"/>
  <c r="AJ195" i="7"/>
  <c r="AA195" i="7"/>
  <c r="R195" i="7"/>
  <c r="I195" i="7"/>
  <c r="CA194" i="7"/>
  <c r="BZ194" i="7"/>
  <c r="BY194" i="7"/>
  <c r="BX194" i="7"/>
  <c r="BW194" i="7"/>
  <c r="BV194" i="7"/>
  <c r="BK194" i="7"/>
  <c r="AS194" i="7"/>
  <c r="AJ194" i="7"/>
  <c r="AA194" i="7"/>
  <c r="R194" i="7"/>
  <c r="I194" i="7"/>
  <c r="CA193" i="7"/>
  <c r="BZ193" i="7"/>
  <c r="BY193" i="7"/>
  <c r="BX193" i="7"/>
  <c r="BW193" i="7"/>
  <c r="BV193" i="7"/>
  <c r="BT193" i="7"/>
  <c r="BK193" i="7"/>
  <c r="BB193" i="7"/>
  <c r="AS193" i="7"/>
  <c r="AJ193" i="7"/>
  <c r="AA193" i="7"/>
  <c r="R193" i="7"/>
  <c r="I193" i="7"/>
  <c r="CA192" i="7"/>
  <c r="BZ192" i="7"/>
  <c r="BY192" i="7"/>
  <c r="BX192" i="7"/>
  <c r="BW192" i="7"/>
  <c r="BV192" i="7"/>
  <c r="BT192" i="7"/>
  <c r="BK192" i="7"/>
  <c r="BB192" i="7"/>
  <c r="AS192" i="7"/>
  <c r="AJ192" i="7"/>
  <c r="AA192" i="7"/>
  <c r="R192" i="7"/>
  <c r="I192" i="7"/>
  <c r="CA191" i="7"/>
  <c r="BZ191" i="7"/>
  <c r="BY191" i="7"/>
  <c r="BX191" i="7"/>
  <c r="BW191" i="7"/>
  <c r="BT191" i="7"/>
  <c r="BK191" i="7"/>
  <c r="BB191" i="7"/>
  <c r="BV191" i="7"/>
  <c r="CC191" i="7" s="1"/>
  <c r="F191" i="10" s="1"/>
  <c r="AJ191" i="7"/>
  <c r="AA191" i="7"/>
  <c r="R191" i="7"/>
  <c r="I191" i="7"/>
  <c r="CA190" i="7"/>
  <c r="BZ190" i="7"/>
  <c r="BY190" i="7"/>
  <c r="BX190" i="7"/>
  <c r="BW190" i="7"/>
  <c r="BV190" i="7"/>
  <c r="CC190" i="7" s="1"/>
  <c r="BT190" i="7"/>
  <c r="BK190" i="7"/>
  <c r="BB190" i="7"/>
  <c r="AS190" i="7"/>
  <c r="AJ190" i="7"/>
  <c r="AA190" i="7"/>
  <c r="R190" i="7"/>
  <c r="I190" i="7"/>
  <c r="CA189" i="7"/>
  <c r="BZ189" i="7"/>
  <c r="BY189" i="7"/>
  <c r="BX189" i="7"/>
  <c r="BW189" i="7"/>
  <c r="BV189" i="7"/>
  <c r="BT189" i="7"/>
  <c r="BK189" i="7"/>
  <c r="BB189" i="7"/>
  <c r="AS189" i="7"/>
  <c r="AJ189" i="7"/>
  <c r="AA189" i="7"/>
  <c r="R189" i="7"/>
  <c r="I189" i="7"/>
  <c r="CC188" i="7"/>
  <c r="CA188" i="7"/>
  <c r="BZ188" i="7"/>
  <c r="BY188" i="7"/>
  <c r="BX188" i="7"/>
  <c r="BW188" i="7"/>
  <c r="BV188" i="7"/>
  <c r="BT188" i="7"/>
  <c r="BK188" i="7"/>
  <c r="BB188" i="7"/>
  <c r="AS188" i="7"/>
  <c r="AJ188" i="7"/>
  <c r="AA188" i="7"/>
  <c r="R188" i="7"/>
  <c r="I188" i="7"/>
  <c r="CA187" i="7"/>
  <c r="BZ187" i="7"/>
  <c r="BY187" i="7"/>
  <c r="BX187" i="7"/>
  <c r="BW187" i="7"/>
  <c r="BT187" i="7"/>
  <c r="CA186" i="7"/>
  <c r="CC186" i="7" s="1"/>
  <c r="BZ186" i="7"/>
  <c r="BY186" i="7"/>
  <c r="BX186" i="7"/>
  <c r="BW186" i="7"/>
  <c r="BV186" i="7"/>
  <c r="BT186" i="7"/>
  <c r="BK186" i="7"/>
  <c r="BB186" i="7"/>
  <c r="AS186" i="7"/>
  <c r="AJ186" i="7"/>
  <c r="AA186" i="7"/>
  <c r="R186" i="7"/>
  <c r="I186" i="7"/>
  <c r="CA185" i="7"/>
  <c r="CC185" i="7" s="1"/>
  <c r="BZ185" i="7"/>
  <c r="BY185" i="7"/>
  <c r="BX185" i="7"/>
  <c r="BW185" i="7"/>
  <c r="BV185" i="7"/>
  <c r="BT185" i="7"/>
  <c r="BK185" i="7"/>
  <c r="BB185" i="7"/>
  <c r="AS185" i="7"/>
  <c r="AJ185" i="7"/>
  <c r="AA185" i="7"/>
  <c r="R185" i="7"/>
  <c r="I185" i="7"/>
  <c r="CA184" i="7"/>
  <c r="BZ184" i="7"/>
  <c r="BY184" i="7"/>
  <c r="BX184" i="7"/>
  <c r="BW184" i="7"/>
  <c r="BV184" i="7"/>
  <c r="BT184" i="7"/>
  <c r="BK184" i="7"/>
  <c r="BB184" i="7"/>
  <c r="AS184" i="7"/>
  <c r="AJ184" i="7"/>
  <c r="AA184" i="7"/>
  <c r="R184" i="7"/>
  <c r="I184" i="7"/>
  <c r="CA183" i="7"/>
  <c r="BZ183" i="7"/>
  <c r="BY183" i="7"/>
  <c r="BW183" i="7"/>
  <c r="BV183" i="7"/>
  <c r="CA182" i="7"/>
  <c r="BZ182" i="7"/>
  <c r="BY182" i="7"/>
  <c r="BW182" i="7"/>
  <c r="BV182" i="7"/>
  <c r="BT182" i="7"/>
  <c r="BB182" i="7"/>
  <c r="AS182" i="7"/>
  <c r="AJ182" i="7"/>
  <c r="AA182" i="7"/>
  <c r="R182" i="7"/>
  <c r="I182" i="7"/>
  <c r="CA181" i="7"/>
  <c r="BZ181" i="7"/>
  <c r="BY181" i="7"/>
  <c r="BX181" i="7"/>
  <c r="BW181" i="7"/>
  <c r="BT181" i="7"/>
  <c r="BK181" i="7"/>
  <c r="AS181" i="7"/>
  <c r="AJ181" i="7"/>
  <c r="AA181" i="7"/>
  <c r="R181" i="7"/>
  <c r="CA180" i="7"/>
  <c r="BZ180" i="7"/>
  <c r="BY180" i="7"/>
  <c r="BX180" i="7"/>
  <c r="BW180" i="7"/>
  <c r="BV180" i="7"/>
  <c r="BT180" i="7"/>
  <c r="BK180" i="7"/>
  <c r="BB180" i="7"/>
  <c r="AS180" i="7"/>
  <c r="AJ180" i="7"/>
  <c r="AA180" i="7"/>
  <c r="R180" i="7"/>
  <c r="I180" i="7"/>
  <c r="CC179" i="7"/>
  <c r="CA179" i="7"/>
  <c r="BZ179" i="7"/>
  <c r="BY179" i="7"/>
  <c r="BX179" i="7"/>
  <c r="BW179" i="7"/>
  <c r="BV179" i="7"/>
  <c r="BT179" i="7"/>
  <c r="BK179" i="7"/>
  <c r="BB179" i="7"/>
  <c r="AS179" i="7"/>
  <c r="AJ179" i="7"/>
  <c r="AA179" i="7"/>
  <c r="R179" i="7"/>
  <c r="I179" i="7"/>
  <c r="CA178" i="7"/>
  <c r="BZ178" i="7"/>
  <c r="BY178" i="7"/>
  <c r="BX178" i="7"/>
  <c r="BW178" i="7"/>
  <c r="BV178" i="7"/>
  <c r="BT178" i="7"/>
  <c r="BK178" i="7"/>
  <c r="F178" i="11" s="1"/>
  <c r="BB178" i="7"/>
  <c r="AS178" i="7"/>
  <c r="AJ178" i="7"/>
  <c r="AA178" i="7"/>
  <c r="R178" i="7"/>
  <c r="I178" i="7"/>
  <c r="CA177" i="7"/>
  <c r="BZ177" i="7"/>
  <c r="BY177" i="7"/>
  <c r="BX177" i="7"/>
  <c r="BW177" i="7"/>
  <c r="BV177" i="7"/>
  <c r="BT177" i="7"/>
  <c r="BK177" i="7"/>
  <c r="F177" i="11" s="1"/>
  <c r="BB177" i="7"/>
  <c r="AS177" i="7"/>
  <c r="AJ177" i="7"/>
  <c r="AA177" i="7"/>
  <c r="R177" i="7"/>
  <c r="I177" i="7"/>
  <c r="CA176" i="7"/>
  <c r="BZ176" i="7"/>
  <c r="BY176" i="7"/>
  <c r="BX176" i="7"/>
  <c r="BW176" i="7"/>
  <c r="BT176" i="7"/>
  <c r="BK176" i="7"/>
  <c r="F176" i="11" s="1"/>
  <c r="BB176" i="7"/>
  <c r="F176" i="9" s="1"/>
  <c r="AS176" i="7"/>
  <c r="AJ176" i="7"/>
  <c r="AA176" i="7"/>
  <c r="R176" i="7"/>
  <c r="I176" i="7"/>
  <c r="BV176" i="7"/>
  <c r="CC176" i="7" s="1"/>
  <c r="F176" i="10" s="1"/>
  <c r="CA175" i="7"/>
  <c r="BZ175" i="7"/>
  <c r="BZ197" i="7" s="1"/>
  <c r="BY175" i="7"/>
  <c r="BX175" i="7"/>
  <c r="BW175" i="7"/>
  <c r="BV175" i="7"/>
  <c r="CC175" i="7" s="1"/>
  <c r="F175" i="10" s="1"/>
  <c r="BT175" i="7"/>
  <c r="BK175" i="7"/>
  <c r="BB175" i="7"/>
  <c r="AS175" i="7"/>
  <c r="AJ175" i="7"/>
  <c r="AA175" i="7"/>
  <c r="R175" i="7"/>
  <c r="I175" i="7"/>
  <c r="CC174" i="7"/>
  <c r="CA174" i="7"/>
  <c r="BZ174" i="7"/>
  <c r="BY174" i="7"/>
  <c r="BX174" i="7"/>
  <c r="BW174" i="7"/>
  <c r="BV174" i="7"/>
  <c r="BT174" i="7"/>
  <c r="BK174" i="7"/>
  <c r="BB174" i="7"/>
  <c r="AS174" i="7"/>
  <c r="AJ174" i="7"/>
  <c r="AA174" i="7"/>
  <c r="R174" i="7"/>
  <c r="I174" i="7"/>
  <c r="CA173" i="7"/>
  <c r="BZ173" i="7"/>
  <c r="BY173" i="7"/>
  <c r="BX173" i="7"/>
  <c r="BW173" i="7"/>
  <c r="BW197" i="7" s="1"/>
  <c r="BT173" i="7"/>
  <c r="BK173" i="7"/>
  <c r="F173" i="11" s="1"/>
  <c r="BB173" i="7"/>
  <c r="AS173" i="7"/>
  <c r="AJ173" i="7"/>
  <c r="R173" i="7"/>
  <c r="I173" i="7"/>
  <c r="CA172" i="7"/>
  <c r="BZ172" i="7"/>
  <c r="BY172" i="7"/>
  <c r="BX172" i="7"/>
  <c r="BW172" i="7"/>
  <c r="BT172" i="7"/>
  <c r="BB172" i="7"/>
  <c r="AJ172" i="7"/>
  <c r="AA172" i="7"/>
  <c r="R172" i="7"/>
  <c r="I172" i="7"/>
  <c r="CC171" i="7"/>
  <c r="CB171" i="7"/>
  <c r="CA171" i="7"/>
  <c r="BZ171" i="7"/>
  <c r="BY171" i="7"/>
  <c r="BX171" i="7"/>
  <c r="BW171" i="7"/>
  <c r="BV171" i="7"/>
  <c r="BT171" i="7"/>
  <c r="BS171" i="7"/>
  <c r="BR171" i="7"/>
  <c r="BQ171" i="7"/>
  <c r="BP171" i="7"/>
  <c r="BO171" i="7"/>
  <c r="BN171" i="7"/>
  <c r="BM171" i="7"/>
  <c r="BK171" i="7"/>
  <c r="BJ171" i="7"/>
  <c r="BI171" i="7"/>
  <c r="BH171" i="7"/>
  <c r="BG171" i="7"/>
  <c r="BF171" i="7"/>
  <c r="BE171" i="7"/>
  <c r="BD171" i="7"/>
  <c r="BB171" i="7"/>
  <c r="BA171" i="7"/>
  <c r="AZ171" i="7"/>
  <c r="AY171" i="7"/>
  <c r="AX171" i="7"/>
  <c r="AW171" i="7"/>
  <c r="AV171" i="7"/>
  <c r="AU171" i="7"/>
  <c r="AS171" i="7"/>
  <c r="AR171" i="7"/>
  <c r="AQ171" i="7"/>
  <c r="AP171" i="7"/>
  <c r="AO171" i="7"/>
  <c r="AN171" i="7"/>
  <c r="AM171" i="7"/>
  <c r="AL171" i="7"/>
  <c r="AJ171" i="7"/>
  <c r="AI171" i="7"/>
  <c r="AH171" i="7"/>
  <c r="AG171" i="7"/>
  <c r="AF171" i="7"/>
  <c r="AE171" i="7"/>
  <c r="AD171" i="7"/>
  <c r="AC171" i="7"/>
  <c r="AA171" i="7"/>
  <c r="Z171" i="7"/>
  <c r="Y171" i="7"/>
  <c r="X171" i="7"/>
  <c r="W171" i="7"/>
  <c r="V171" i="7"/>
  <c r="U171" i="7"/>
  <c r="T171" i="7"/>
  <c r="R171" i="7"/>
  <c r="Q171" i="7"/>
  <c r="P171" i="7"/>
  <c r="O171" i="7"/>
  <c r="N171" i="7"/>
  <c r="M171" i="7"/>
  <c r="L171" i="7"/>
  <c r="K171" i="7"/>
  <c r="I171" i="7"/>
  <c r="H171" i="7"/>
  <c r="G171" i="7"/>
  <c r="F171" i="7"/>
  <c r="E171" i="7"/>
  <c r="D171" i="7"/>
  <c r="C171" i="7"/>
  <c r="B171" i="7"/>
  <c r="BP170" i="7"/>
  <c r="BO170" i="7"/>
  <c r="BH170" i="7"/>
  <c r="BG170" i="7"/>
  <c r="BF170" i="7"/>
  <c r="AX170" i="7"/>
  <c r="AW170" i="7"/>
  <c r="AO170" i="7"/>
  <c r="AN170" i="7"/>
  <c r="AF170" i="7"/>
  <c r="AE170" i="7"/>
  <c r="W170" i="7"/>
  <c r="V170" i="7"/>
  <c r="N170" i="7"/>
  <c r="N211" i="7" s="1"/>
  <c r="M170" i="7"/>
  <c r="E170" i="7"/>
  <c r="D170" i="7"/>
  <c r="CA169" i="7"/>
  <c r="BZ169" i="7"/>
  <c r="BY169" i="7"/>
  <c r="BX169" i="7"/>
  <c r="BW169" i="7"/>
  <c r="BV169" i="7"/>
  <c r="BT169" i="7"/>
  <c r="BK169" i="7"/>
  <c r="BB169" i="7"/>
  <c r="AS169" i="7"/>
  <c r="AJ169" i="7"/>
  <c r="AA169" i="7"/>
  <c r="R169" i="7"/>
  <c r="I169" i="7"/>
  <c r="CA168" i="7"/>
  <c r="BZ168" i="7"/>
  <c r="BY168" i="7"/>
  <c r="BX168" i="7"/>
  <c r="BW168" i="7"/>
  <c r="CA167" i="7"/>
  <c r="BZ167" i="7"/>
  <c r="BY167" i="7"/>
  <c r="BX167" i="7"/>
  <c r="BW167" i="7"/>
  <c r="CA166" i="7"/>
  <c r="BZ166" i="7"/>
  <c r="BY166" i="7"/>
  <c r="BX166" i="7"/>
  <c r="BW166" i="7"/>
  <c r="CA165" i="7"/>
  <c r="BZ165" i="7"/>
  <c r="BY165" i="7"/>
  <c r="BX165" i="7"/>
  <c r="BW165" i="7"/>
  <c r="BV165" i="7"/>
  <c r="CC165" i="7" s="1"/>
  <c r="BT165" i="7"/>
  <c r="BK165" i="7"/>
  <c r="BB165" i="7"/>
  <c r="AS165" i="7"/>
  <c r="AJ165" i="7"/>
  <c r="AA165" i="7"/>
  <c r="R165" i="7"/>
  <c r="I165" i="7"/>
  <c r="CA164" i="7"/>
  <c r="BZ164" i="7"/>
  <c r="BY164" i="7"/>
  <c r="BX164" i="7"/>
  <c r="BW164" i="7"/>
  <c r="BT164" i="7"/>
  <c r="CA163" i="7"/>
  <c r="BZ163" i="7"/>
  <c r="BY163" i="7"/>
  <c r="BX163" i="7"/>
  <c r="BW163" i="7"/>
  <c r="BV163" i="7"/>
  <c r="BT163" i="7"/>
  <c r="BK163" i="7"/>
  <c r="BB163" i="7"/>
  <c r="AS163" i="7"/>
  <c r="AJ163" i="7"/>
  <c r="AA163" i="7"/>
  <c r="R163" i="7"/>
  <c r="I163" i="7"/>
  <c r="CA162" i="7"/>
  <c r="BZ162" i="7"/>
  <c r="BY162" i="7"/>
  <c r="BX162" i="7"/>
  <c r="BW162" i="7"/>
  <c r="BT162" i="7"/>
  <c r="BK162" i="7"/>
  <c r="F162" i="11" s="1"/>
  <c r="BB162" i="7"/>
  <c r="F162" i="9" s="1"/>
  <c r="AS162" i="7"/>
  <c r="AJ162" i="7"/>
  <c r="AA162" i="7"/>
  <c r="R162" i="7"/>
  <c r="BY161" i="7"/>
  <c r="BX161" i="7"/>
  <c r="CA160" i="7"/>
  <c r="BZ160" i="7"/>
  <c r="BY160" i="7"/>
  <c r="BX160" i="7"/>
  <c r="BW160" i="7"/>
  <c r="CA159" i="7"/>
  <c r="BZ159" i="7"/>
  <c r="BY159" i="7"/>
  <c r="BX159" i="7"/>
  <c r="BW159" i="7"/>
  <c r="BT159" i="7"/>
  <c r="BK159" i="7"/>
  <c r="AS159" i="7"/>
  <c r="AJ159" i="7"/>
  <c r="AA159" i="7"/>
  <c r="R159" i="7"/>
  <c r="I159" i="7"/>
  <c r="CA158" i="7"/>
  <c r="BZ158" i="7"/>
  <c r="BY158" i="7"/>
  <c r="BX158" i="7"/>
  <c r="BW158" i="7"/>
  <c r="BT158" i="7"/>
  <c r="BK158" i="7"/>
  <c r="AS158" i="7"/>
  <c r="AJ158" i="7"/>
  <c r="AA158" i="7"/>
  <c r="K158" i="7"/>
  <c r="I158" i="7"/>
  <c r="CA157" i="7"/>
  <c r="BZ157" i="7"/>
  <c r="BY157" i="7"/>
  <c r="BX157" i="7"/>
  <c r="BV157" i="7"/>
  <c r="CA156" i="7"/>
  <c r="BZ156" i="7"/>
  <c r="BY156" i="7"/>
  <c r="BY170" i="7" s="1"/>
  <c r="BX156" i="7"/>
  <c r="BX170" i="7" s="1"/>
  <c r="BW156" i="7"/>
  <c r="BT156" i="7"/>
  <c r="BB156" i="7"/>
  <c r="F156" i="9" s="1"/>
  <c r="AS156" i="7"/>
  <c r="AJ156" i="7"/>
  <c r="AA156" i="7"/>
  <c r="R156" i="7"/>
  <c r="CC155" i="7"/>
  <c r="CB155" i="7"/>
  <c r="CA155" i="7"/>
  <c r="BZ155" i="7"/>
  <c r="BY155" i="7"/>
  <c r="BX155" i="7"/>
  <c r="BW155" i="7"/>
  <c r="BV155" i="7"/>
  <c r="BT155" i="7"/>
  <c r="BS155" i="7"/>
  <c r="BR155" i="7"/>
  <c r="BQ155" i="7"/>
  <c r="BP155" i="7"/>
  <c r="BO155" i="7"/>
  <c r="BN155" i="7"/>
  <c r="BM155" i="7"/>
  <c r="BK155" i="7"/>
  <c r="BJ155" i="7"/>
  <c r="BI155" i="7"/>
  <c r="BH155" i="7"/>
  <c r="BG155" i="7"/>
  <c r="BF155" i="7"/>
  <c r="BE155" i="7"/>
  <c r="BD155" i="7"/>
  <c r="BB155" i="7"/>
  <c r="BA155" i="7"/>
  <c r="AZ155" i="7"/>
  <c r="AY155" i="7"/>
  <c r="AX155" i="7"/>
  <c r="AW155" i="7"/>
  <c r="AV155" i="7"/>
  <c r="AU155" i="7"/>
  <c r="AS155" i="7"/>
  <c r="AR155" i="7"/>
  <c r="AQ155" i="7"/>
  <c r="AP155" i="7"/>
  <c r="AO155" i="7"/>
  <c r="AN155" i="7"/>
  <c r="AM155" i="7"/>
  <c r="AL155" i="7"/>
  <c r="AJ155" i="7"/>
  <c r="AI155" i="7"/>
  <c r="AH155" i="7"/>
  <c r="AG155" i="7"/>
  <c r="AF155" i="7"/>
  <c r="AE155" i="7"/>
  <c r="AD155" i="7"/>
  <c r="AC155" i="7"/>
  <c r="AA155" i="7"/>
  <c r="Z155" i="7"/>
  <c r="Y155" i="7"/>
  <c r="X155" i="7"/>
  <c r="W155" i="7"/>
  <c r="V155" i="7"/>
  <c r="U155" i="7"/>
  <c r="T155" i="7"/>
  <c r="R155" i="7"/>
  <c r="Q155" i="7"/>
  <c r="P155" i="7"/>
  <c r="O155" i="7"/>
  <c r="N155" i="7"/>
  <c r="M155" i="7"/>
  <c r="L155" i="7"/>
  <c r="K155" i="7"/>
  <c r="I155" i="7"/>
  <c r="H155" i="7"/>
  <c r="G155" i="7"/>
  <c r="F155" i="7"/>
  <c r="E155" i="7"/>
  <c r="D155" i="7"/>
  <c r="C155" i="7"/>
  <c r="B155" i="7"/>
  <c r="CB154" i="7"/>
  <c r="BS154" i="7"/>
  <c r="BR154" i="7"/>
  <c r="BQ154" i="7"/>
  <c r="BP154" i="7"/>
  <c r="BO154" i="7"/>
  <c r="BN154" i="7"/>
  <c r="BJ154" i="7"/>
  <c r="BI154" i="7"/>
  <c r="BH154" i="7"/>
  <c r="BG154" i="7"/>
  <c r="BF154" i="7"/>
  <c r="BA154" i="7"/>
  <c r="AZ154" i="7"/>
  <c r="AY154" i="7"/>
  <c r="AX154" i="7"/>
  <c r="AW154" i="7"/>
  <c r="AR154" i="7"/>
  <c r="AQ154" i="7"/>
  <c r="AP154" i="7"/>
  <c r="AN154" i="7"/>
  <c r="AI154" i="7"/>
  <c r="AH154" i="7"/>
  <c r="AG154" i="7"/>
  <c r="AF154" i="7"/>
  <c r="AE154" i="7"/>
  <c r="Z154" i="7"/>
  <c r="Y154" i="7"/>
  <c r="X154" i="7"/>
  <c r="V154" i="7"/>
  <c r="Q154" i="7"/>
  <c r="P154" i="7"/>
  <c r="O154" i="7"/>
  <c r="M154" i="7"/>
  <c r="H154" i="7"/>
  <c r="G154" i="7"/>
  <c r="F154" i="7"/>
  <c r="E154" i="7"/>
  <c r="D154" i="7"/>
  <c r="CA153" i="7"/>
  <c r="BZ153" i="7"/>
  <c r="BY153" i="7"/>
  <c r="BX153" i="7"/>
  <c r="BW153" i="7"/>
  <c r="BB153" i="7"/>
  <c r="CA152" i="7"/>
  <c r="BZ152" i="7"/>
  <c r="BY152" i="7"/>
  <c r="BX152" i="7"/>
  <c r="BW152" i="7"/>
  <c r="BV152" i="7"/>
  <c r="BT152" i="7"/>
  <c r="BK152" i="7"/>
  <c r="BB152" i="7"/>
  <c r="AS152" i="7"/>
  <c r="AJ152" i="7"/>
  <c r="AA152" i="7"/>
  <c r="R152" i="7"/>
  <c r="I152" i="7"/>
  <c r="CA151" i="7"/>
  <c r="BZ151" i="7"/>
  <c r="BY151" i="7"/>
  <c r="BX151" i="7"/>
  <c r="BT151" i="7"/>
  <c r="BN151" i="7"/>
  <c r="BM151" i="7"/>
  <c r="BK151" i="7"/>
  <c r="F151" i="11" s="1"/>
  <c r="BE151" i="7"/>
  <c r="BE154" i="7" s="1"/>
  <c r="BD151" i="7"/>
  <c r="AV151" i="7"/>
  <c r="AM151" i="7"/>
  <c r="AM154" i="7" s="1"/>
  <c r="AL151" i="7"/>
  <c r="AS151" i="7" s="1"/>
  <c r="AD151" i="7"/>
  <c r="AD154" i="7" s="1"/>
  <c r="AC151" i="7"/>
  <c r="AJ151" i="7" s="1"/>
  <c r="U151" i="7"/>
  <c r="T151" i="7"/>
  <c r="L151" i="7"/>
  <c r="L154" i="7" s="1"/>
  <c r="K151" i="7"/>
  <c r="R151" i="7" s="1"/>
  <c r="C151" i="7"/>
  <c r="B151" i="7"/>
  <c r="CA150" i="7"/>
  <c r="BZ150" i="7"/>
  <c r="BY150" i="7"/>
  <c r="BX150" i="7"/>
  <c r="BW150" i="7"/>
  <c r="BB150" i="7"/>
  <c r="CA149" i="7"/>
  <c r="BZ149" i="7"/>
  <c r="BY149" i="7"/>
  <c r="BX149" i="7"/>
  <c r="BW149" i="7"/>
  <c r="CA148" i="7"/>
  <c r="BZ148" i="7"/>
  <c r="BY148" i="7"/>
  <c r="BX148" i="7"/>
  <c r="BX154" i="7" s="1"/>
  <c r="BW148" i="7"/>
  <c r="CA147" i="7"/>
  <c r="BZ147" i="7"/>
  <c r="BY147" i="7"/>
  <c r="BX147" i="7"/>
  <c r="BW147" i="7"/>
  <c r="CA146" i="7"/>
  <c r="BZ146" i="7"/>
  <c r="BY146" i="7"/>
  <c r="BX146" i="7"/>
  <c r="BW146" i="7"/>
  <c r="BK146" i="7"/>
  <c r="BD146" i="7"/>
  <c r="BB146" i="7"/>
  <c r="AL146" i="7"/>
  <c r="AS146" i="7" s="1"/>
  <c r="AC146" i="7"/>
  <c r="AA146" i="7"/>
  <c r="R146" i="7"/>
  <c r="I146" i="7"/>
  <c r="CA145" i="7"/>
  <c r="BZ145" i="7"/>
  <c r="BY145" i="7"/>
  <c r="BX145" i="7"/>
  <c r="BW145" i="7"/>
  <c r="BT145" i="7"/>
  <c r="BK145" i="7"/>
  <c r="BB145" i="7"/>
  <c r="AU145" i="7"/>
  <c r="AS145" i="7"/>
  <c r="AA145" i="7"/>
  <c r="R145" i="7"/>
  <c r="I145" i="7"/>
  <c r="CA144" i="7"/>
  <c r="BZ144" i="7"/>
  <c r="BZ154" i="7" s="1"/>
  <c r="BY144" i="7"/>
  <c r="BY154" i="7" s="1"/>
  <c r="BX144" i="7"/>
  <c r="BW144" i="7"/>
  <c r="CC143" i="7"/>
  <c r="CB143" i="7"/>
  <c r="CA143" i="7"/>
  <c r="BZ143" i="7"/>
  <c r="BY143" i="7"/>
  <c r="BX143" i="7"/>
  <c r="BW143" i="7"/>
  <c r="BV143" i="7"/>
  <c r="BT143" i="7"/>
  <c r="BS143" i="7"/>
  <c r="BR143" i="7"/>
  <c r="BQ143" i="7"/>
  <c r="BP143" i="7"/>
  <c r="BO143" i="7"/>
  <c r="BN143" i="7"/>
  <c r="BM143" i="7"/>
  <c r="BK143" i="7"/>
  <c r="BJ143" i="7"/>
  <c r="BI143" i="7"/>
  <c r="BH143" i="7"/>
  <c r="BG143" i="7"/>
  <c r="BF143" i="7"/>
  <c r="BE143" i="7"/>
  <c r="BD143" i="7"/>
  <c r="BB143" i="7"/>
  <c r="BA143" i="7"/>
  <c r="AZ143" i="7"/>
  <c r="AY143" i="7"/>
  <c r="AX143" i="7"/>
  <c r="AW143" i="7"/>
  <c r="AV143" i="7"/>
  <c r="AU143" i="7"/>
  <c r="AS143" i="7"/>
  <c r="AR143" i="7"/>
  <c r="AQ143" i="7"/>
  <c r="AP143" i="7"/>
  <c r="AO143" i="7"/>
  <c r="AN143" i="7"/>
  <c r="AM143" i="7"/>
  <c r="AL143" i="7"/>
  <c r="AJ143" i="7"/>
  <c r="AI143" i="7"/>
  <c r="AH143" i="7"/>
  <c r="AG143" i="7"/>
  <c r="AF143" i="7"/>
  <c r="AE143" i="7"/>
  <c r="AD143" i="7"/>
  <c r="AC143" i="7"/>
  <c r="AA143" i="7"/>
  <c r="Z143" i="7"/>
  <c r="Y143" i="7"/>
  <c r="X143" i="7"/>
  <c r="W143" i="7"/>
  <c r="V143" i="7"/>
  <c r="U143" i="7"/>
  <c r="T143" i="7"/>
  <c r="R143" i="7"/>
  <c r="Q143" i="7"/>
  <c r="P143" i="7"/>
  <c r="O143" i="7"/>
  <c r="N143" i="7"/>
  <c r="M143" i="7"/>
  <c r="L143" i="7"/>
  <c r="K143" i="7"/>
  <c r="I143" i="7"/>
  <c r="H143" i="7"/>
  <c r="G143" i="7"/>
  <c r="F143" i="7"/>
  <c r="E143" i="7"/>
  <c r="D143" i="7"/>
  <c r="C143" i="7"/>
  <c r="B143" i="7"/>
  <c r="C140" i="7"/>
  <c r="CA139" i="7"/>
  <c r="BZ139" i="7"/>
  <c r="BY139" i="7"/>
  <c r="CC139" i="7" s="1"/>
  <c r="BX139" i="7"/>
  <c r="BW139" i="7"/>
  <c r="BV139" i="7"/>
  <c r="BT139" i="7"/>
  <c r="BK139" i="7"/>
  <c r="BB139" i="7"/>
  <c r="AS139" i="7"/>
  <c r="AJ139" i="7"/>
  <c r="AA139" i="7"/>
  <c r="R139" i="7"/>
  <c r="I139" i="7"/>
  <c r="CC138" i="7"/>
  <c r="CA138" i="7"/>
  <c r="BZ138" i="7"/>
  <c r="BY138" i="7"/>
  <c r="BX138" i="7"/>
  <c r="BW138" i="7"/>
  <c r="BV138" i="7"/>
  <c r="BT138" i="7"/>
  <c r="BK138" i="7"/>
  <c r="BB138" i="7"/>
  <c r="AS138" i="7"/>
  <c r="AJ138" i="7"/>
  <c r="AA138" i="7"/>
  <c r="R138" i="7"/>
  <c r="I138" i="7"/>
  <c r="CA137" i="7"/>
  <c r="BZ137" i="7"/>
  <c r="BY137" i="7"/>
  <c r="BX137" i="7"/>
  <c r="BW137" i="7"/>
  <c r="BT137" i="7"/>
  <c r="BK137" i="7"/>
  <c r="AS137" i="7"/>
  <c r="AJ137" i="7"/>
  <c r="AA137" i="7"/>
  <c r="R137" i="7"/>
  <c r="I137" i="7"/>
  <c r="BP135" i="7"/>
  <c r="AX135" i="7"/>
  <c r="AO135" i="7"/>
  <c r="AF135" i="7"/>
  <c r="W135" i="7"/>
  <c r="O135" i="7"/>
  <c r="N135" i="7"/>
  <c r="E135" i="7"/>
  <c r="CB133" i="7"/>
  <c r="BR133" i="7"/>
  <c r="AW133" i="7"/>
  <c r="W133" i="7"/>
  <c r="F133" i="7"/>
  <c r="BI132" i="7"/>
  <c r="AZ132" i="7"/>
  <c r="CB131" i="7"/>
  <c r="BS131" i="7"/>
  <c r="BR131" i="7"/>
  <c r="BQ131" i="7"/>
  <c r="BM131" i="7"/>
  <c r="BJ131" i="7"/>
  <c r="BI131" i="7"/>
  <c r="BH131" i="7"/>
  <c r="BA131" i="7"/>
  <c r="AZ131" i="7"/>
  <c r="AY131" i="7"/>
  <c r="AX131" i="7"/>
  <c r="AV131" i="7"/>
  <c r="AG131" i="7"/>
  <c r="AE131" i="7"/>
  <c r="AC131" i="7"/>
  <c r="T131" i="7"/>
  <c r="Q131" i="7"/>
  <c r="O131" i="7"/>
  <c r="L131" i="7"/>
  <c r="F131" i="7"/>
  <c r="F132" i="7" s="1"/>
  <c r="E131" i="7"/>
  <c r="D131" i="7"/>
  <c r="C131" i="7"/>
  <c r="BZ130" i="7"/>
  <c r="BP130" i="7"/>
  <c r="BO130" i="7"/>
  <c r="BO131" i="7" s="1"/>
  <c r="BN130" i="7"/>
  <c r="BT130" i="7" s="1"/>
  <c r="BT131" i="7" s="1"/>
  <c r="BM130" i="7"/>
  <c r="BK130" i="7"/>
  <c r="BG130" i="7"/>
  <c r="BG140" i="7" s="1"/>
  <c r="BF130" i="7"/>
  <c r="BF131" i="7" s="1"/>
  <c r="BE130" i="7"/>
  <c r="BD130" i="7"/>
  <c r="AX130" i="7"/>
  <c r="AX140" i="7" s="1"/>
  <c r="AW130" i="7"/>
  <c r="AW131" i="7" s="1"/>
  <c r="AV130" i="7"/>
  <c r="AU130" i="7"/>
  <c r="AR130" i="7"/>
  <c r="AR131" i="7" s="1"/>
  <c r="AQ130" i="7"/>
  <c r="AQ131" i="7" s="1"/>
  <c r="AP130" i="7"/>
  <c r="AP131" i="7" s="1"/>
  <c r="AO130" i="7"/>
  <c r="AN130" i="7"/>
  <c r="AN131" i="7" s="1"/>
  <c r="AM130" i="7"/>
  <c r="AL130" i="7"/>
  <c r="AI130" i="7"/>
  <c r="AI131" i="7" s="1"/>
  <c r="AH130" i="7"/>
  <c r="AH131" i="7" s="1"/>
  <c r="AG130" i="7"/>
  <c r="AF130" i="7"/>
  <c r="AE130" i="7"/>
  <c r="AD130" i="7"/>
  <c r="AC130" i="7"/>
  <c r="AA130" i="7"/>
  <c r="Z130" i="7"/>
  <c r="Z131" i="7" s="1"/>
  <c r="Y130" i="7"/>
  <c r="Y131" i="7" s="1"/>
  <c r="X130" i="7"/>
  <c r="X131" i="7" s="1"/>
  <c r="W130" i="7"/>
  <c r="W140" i="7" s="1"/>
  <c r="V130" i="7"/>
  <c r="V131" i="7" s="1"/>
  <c r="U130" i="7"/>
  <c r="T130" i="7"/>
  <c r="BV130" i="7" s="1"/>
  <c r="Q130" i="7"/>
  <c r="P130" i="7"/>
  <c r="P131" i="7" s="1"/>
  <c r="O130" i="7"/>
  <c r="N130" i="7"/>
  <c r="M130" i="7"/>
  <c r="M131" i="7" s="1"/>
  <c r="L130" i="7"/>
  <c r="K130" i="7"/>
  <c r="H130" i="7"/>
  <c r="H131" i="7" s="1"/>
  <c r="H132" i="7" s="1"/>
  <c r="G130" i="7"/>
  <c r="F130" i="7"/>
  <c r="E130" i="7"/>
  <c r="D130" i="7"/>
  <c r="C130" i="7"/>
  <c r="B130" i="7"/>
  <c r="CA129" i="7"/>
  <c r="BZ129" i="7"/>
  <c r="BY129" i="7"/>
  <c r="BX129" i="7"/>
  <c r="BN129" i="7"/>
  <c r="BT129" i="7" s="1"/>
  <c r="BM129" i="7"/>
  <c r="BE129" i="7"/>
  <c r="BE131" i="7" s="1"/>
  <c r="BD129" i="7"/>
  <c r="BD131" i="7" s="1"/>
  <c r="AV129" i="7"/>
  <c r="AU129" i="7"/>
  <c r="AU131" i="7" s="1"/>
  <c r="AM129" i="7"/>
  <c r="AD129" i="7"/>
  <c r="AJ129" i="7" s="1"/>
  <c r="AA129" i="7"/>
  <c r="R129" i="7"/>
  <c r="L129" i="7"/>
  <c r="K129" i="7"/>
  <c r="C129" i="7"/>
  <c r="B129" i="7"/>
  <c r="CA128" i="7"/>
  <c r="BZ128" i="7"/>
  <c r="BY128" i="7"/>
  <c r="BX128" i="7"/>
  <c r="BW128" i="7"/>
  <c r="BV128" i="7"/>
  <c r="CC128" i="7" s="1"/>
  <c r="F128" i="10" s="1"/>
  <c r="BT128" i="7"/>
  <c r="BK128" i="7"/>
  <c r="BB128" i="7"/>
  <c r="AJ128" i="7"/>
  <c r="AA128" i="7"/>
  <c r="R128" i="7"/>
  <c r="K131" i="7"/>
  <c r="I128" i="7"/>
  <c r="CA127" i="7"/>
  <c r="BZ127" i="7"/>
  <c r="BY127" i="7"/>
  <c r="BX127" i="7"/>
  <c r="BV127" i="7"/>
  <c r="BT127" i="7"/>
  <c r="BK127" i="7"/>
  <c r="BB127" i="7"/>
  <c r="AS127" i="7"/>
  <c r="AJ127" i="7"/>
  <c r="AA127" i="7"/>
  <c r="R127" i="7"/>
  <c r="I127" i="7"/>
  <c r="CA126" i="7"/>
  <c r="BZ126" i="7"/>
  <c r="BY126" i="7"/>
  <c r="BX126" i="7"/>
  <c r="BV126" i="7"/>
  <c r="BT126" i="7"/>
  <c r="BK126" i="7"/>
  <c r="BB126" i="7"/>
  <c r="AS126" i="7"/>
  <c r="AJ126" i="7"/>
  <c r="AA126" i="7"/>
  <c r="R126" i="7"/>
  <c r="I126" i="7"/>
  <c r="CA125" i="7"/>
  <c r="BZ125" i="7"/>
  <c r="BY125" i="7"/>
  <c r="BX125" i="7"/>
  <c r="BV125" i="7"/>
  <c r="BT125" i="7"/>
  <c r="BK125" i="7"/>
  <c r="BB125" i="7"/>
  <c r="AS125" i="7"/>
  <c r="AJ125" i="7"/>
  <c r="R125" i="7"/>
  <c r="I125" i="7"/>
  <c r="CA124" i="7"/>
  <c r="BZ124" i="7"/>
  <c r="BY124" i="7"/>
  <c r="BX124" i="7"/>
  <c r="BV124" i="7"/>
  <c r="BT124" i="7"/>
  <c r="BK124" i="7"/>
  <c r="BB124" i="7"/>
  <c r="AS124" i="7"/>
  <c r="AJ124" i="7"/>
  <c r="AA124" i="7"/>
  <c r="BW124" i="7"/>
  <c r="R124" i="7"/>
  <c r="I124" i="7"/>
  <c r="CA123" i="7"/>
  <c r="BZ123" i="7"/>
  <c r="BY123" i="7"/>
  <c r="BX123" i="7"/>
  <c r="BV123" i="7"/>
  <c r="BT123" i="7"/>
  <c r="BK123" i="7"/>
  <c r="BB123" i="7"/>
  <c r="AS123" i="7"/>
  <c r="AD131" i="7"/>
  <c r="AA123" i="7"/>
  <c r="R123" i="7"/>
  <c r="CB121" i="7"/>
  <c r="CB132" i="7" s="1"/>
  <c r="BS121" i="7"/>
  <c r="BS132" i="7" s="1"/>
  <c r="BR121" i="7"/>
  <c r="BR132" i="7" s="1"/>
  <c r="BQ121" i="7"/>
  <c r="BQ132" i="7" s="1"/>
  <c r="BP121" i="7"/>
  <c r="BG121" i="7"/>
  <c r="BA121" i="7"/>
  <c r="BA132" i="7" s="1"/>
  <c r="AZ121" i="7"/>
  <c r="AR121" i="7"/>
  <c r="AR132" i="7" s="1"/>
  <c r="AQ121" i="7"/>
  <c r="AP121" i="7"/>
  <c r="AP132" i="7" s="1"/>
  <c r="AI121" i="7"/>
  <c r="AH121" i="7"/>
  <c r="AH132" i="7" s="1"/>
  <c r="AF121" i="7"/>
  <c r="AE121" i="7"/>
  <c r="AE132" i="7" s="1"/>
  <c r="Y121" i="7"/>
  <c r="Y132" i="7" s="1"/>
  <c r="V121" i="7"/>
  <c r="V132" i="7" s="1"/>
  <c r="Q121" i="7"/>
  <c r="Q132" i="7" s="1"/>
  <c r="P121" i="7"/>
  <c r="P132" i="7" s="1"/>
  <c r="O121" i="7"/>
  <c r="O132" i="7" s="1"/>
  <c r="M121" i="7"/>
  <c r="H121" i="7"/>
  <c r="G121" i="7"/>
  <c r="F121" i="7"/>
  <c r="CA120" i="7"/>
  <c r="BZ120" i="7"/>
  <c r="BY120" i="7"/>
  <c r="BX120" i="7"/>
  <c r="BW120" i="7"/>
  <c r="BV120" i="7"/>
  <c r="BT120" i="7"/>
  <c r="BK120" i="7"/>
  <c r="BB120" i="7"/>
  <c r="AS120" i="7"/>
  <c r="AJ120" i="7"/>
  <c r="AA120" i="7"/>
  <c r="R120" i="7"/>
  <c r="I120" i="7"/>
  <c r="CA119" i="7"/>
  <c r="BZ119" i="7"/>
  <c r="BY119" i="7"/>
  <c r="BX119" i="7"/>
  <c r="BW119" i="7"/>
  <c r="BM119" i="7"/>
  <c r="BT119" i="7" s="1"/>
  <c r="BK119" i="7"/>
  <c r="F119" i="11" s="1"/>
  <c r="AU119" i="7"/>
  <c r="BB119" i="7" s="1"/>
  <c r="AS119" i="7"/>
  <c r="AJ119" i="7"/>
  <c r="AA119" i="7"/>
  <c r="R119" i="7"/>
  <c r="I119" i="7"/>
  <c r="BZ118" i="7"/>
  <c r="BY118" i="7"/>
  <c r="BQ118" i="7"/>
  <c r="BO118" i="7"/>
  <c r="BO121" i="7" s="1"/>
  <c r="BO132" i="7" s="1"/>
  <c r="BN118" i="7"/>
  <c r="BJ118" i="7"/>
  <c r="BJ121" i="7" s="1"/>
  <c r="BI118" i="7"/>
  <c r="BI121" i="7" s="1"/>
  <c r="BH118" i="7"/>
  <c r="BH121" i="7" s="1"/>
  <c r="BH132" i="7" s="1"/>
  <c r="BG118" i="7"/>
  <c r="BF118" i="7"/>
  <c r="BF121" i="7" s="1"/>
  <c r="BF132" i="7" s="1"/>
  <c r="BE118" i="7"/>
  <c r="AY118" i="7"/>
  <c r="AY121" i="7" s="1"/>
  <c r="AY132" i="7" s="1"/>
  <c r="AX118" i="7"/>
  <c r="AX121" i="7" s="1"/>
  <c r="AW118" i="7"/>
  <c r="AW121" i="7" s="1"/>
  <c r="AW132" i="7" s="1"/>
  <c r="AP118" i="7"/>
  <c r="AO118" i="7"/>
  <c r="AN121" i="7"/>
  <c r="AN132" i="7" s="1"/>
  <c r="AN133" i="7" s="1"/>
  <c r="AG118" i="7"/>
  <c r="AG121" i="7" s="1"/>
  <c r="AG132" i="7" s="1"/>
  <c r="AF118" i="7"/>
  <c r="Z118" i="7"/>
  <c r="Z121" i="7" s="1"/>
  <c r="Y118" i="7"/>
  <c r="CA118" i="7" s="1"/>
  <c r="X118" i="7"/>
  <c r="X121" i="7" s="1"/>
  <c r="X132" i="7" s="1"/>
  <c r="W118" i="7"/>
  <c r="BX118" i="7"/>
  <c r="O118" i="7"/>
  <c r="N118" i="7"/>
  <c r="E118" i="7"/>
  <c r="E121" i="7" s="1"/>
  <c r="D121" i="7"/>
  <c r="D132" i="7" s="1"/>
  <c r="D133" i="7" s="1"/>
  <c r="BV118" i="7"/>
  <c r="CA117" i="7"/>
  <c r="BZ117" i="7"/>
  <c r="BY117" i="7"/>
  <c r="BX117" i="7"/>
  <c r="BW117" i="7"/>
  <c r="BM117" i="7"/>
  <c r="BT117" i="7" s="1"/>
  <c r="BK117" i="7"/>
  <c r="F117" i="11" s="1"/>
  <c r="AU117" i="7"/>
  <c r="BB117" i="7" s="1"/>
  <c r="AS117" i="7"/>
  <c r="AJ117" i="7"/>
  <c r="R117" i="7"/>
  <c r="I117" i="7"/>
  <c r="CA116" i="7"/>
  <c r="BZ116" i="7"/>
  <c r="BY116" i="7"/>
  <c r="BX116" i="7"/>
  <c r="BW116" i="7"/>
  <c r="BT116" i="7"/>
  <c r="BK116" i="7"/>
  <c r="F116" i="11" s="1"/>
  <c r="BB116" i="7"/>
  <c r="AJ116" i="7"/>
  <c r="AA116" i="7"/>
  <c r="R116" i="7"/>
  <c r="I116" i="7"/>
  <c r="CA115" i="7"/>
  <c r="BZ115" i="7"/>
  <c r="BY115" i="7"/>
  <c r="BX115" i="7"/>
  <c r="BV115" i="7"/>
  <c r="BB115" i="7"/>
  <c r="AV121" i="7"/>
  <c r="CA114" i="7"/>
  <c r="BZ114" i="7"/>
  <c r="BY114" i="7"/>
  <c r="BX114" i="7"/>
  <c r="BW114" i="7"/>
  <c r="BT114" i="7"/>
  <c r="AK114" i="7"/>
  <c r="J114" i="7"/>
  <c r="CA113" i="7"/>
  <c r="BZ113" i="7"/>
  <c r="BY113" i="7"/>
  <c r="BX113" i="7"/>
  <c r="BW113" i="7"/>
  <c r="BT113" i="7"/>
  <c r="BK113" i="7"/>
  <c r="F113" i="11" s="1"/>
  <c r="BB113" i="7"/>
  <c r="F113" i="9" s="1"/>
  <c r="AS113" i="7"/>
  <c r="AJ113" i="7"/>
  <c r="AA113" i="7"/>
  <c r="R113" i="7"/>
  <c r="I113" i="7"/>
  <c r="BV113" i="7"/>
  <c r="CA112" i="7"/>
  <c r="BZ112" i="7"/>
  <c r="BY112" i="7"/>
  <c r="BX112" i="7"/>
  <c r="BW112" i="7"/>
  <c r="BT112" i="7"/>
  <c r="BK112" i="7"/>
  <c r="F112" i="11" s="1"/>
  <c r="BB112" i="7"/>
  <c r="F112" i="9" s="1"/>
  <c r="AS112" i="7"/>
  <c r="AJ112" i="7"/>
  <c r="AA112" i="7"/>
  <c r="R112" i="7"/>
  <c r="CA111" i="7"/>
  <c r="BZ111" i="7"/>
  <c r="BY111" i="7"/>
  <c r="BX111" i="7"/>
  <c r="BW111" i="7"/>
  <c r="BT111" i="7"/>
  <c r="BK111" i="7"/>
  <c r="F111" i="11" s="1"/>
  <c r="BB111" i="7"/>
  <c r="F111" i="9" s="1"/>
  <c r="AS111" i="7"/>
  <c r="AJ111" i="7"/>
  <c r="AA111" i="7"/>
  <c r="R111" i="7"/>
  <c r="CA110" i="7"/>
  <c r="BZ110" i="7"/>
  <c r="BY110" i="7"/>
  <c r="BX110" i="7"/>
  <c r="BW110" i="7"/>
  <c r="BT110" i="7"/>
  <c r="BK110" i="7"/>
  <c r="F110" i="11" s="1"/>
  <c r="BB110" i="7"/>
  <c r="AS110" i="7"/>
  <c r="AJ110" i="7"/>
  <c r="R110" i="7"/>
  <c r="I110" i="7"/>
  <c r="CA109" i="7"/>
  <c r="BZ109" i="7"/>
  <c r="BY109" i="7"/>
  <c r="BX109" i="7"/>
  <c r="BW109" i="7"/>
  <c r="BT109" i="7"/>
  <c r="BK109" i="7"/>
  <c r="BB109" i="7"/>
  <c r="F109" i="9" s="1"/>
  <c r="AS109" i="7"/>
  <c r="AJ109" i="7"/>
  <c r="AA109" i="7"/>
  <c r="R109" i="7"/>
  <c r="I109" i="7"/>
  <c r="CA108" i="7"/>
  <c r="BZ108" i="7"/>
  <c r="BY108" i="7"/>
  <c r="BX108" i="7"/>
  <c r="BW108" i="7"/>
  <c r="BT108" i="7"/>
  <c r="BK108" i="7"/>
  <c r="BB108" i="7"/>
  <c r="F108" i="9" s="1"/>
  <c r="AS108" i="7"/>
  <c r="AJ108" i="7"/>
  <c r="AA108" i="7"/>
  <c r="I108" i="7"/>
  <c r="CA107" i="7"/>
  <c r="BZ107" i="7"/>
  <c r="BY107" i="7"/>
  <c r="BX107" i="7"/>
  <c r="BW107" i="7"/>
  <c r="BT107" i="7"/>
  <c r="BK107" i="7"/>
  <c r="F107" i="11" s="1"/>
  <c r="BB107" i="7"/>
  <c r="F107" i="9" s="1"/>
  <c r="AJ107" i="7"/>
  <c r="AA107" i="7"/>
  <c r="R107" i="7"/>
  <c r="CC105" i="7"/>
  <c r="CB105" i="7"/>
  <c r="CA105" i="7"/>
  <c r="BZ105" i="7"/>
  <c r="BY105" i="7"/>
  <c r="BX105" i="7"/>
  <c r="BW105" i="7"/>
  <c r="BV105" i="7"/>
  <c r="BT105" i="7"/>
  <c r="BS105" i="7"/>
  <c r="BR105" i="7"/>
  <c r="BQ105" i="7"/>
  <c r="BP105" i="7"/>
  <c r="BO105" i="7"/>
  <c r="BN105" i="7"/>
  <c r="BM105" i="7"/>
  <c r="BK105" i="7"/>
  <c r="BJ105" i="7"/>
  <c r="BI105" i="7"/>
  <c r="BH105" i="7"/>
  <c r="BG105" i="7"/>
  <c r="BF105" i="7"/>
  <c r="BE105" i="7"/>
  <c r="BD105" i="7"/>
  <c r="BB105" i="7"/>
  <c r="BA105" i="7"/>
  <c r="AZ105" i="7"/>
  <c r="AY105" i="7"/>
  <c r="AX105" i="7"/>
  <c r="AW105" i="7"/>
  <c r="AV105" i="7"/>
  <c r="AU105" i="7"/>
  <c r="AS105" i="7"/>
  <c r="AR105" i="7"/>
  <c r="AQ105" i="7"/>
  <c r="AP105" i="7"/>
  <c r="AO105" i="7"/>
  <c r="AN105" i="7"/>
  <c r="AM105" i="7"/>
  <c r="AL105" i="7"/>
  <c r="AJ105" i="7"/>
  <c r="AI105" i="7"/>
  <c r="AH105" i="7"/>
  <c r="AG105" i="7"/>
  <c r="AF105" i="7"/>
  <c r="AE105" i="7"/>
  <c r="AD105" i="7"/>
  <c r="AC105" i="7"/>
  <c r="AA105" i="7"/>
  <c r="Z105" i="7"/>
  <c r="Y105" i="7"/>
  <c r="X105" i="7"/>
  <c r="W105" i="7"/>
  <c r="V105" i="7"/>
  <c r="U105" i="7"/>
  <c r="T105" i="7"/>
  <c r="R105" i="7"/>
  <c r="Q105" i="7"/>
  <c r="P105" i="7"/>
  <c r="O105" i="7"/>
  <c r="N105" i="7"/>
  <c r="M105" i="7"/>
  <c r="L105" i="7"/>
  <c r="K105" i="7"/>
  <c r="I105" i="7"/>
  <c r="H105" i="7"/>
  <c r="G105" i="7"/>
  <c r="F105" i="7"/>
  <c r="E105" i="7"/>
  <c r="D105" i="7"/>
  <c r="C105" i="7"/>
  <c r="B105" i="7"/>
  <c r="BW103" i="7"/>
  <c r="BR103" i="7"/>
  <c r="BP103" i="7"/>
  <c r="BO103" i="7"/>
  <c r="BN103" i="7"/>
  <c r="BM103" i="7"/>
  <c r="BJ103" i="7"/>
  <c r="BG103" i="7"/>
  <c r="BF103" i="7"/>
  <c r="BE103" i="7"/>
  <c r="BD103" i="7"/>
  <c r="AZ103" i="7"/>
  <c r="AY103" i="7"/>
  <c r="AX103" i="7"/>
  <c r="AW103" i="7"/>
  <c r="AV103" i="7"/>
  <c r="AU103" i="7"/>
  <c r="AO103" i="7"/>
  <c r="AN103" i="7"/>
  <c r="AM103" i="7"/>
  <c r="AL103" i="7"/>
  <c r="AJ103" i="7"/>
  <c r="AI103" i="7"/>
  <c r="AH103" i="7"/>
  <c r="AF103" i="7"/>
  <c r="AE103" i="7"/>
  <c r="AD103" i="7"/>
  <c r="AC103" i="7"/>
  <c r="Y103" i="7"/>
  <c r="X103" i="7"/>
  <c r="W103" i="7"/>
  <c r="V103" i="7"/>
  <c r="U103" i="7"/>
  <c r="T103" i="7"/>
  <c r="N103" i="7"/>
  <c r="N219" i="7" s="1"/>
  <c r="N220" i="7" s="1"/>
  <c r="M103" i="7"/>
  <c r="L103" i="7"/>
  <c r="K103" i="7"/>
  <c r="H103" i="7"/>
  <c r="G103" i="7"/>
  <c r="E103" i="7"/>
  <c r="D103" i="7"/>
  <c r="C103" i="7"/>
  <c r="B103" i="7"/>
  <c r="CA102" i="7"/>
  <c r="BZ102" i="7"/>
  <c r="BY102" i="7"/>
  <c r="BX102" i="7"/>
  <c r="BW102" i="7"/>
  <c r="BV102" i="7"/>
  <c r="BT102" i="7"/>
  <c r="BK102" i="7"/>
  <c r="BB102" i="7"/>
  <c r="AS102" i="7"/>
  <c r="AJ102" i="7"/>
  <c r="AA102" i="7"/>
  <c r="R102" i="7"/>
  <c r="I102" i="7"/>
  <c r="CA101" i="7"/>
  <c r="BZ101" i="7"/>
  <c r="BY101" i="7"/>
  <c r="BX101" i="7"/>
  <c r="BW101" i="7"/>
  <c r="BV101" i="7"/>
  <c r="BT101" i="7"/>
  <c r="BK101" i="7"/>
  <c r="BB101" i="7"/>
  <c r="AS101" i="7"/>
  <c r="AJ101" i="7"/>
  <c r="AA101" i="7"/>
  <c r="R101" i="7"/>
  <c r="I101" i="7"/>
  <c r="CB100" i="7"/>
  <c r="CB103" i="7" s="1"/>
  <c r="CA100" i="7"/>
  <c r="CA103" i="7" s="1"/>
  <c r="BY100" i="7"/>
  <c r="BX100" i="7"/>
  <c r="BW100" i="7"/>
  <c r="BV100" i="7"/>
  <c r="BS100" i="7"/>
  <c r="BS103" i="7" s="1"/>
  <c r="BR100" i="7"/>
  <c r="BQ100" i="7"/>
  <c r="BJ100" i="7"/>
  <c r="BI100" i="7"/>
  <c r="BK100" i="7" s="1"/>
  <c r="BH100" i="7"/>
  <c r="BH103" i="7" s="1"/>
  <c r="BB100" i="7"/>
  <c r="BA100" i="7"/>
  <c r="BA103" i="7" s="1"/>
  <c r="AZ100" i="7"/>
  <c r="AY100" i="7"/>
  <c r="AR100" i="7"/>
  <c r="AR103" i="7" s="1"/>
  <c r="AQ100" i="7"/>
  <c r="AQ103" i="7" s="1"/>
  <c r="AP100" i="7"/>
  <c r="AJ100" i="7"/>
  <c r="AI100" i="7"/>
  <c r="AH100" i="7"/>
  <c r="AG100" i="7"/>
  <c r="AG103" i="7" s="1"/>
  <c r="AA100" i="7"/>
  <c r="Z100" i="7"/>
  <c r="Z103" i="7" s="1"/>
  <c r="Y100" i="7"/>
  <c r="X100" i="7"/>
  <c r="Q100" i="7"/>
  <c r="Q103" i="7" s="1"/>
  <c r="P100" i="7"/>
  <c r="P103" i="7" s="1"/>
  <c r="O100" i="7"/>
  <c r="I100" i="7"/>
  <c r="I103" i="7" s="1"/>
  <c r="H100" i="7"/>
  <c r="G100" i="7"/>
  <c r="F100" i="7"/>
  <c r="F103" i="7" s="1"/>
  <c r="CA99" i="7"/>
  <c r="BZ99" i="7"/>
  <c r="BY99" i="7"/>
  <c r="BX99" i="7"/>
  <c r="BX103" i="7" s="1"/>
  <c r="BW99" i="7"/>
  <c r="BV99" i="7"/>
  <c r="BV103" i="7" s="1"/>
  <c r="BT99" i="7"/>
  <c r="BK99" i="7"/>
  <c r="BB99" i="7"/>
  <c r="AS99" i="7"/>
  <c r="AJ99" i="7"/>
  <c r="AA99" i="7"/>
  <c r="R99" i="7"/>
  <c r="I99" i="7"/>
  <c r="Y97" i="7"/>
  <c r="BO96" i="7"/>
  <c r="BN96" i="7"/>
  <c r="BM96" i="7"/>
  <c r="BI96" i="7"/>
  <c r="BH96" i="7"/>
  <c r="BF96" i="7"/>
  <c r="BE96" i="7"/>
  <c r="BD96" i="7"/>
  <c r="AW96" i="7"/>
  <c r="AV96" i="7"/>
  <c r="AU96" i="7"/>
  <c r="AQ96" i="7"/>
  <c r="AN96" i="7"/>
  <c r="AM96" i="7"/>
  <c r="AL96" i="7"/>
  <c r="AH96" i="7"/>
  <c r="AF96" i="7"/>
  <c r="AE96" i="7"/>
  <c r="AD96" i="7"/>
  <c r="Y96" i="7"/>
  <c r="V96" i="7"/>
  <c r="U96" i="7"/>
  <c r="T96" i="7"/>
  <c r="P96" i="7"/>
  <c r="M96" i="7"/>
  <c r="L96" i="7"/>
  <c r="K96" i="7"/>
  <c r="G96" i="7"/>
  <c r="D96" i="7"/>
  <c r="C96" i="7"/>
  <c r="B96" i="7"/>
  <c r="CA95" i="7"/>
  <c r="BZ95" i="7"/>
  <c r="BY95" i="7"/>
  <c r="BX95" i="7"/>
  <c r="BW95" i="7"/>
  <c r="BV95" i="7"/>
  <c r="BT95" i="7"/>
  <c r="BK95" i="7"/>
  <c r="BB95" i="7"/>
  <c r="AS95" i="7"/>
  <c r="AJ95" i="7"/>
  <c r="AA95" i="7"/>
  <c r="R95" i="7"/>
  <c r="I95" i="7"/>
  <c r="CA94" i="7"/>
  <c r="BZ94" i="7"/>
  <c r="BY94" i="7"/>
  <c r="BX94" i="7"/>
  <c r="BW94" i="7"/>
  <c r="BV94" i="7"/>
  <c r="BT94" i="7"/>
  <c r="BK94" i="7"/>
  <c r="BB94" i="7"/>
  <c r="AS94" i="7"/>
  <c r="AC94" i="7"/>
  <c r="AC145" i="7" s="1"/>
  <c r="AA94" i="7"/>
  <c r="R94" i="7"/>
  <c r="I94" i="7"/>
  <c r="BY93" i="7"/>
  <c r="BX93" i="7"/>
  <c r="BW93" i="7"/>
  <c r="BV93" i="7"/>
  <c r="CA92" i="7"/>
  <c r="BZ92" i="7"/>
  <c r="BY92" i="7"/>
  <c r="BX92" i="7"/>
  <c r="BX96" i="7" s="1"/>
  <c r="BW92" i="7"/>
  <c r="BV92" i="7"/>
  <c r="BT92" i="7"/>
  <c r="BK92" i="7"/>
  <c r="BB92" i="7"/>
  <c r="AS92" i="7"/>
  <c r="AJ92" i="7"/>
  <c r="AA92" i="7"/>
  <c r="R92" i="7"/>
  <c r="I92" i="7"/>
  <c r="CB90" i="7"/>
  <c r="BS90" i="7"/>
  <c r="BR90" i="7"/>
  <c r="BQ90" i="7"/>
  <c r="BN90" i="7"/>
  <c r="BM90" i="7"/>
  <c r="BJ90" i="7"/>
  <c r="BI90" i="7"/>
  <c r="BH90" i="7"/>
  <c r="BD90" i="7"/>
  <c r="BA90" i="7"/>
  <c r="AZ90" i="7"/>
  <c r="AY90" i="7"/>
  <c r="AU90" i="7"/>
  <c r="AR90" i="7"/>
  <c r="AQ90" i="7"/>
  <c r="AP90" i="7"/>
  <c r="AL90" i="7"/>
  <c r="AI90" i="7"/>
  <c r="AH90" i="7"/>
  <c r="AG90" i="7"/>
  <c r="AF90" i="7"/>
  <c r="AC90" i="7"/>
  <c r="Z90" i="7"/>
  <c r="Y90" i="7"/>
  <c r="X90" i="7"/>
  <c r="T90" i="7"/>
  <c r="Q90" i="7"/>
  <c r="P90" i="7"/>
  <c r="O90" i="7"/>
  <c r="K90" i="7"/>
  <c r="H90" i="7"/>
  <c r="G90" i="7"/>
  <c r="F90" i="7"/>
  <c r="B90" i="7"/>
  <c r="CA89" i="7"/>
  <c r="BZ89" i="7"/>
  <c r="BY89" i="7"/>
  <c r="BX89" i="7"/>
  <c r="BW89" i="7"/>
  <c r="BV89" i="7"/>
  <c r="CA88" i="7"/>
  <c r="BZ88" i="7"/>
  <c r="CC88" i="7" s="1"/>
  <c r="BY88" i="7"/>
  <c r="BX88" i="7"/>
  <c r="BW88" i="7"/>
  <c r="BV88" i="7"/>
  <c r="BT88" i="7"/>
  <c r="BK88" i="7"/>
  <c r="BB88" i="7"/>
  <c r="AS88" i="7"/>
  <c r="AJ88" i="7"/>
  <c r="AA88" i="7"/>
  <c r="R88" i="7"/>
  <c r="I88" i="7"/>
  <c r="CA87" i="7"/>
  <c r="BZ87" i="7"/>
  <c r="BY87" i="7"/>
  <c r="BX87" i="7"/>
  <c r="BW87" i="7"/>
  <c r="CC87" i="7" s="1"/>
  <c r="BV87" i="7"/>
  <c r="BT87" i="7"/>
  <c r="BK87" i="7"/>
  <c r="BB87" i="7"/>
  <c r="AS87" i="7"/>
  <c r="AJ87" i="7"/>
  <c r="AA87" i="7"/>
  <c r="R87" i="7"/>
  <c r="I87" i="7"/>
  <c r="CA86" i="7"/>
  <c r="BZ86" i="7"/>
  <c r="BY86" i="7"/>
  <c r="BX86" i="7"/>
  <c r="BW86" i="7"/>
  <c r="BV86" i="7"/>
  <c r="BT86" i="7"/>
  <c r="BK86" i="7"/>
  <c r="BB86" i="7"/>
  <c r="AS86" i="7"/>
  <c r="AJ86" i="7"/>
  <c r="AA86" i="7"/>
  <c r="R86" i="7"/>
  <c r="I86" i="7"/>
  <c r="CA85" i="7"/>
  <c r="BZ85" i="7"/>
  <c r="BY85" i="7"/>
  <c r="BX85" i="7"/>
  <c r="BW85" i="7"/>
  <c r="BV85" i="7"/>
  <c r="BT85" i="7"/>
  <c r="BK85" i="7"/>
  <c r="BB85" i="7"/>
  <c r="AS85" i="7"/>
  <c r="AJ85" i="7"/>
  <c r="AA85" i="7"/>
  <c r="R85" i="7"/>
  <c r="I85" i="7"/>
  <c r="CA84" i="7"/>
  <c r="BZ84" i="7"/>
  <c r="BY84" i="7"/>
  <c r="BW84" i="7"/>
  <c r="BV84" i="7"/>
  <c r="CA83" i="7"/>
  <c r="BZ83" i="7"/>
  <c r="BY83" i="7"/>
  <c r="BW83" i="7"/>
  <c r="BV83" i="7"/>
  <c r="BT83" i="7"/>
  <c r="BB83" i="7"/>
  <c r="AS83" i="7"/>
  <c r="AJ83" i="7"/>
  <c r="AA83" i="7"/>
  <c r="R83" i="7"/>
  <c r="I83" i="7"/>
  <c r="CA82" i="7"/>
  <c r="BZ82" i="7"/>
  <c r="BY82" i="7"/>
  <c r="BX82" i="7"/>
  <c r="BV82" i="7"/>
  <c r="BT82" i="7"/>
  <c r="BE82" i="7"/>
  <c r="BE90" i="7" s="1"/>
  <c r="AV82" i="7"/>
  <c r="AV90" i="7" s="1"/>
  <c r="AM82" i="7"/>
  <c r="AM90" i="7" s="1"/>
  <c r="AD82" i="7"/>
  <c r="AD90" i="7" s="1"/>
  <c r="U82" i="7"/>
  <c r="AA82" i="7" s="1"/>
  <c r="L82" i="7"/>
  <c r="L90" i="7" s="1"/>
  <c r="C82" i="7"/>
  <c r="I82" i="7" s="1"/>
  <c r="CB80" i="7"/>
  <c r="BS80" i="7"/>
  <c r="BR80" i="7"/>
  <c r="BQ80" i="7"/>
  <c r="BO80" i="7"/>
  <c r="BJ80" i="7"/>
  <c r="BI80" i="7"/>
  <c r="BI97" i="7" s="1"/>
  <c r="BH80" i="7"/>
  <c r="BH97" i="7" s="1"/>
  <c r="BF80" i="7"/>
  <c r="BA80" i="7"/>
  <c r="AZ80" i="7"/>
  <c r="AY80" i="7"/>
  <c r="AW80" i="7"/>
  <c r="AR80" i="7"/>
  <c r="AQ80" i="7"/>
  <c r="AP80" i="7"/>
  <c r="AN80" i="7"/>
  <c r="AI80" i="7"/>
  <c r="AH80" i="7"/>
  <c r="AH97" i="7" s="1"/>
  <c r="AG80" i="7"/>
  <c r="AF80" i="7"/>
  <c r="AF97" i="7" s="1"/>
  <c r="AE80" i="7"/>
  <c r="Z80" i="7"/>
  <c r="Y80" i="7"/>
  <c r="X80" i="7"/>
  <c r="V80" i="7"/>
  <c r="Q80" i="7"/>
  <c r="P80" i="7"/>
  <c r="O80" i="7"/>
  <c r="M80" i="7"/>
  <c r="H80" i="7"/>
  <c r="G80" i="7"/>
  <c r="G97" i="7" s="1"/>
  <c r="F80" i="7"/>
  <c r="D80" i="7"/>
  <c r="CA79" i="7"/>
  <c r="CA80" i="7" s="1"/>
  <c r="BZ79" i="7"/>
  <c r="BY79" i="7"/>
  <c r="BX79" i="7"/>
  <c r="BV79" i="7"/>
  <c r="BN79" i="7"/>
  <c r="BN80" i="7" s="1"/>
  <c r="BN97" i="7" s="1"/>
  <c r="BE79" i="7"/>
  <c r="BE80" i="7" s="1"/>
  <c r="AV79" i="7"/>
  <c r="BB79" i="7" s="1"/>
  <c r="F79" i="9" s="1"/>
  <c r="AS79" i="7"/>
  <c r="AM79" i="7"/>
  <c r="AM80" i="7" s="1"/>
  <c r="AD79" i="7"/>
  <c r="AJ79" i="7" s="1"/>
  <c r="U79" i="7"/>
  <c r="AA79" i="7" s="1"/>
  <c r="L79" i="7"/>
  <c r="L80" i="7" s="1"/>
  <c r="C79" i="7"/>
  <c r="I79" i="7" s="1"/>
  <c r="CA78" i="7"/>
  <c r="BZ78" i="7"/>
  <c r="BZ80" i="7" s="1"/>
  <c r="BY78" i="7"/>
  <c r="BX78" i="7"/>
  <c r="BW78" i="7"/>
  <c r="BV78" i="7"/>
  <c r="BT78" i="7"/>
  <c r="BK78" i="7"/>
  <c r="BB78" i="7"/>
  <c r="AS78" i="7"/>
  <c r="AJ78" i="7"/>
  <c r="AA78" i="7"/>
  <c r="R78" i="7"/>
  <c r="I78" i="7"/>
  <c r="CA77" i="7"/>
  <c r="BZ77" i="7"/>
  <c r="BY77" i="7"/>
  <c r="BX77" i="7"/>
  <c r="BX80" i="7" s="1"/>
  <c r="BW77" i="7"/>
  <c r="BM77" i="7"/>
  <c r="BT77" i="7" s="1"/>
  <c r="BD77" i="7"/>
  <c r="BK77" i="7" s="1"/>
  <c r="BB77" i="7"/>
  <c r="AU77" i="7"/>
  <c r="AS77" i="7"/>
  <c r="AL77" i="7"/>
  <c r="AC77" i="7"/>
  <c r="AJ77" i="7" s="1"/>
  <c r="T77" i="7"/>
  <c r="AA77" i="7" s="1"/>
  <c r="K77" i="7"/>
  <c r="R77" i="7" s="1"/>
  <c r="I77" i="7"/>
  <c r="B77" i="7"/>
  <c r="BV77" i="7" s="1"/>
  <c r="CC77" i="7" s="1"/>
  <c r="CA76" i="7"/>
  <c r="BZ76" i="7"/>
  <c r="BY76" i="7"/>
  <c r="BX76" i="7"/>
  <c r="BW76" i="7"/>
  <c r="BT76" i="7"/>
  <c r="BM76" i="7"/>
  <c r="BD76" i="7"/>
  <c r="BK76" i="7" s="1"/>
  <c r="F76" i="11" s="1"/>
  <c r="AU76" i="7"/>
  <c r="BB76" i="7" s="1"/>
  <c r="F76" i="9" s="1"/>
  <c r="T76" i="7"/>
  <c r="AA76" i="7" s="1"/>
  <c r="B76" i="7"/>
  <c r="I76" i="7" s="1"/>
  <c r="CA75" i="7"/>
  <c r="BZ75" i="7"/>
  <c r="BY75" i="7"/>
  <c r="BX75" i="7"/>
  <c r="BW75" i="7"/>
  <c r="BT75" i="7"/>
  <c r="BM75" i="7"/>
  <c r="BD75" i="7"/>
  <c r="BK75" i="7" s="1"/>
  <c r="F75" i="11" s="1"/>
  <c r="AU75" i="7"/>
  <c r="BB75" i="7" s="1"/>
  <c r="F75" i="9" s="1"/>
  <c r="AS75" i="7"/>
  <c r="AL75" i="7"/>
  <c r="AJ75" i="7"/>
  <c r="AC75" i="7"/>
  <c r="T75" i="7"/>
  <c r="AA75" i="7" s="1"/>
  <c r="K75" i="7"/>
  <c r="R75" i="7" s="1"/>
  <c r="B75" i="7"/>
  <c r="CA74" i="7"/>
  <c r="BZ74" i="7"/>
  <c r="BY74" i="7"/>
  <c r="BX74" i="7"/>
  <c r="BW74" i="7"/>
  <c r="CC72" i="7"/>
  <c r="CB72" i="7"/>
  <c r="CA72" i="7"/>
  <c r="BZ72" i="7"/>
  <c r="BY72" i="7"/>
  <c r="BX72" i="7"/>
  <c r="BW72" i="7"/>
  <c r="BV72" i="7"/>
  <c r="BT72" i="7"/>
  <c r="BS72" i="7"/>
  <c r="BR72" i="7"/>
  <c r="BQ72" i="7"/>
  <c r="BP72" i="7"/>
  <c r="BO72" i="7"/>
  <c r="BN72" i="7"/>
  <c r="BM72" i="7"/>
  <c r="BK72" i="7"/>
  <c r="BJ72" i="7"/>
  <c r="BI72" i="7"/>
  <c r="BH72" i="7"/>
  <c r="BG72" i="7"/>
  <c r="BF72" i="7"/>
  <c r="BE72" i="7"/>
  <c r="BD72" i="7"/>
  <c r="BB72" i="7"/>
  <c r="BA72" i="7"/>
  <c r="AZ72" i="7"/>
  <c r="AY72" i="7"/>
  <c r="AX72" i="7"/>
  <c r="AW72" i="7"/>
  <c r="AV72" i="7"/>
  <c r="AU72" i="7"/>
  <c r="AS72" i="7"/>
  <c r="AR72" i="7"/>
  <c r="AQ72" i="7"/>
  <c r="AP72" i="7"/>
  <c r="AO72" i="7"/>
  <c r="AN72" i="7"/>
  <c r="AM72" i="7"/>
  <c r="AL72" i="7"/>
  <c r="AJ72" i="7"/>
  <c r="AI72" i="7"/>
  <c r="AH72" i="7"/>
  <c r="AG72" i="7"/>
  <c r="AF72" i="7"/>
  <c r="AE72" i="7"/>
  <c r="AD72" i="7"/>
  <c r="AC72" i="7"/>
  <c r="AA72" i="7"/>
  <c r="Z72" i="7"/>
  <c r="Y72" i="7"/>
  <c r="X72" i="7"/>
  <c r="W72" i="7"/>
  <c r="V72" i="7"/>
  <c r="U72" i="7"/>
  <c r="T72" i="7"/>
  <c r="R72" i="7"/>
  <c r="Q72" i="7"/>
  <c r="P72" i="7"/>
  <c r="O72" i="7"/>
  <c r="N72" i="7"/>
  <c r="M72" i="7"/>
  <c r="L72" i="7"/>
  <c r="K72" i="7"/>
  <c r="I72" i="7"/>
  <c r="H72" i="7"/>
  <c r="G72" i="7"/>
  <c r="F72" i="7"/>
  <c r="E72" i="7"/>
  <c r="D72" i="7"/>
  <c r="C72" i="7"/>
  <c r="B72" i="7"/>
  <c r="C65" i="7"/>
  <c r="C136" i="7" s="1"/>
  <c r="CB64" i="7"/>
  <c r="BP64" i="7"/>
  <c r="BP65" i="7" s="1"/>
  <c r="BN64" i="7"/>
  <c r="BM64" i="7"/>
  <c r="BM65" i="7" s="1"/>
  <c r="BM136" i="7" s="1"/>
  <c r="BG64" i="7"/>
  <c r="BA64" i="7"/>
  <c r="BA65" i="7" s="1"/>
  <c r="AP64" i="7"/>
  <c r="AP65" i="7" s="1"/>
  <c r="AN64" i="7"/>
  <c r="AF64" i="7"/>
  <c r="AF65" i="7" s="1"/>
  <c r="AE64" i="7"/>
  <c r="Y64" i="7"/>
  <c r="X64" i="7"/>
  <c r="X65" i="7" s="1"/>
  <c r="Q64" i="7"/>
  <c r="N64" i="7"/>
  <c r="N65" i="7" s="1"/>
  <c r="E64" i="7"/>
  <c r="C64" i="7"/>
  <c r="B64" i="7"/>
  <c r="B65" i="7" s="1"/>
  <c r="B136" i="7" s="1"/>
  <c r="CB63" i="7"/>
  <c r="CB65" i="7" s="1"/>
  <c r="BY63" i="7"/>
  <c r="BQ63" i="7"/>
  <c r="BQ65" i="7" s="1"/>
  <c r="BP63" i="7"/>
  <c r="BN63" i="7"/>
  <c r="BN65" i="7" s="1"/>
  <c r="BN136" i="7" s="1"/>
  <c r="BM63" i="7"/>
  <c r="BG63" i="7"/>
  <c r="BG65" i="7" s="1"/>
  <c r="BE63" i="7"/>
  <c r="BA63" i="7"/>
  <c r="AY63" i="7"/>
  <c r="AX63" i="7"/>
  <c r="AR63" i="7"/>
  <c r="AP63" i="7"/>
  <c r="AO63" i="7"/>
  <c r="AN63" i="7"/>
  <c r="AN65" i="7" s="1"/>
  <c r="AN136" i="7" s="1"/>
  <c r="AM63" i="7"/>
  <c r="AM65" i="7" s="1"/>
  <c r="AM136" i="7" s="1"/>
  <c r="AF63" i="7"/>
  <c r="Z63" i="7"/>
  <c r="Z65" i="7" s="1"/>
  <c r="X63" i="7"/>
  <c r="W63" i="7"/>
  <c r="V63" i="7"/>
  <c r="V65" i="7" s="1"/>
  <c r="V136" i="7" s="1"/>
  <c r="N63" i="7"/>
  <c r="L63" i="7"/>
  <c r="L65" i="7" s="1"/>
  <c r="L136" i="7" s="1"/>
  <c r="K63" i="7"/>
  <c r="E63" i="7"/>
  <c r="E65" i="7" s="1"/>
  <c r="D63" i="7"/>
  <c r="D65" i="7" s="1"/>
  <c r="D136" i="7" s="1"/>
  <c r="C63" i="7"/>
  <c r="B63" i="7"/>
  <c r="CB61" i="7"/>
  <c r="BS61" i="7"/>
  <c r="BS64" i="7" s="1"/>
  <c r="BR61" i="7"/>
  <c r="BR64" i="7" s="1"/>
  <c r="BQ61" i="7"/>
  <c r="BQ64" i="7" s="1"/>
  <c r="BP61" i="7"/>
  <c r="BO61" i="7"/>
  <c r="BO64" i="7" s="1"/>
  <c r="BN61" i="7"/>
  <c r="BM61" i="7"/>
  <c r="BJ61" i="7"/>
  <c r="BJ64" i="7" s="1"/>
  <c r="BI61" i="7"/>
  <c r="BI64" i="7" s="1"/>
  <c r="BH61" i="7"/>
  <c r="BH64" i="7" s="1"/>
  <c r="BG61" i="7"/>
  <c r="BF61" i="7"/>
  <c r="BF64" i="7" s="1"/>
  <c r="BE61" i="7"/>
  <c r="BE64" i="7" s="1"/>
  <c r="BD61" i="7"/>
  <c r="BD64" i="7" s="1"/>
  <c r="BA61" i="7"/>
  <c r="AZ61" i="7"/>
  <c r="AZ64" i="7" s="1"/>
  <c r="AY61" i="7"/>
  <c r="AY64" i="7" s="1"/>
  <c r="AX61" i="7"/>
  <c r="AX64" i="7" s="1"/>
  <c r="AW61" i="7"/>
  <c r="AW64" i="7" s="1"/>
  <c r="AV61" i="7"/>
  <c r="AV64" i="7" s="1"/>
  <c r="AU61" i="7"/>
  <c r="AU64" i="7" s="1"/>
  <c r="AR61" i="7"/>
  <c r="AR64" i="7" s="1"/>
  <c r="AQ61" i="7"/>
  <c r="AQ64" i="7" s="1"/>
  <c r="AP61" i="7"/>
  <c r="AO61" i="7"/>
  <c r="AO64" i="7" s="1"/>
  <c r="AO65" i="7" s="1"/>
  <c r="AN61" i="7"/>
  <c r="AM61" i="7"/>
  <c r="AM64" i="7" s="1"/>
  <c r="AL61" i="7"/>
  <c r="AL64" i="7" s="1"/>
  <c r="AI61" i="7"/>
  <c r="AI64" i="7" s="1"/>
  <c r="AH61" i="7"/>
  <c r="AH64" i="7" s="1"/>
  <c r="AG61" i="7"/>
  <c r="AG64" i="7" s="1"/>
  <c r="AF61" i="7"/>
  <c r="AE61" i="7"/>
  <c r="AD61" i="7"/>
  <c r="AD64" i="7" s="1"/>
  <c r="AC61" i="7"/>
  <c r="AC64" i="7" s="1"/>
  <c r="Z61" i="7"/>
  <c r="Z64" i="7" s="1"/>
  <c r="Y61" i="7"/>
  <c r="X61" i="7"/>
  <c r="W61" i="7"/>
  <c r="W64" i="7" s="1"/>
  <c r="V61" i="7"/>
  <c r="V64" i="7" s="1"/>
  <c r="U61" i="7"/>
  <c r="U64" i="7" s="1"/>
  <c r="T61" i="7"/>
  <c r="T64" i="7" s="1"/>
  <c r="Q61" i="7"/>
  <c r="P61" i="7"/>
  <c r="P64" i="7" s="1"/>
  <c r="O61" i="7"/>
  <c r="O64" i="7" s="1"/>
  <c r="N61" i="7"/>
  <c r="M61" i="7"/>
  <c r="M64" i="7" s="1"/>
  <c r="L61" i="7"/>
  <c r="L64" i="7" s="1"/>
  <c r="K61" i="7"/>
  <c r="K64" i="7" s="1"/>
  <c r="H61" i="7"/>
  <c r="H64" i="7" s="1"/>
  <c r="G61" i="7"/>
  <c r="G64" i="7" s="1"/>
  <c r="F61" i="7"/>
  <c r="F64" i="7" s="1"/>
  <c r="E61" i="7"/>
  <c r="D61" i="7"/>
  <c r="D64" i="7" s="1"/>
  <c r="C61" i="7"/>
  <c r="B61" i="7"/>
  <c r="CC60" i="7"/>
  <c r="CA60" i="7"/>
  <c r="BZ60" i="7"/>
  <c r="BY60" i="7"/>
  <c r="BX60" i="7"/>
  <c r="BW60" i="7"/>
  <c r="BV60" i="7"/>
  <c r="BT60" i="7"/>
  <c r="BK60" i="7"/>
  <c r="BB60" i="7"/>
  <c r="AS60" i="7"/>
  <c r="AJ60" i="7"/>
  <c r="AA60" i="7"/>
  <c r="R60" i="7"/>
  <c r="I60" i="7"/>
  <c r="CA59" i="7"/>
  <c r="BZ59" i="7"/>
  <c r="BY59" i="7"/>
  <c r="BX59" i="7"/>
  <c r="BW59" i="7"/>
  <c r="BV59" i="7"/>
  <c r="CC59" i="7" s="1"/>
  <c r="BT59" i="7"/>
  <c r="BK59" i="7"/>
  <c r="BB59" i="7"/>
  <c r="AS59" i="7"/>
  <c r="AJ59" i="7"/>
  <c r="AA59" i="7"/>
  <c r="R59" i="7"/>
  <c r="I59" i="7"/>
  <c r="CA58" i="7"/>
  <c r="BZ58" i="7"/>
  <c r="BY58" i="7"/>
  <c r="BX58" i="7"/>
  <c r="BW58" i="7"/>
  <c r="BV58" i="7"/>
  <c r="CC58" i="7" s="1"/>
  <c r="BT58" i="7"/>
  <c r="BK58" i="7"/>
  <c r="BB58" i="7"/>
  <c r="AS58" i="7"/>
  <c r="AJ58" i="7"/>
  <c r="AA58" i="7"/>
  <c r="R58" i="7"/>
  <c r="I58" i="7"/>
  <c r="CA57" i="7"/>
  <c r="BZ57" i="7"/>
  <c r="BY57" i="7"/>
  <c r="BX57" i="7"/>
  <c r="BW57" i="7"/>
  <c r="BV57" i="7"/>
  <c r="CC57" i="7" s="1"/>
  <c r="BT57" i="7"/>
  <c r="BK57" i="7"/>
  <c r="BB57" i="7"/>
  <c r="AS57" i="7"/>
  <c r="AJ57" i="7"/>
  <c r="AA57" i="7"/>
  <c r="R57" i="7"/>
  <c r="I57" i="7"/>
  <c r="CA56" i="7"/>
  <c r="CC56" i="7" s="1"/>
  <c r="BZ56" i="7"/>
  <c r="BY56" i="7"/>
  <c r="BX56" i="7"/>
  <c r="BW56" i="7"/>
  <c r="BV56" i="7"/>
  <c r="BT56" i="7"/>
  <c r="BK56" i="7"/>
  <c r="BB56" i="7"/>
  <c r="AS56" i="7"/>
  <c r="AJ56" i="7"/>
  <c r="AA56" i="7"/>
  <c r="R56" i="7"/>
  <c r="I56" i="7"/>
  <c r="CA55" i="7"/>
  <c r="BZ55" i="7"/>
  <c r="CC55" i="7" s="1"/>
  <c r="BY55" i="7"/>
  <c r="BX55" i="7"/>
  <c r="BW55" i="7"/>
  <c r="BV55" i="7"/>
  <c r="BT55" i="7"/>
  <c r="BK55" i="7"/>
  <c r="BB55" i="7"/>
  <c r="AS55" i="7"/>
  <c r="AJ55" i="7"/>
  <c r="AA55" i="7"/>
  <c r="R55" i="7"/>
  <c r="I55" i="7"/>
  <c r="CA54" i="7"/>
  <c r="BZ54" i="7"/>
  <c r="BY54" i="7"/>
  <c r="BX54" i="7"/>
  <c r="BW54" i="7"/>
  <c r="BV54" i="7"/>
  <c r="BT54" i="7"/>
  <c r="BT61" i="7" s="1"/>
  <c r="BT64" i="7" s="1"/>
  <c r="BK54" i="7"/>
  <c r="BB54" i="7"/>
  <c r="AS54" i="7"/>
  <c r="AJ54" i="7"/>
  <c r="AA54" i="7"/>
  <c r="R54" i="7"/>
  <c r="I54" i="7"/>
  <c r="CA53" i="7"/>
  <c r="BZ53" i="7"/>
  <c r="BY53" i="7"/>
  <c r="BX53" i="7"/>
  <c r="BW53" i="7"/>
  <c r="BV53" i="7"/>
  <c r="CC53" i="7" s="1"/>
  <c r="BT53" i="7"/>
  <c r="BK53" i="7"/>
  <c r="BB53" i="7"/>
  <c r="AS53" i="7"/>
  <c r="AJ53" i="7"/>
  <c r="AA53" i="7"/>
  <c r="R53" i="7"/>
  <c r="I53" i="7"/>
  <c r="CA52" i="7"/>
  <c r="BZ52" i="7"/>
  <c r="BY52" i="7"/>
  <c r="BX52" i="7"/>
  <c r="BW52" i="7"/>
  <c r="CC52" i="7" s="1"/>
  <c r="BV52" i="7"/>
  <c r="BT52" i="7"/>
  <c r="BK52" i="7"/>
  <c r="BB52" i="7"/>
  <c r="AS52" i="7"/>
  <c r="AJ52" i="7"/>
  <c r="AA52" i="7"/>
  <c r="R52" i="7"/>
  <c r="I52" i="7"/>
  <c r="CC51" i="7"/>
  <c r="CA51" i="7"/>
  <c r="BZ51" i="7"/>
  <c r="BY51" i="7"/>
  <c r="BX51" i="7"/>
  <c r="BW51" i="7"/>
  <c r="BV51" i="7"/>
  <c r="BT51" i="7"/>
  <c r="BK51" i="7"/>
  <c r="BB51" i="7"/>
  <c r="AS51" i="7"/>
  <c r="AJ51" i="7"/>
  <c r="AA51" i="7"/>
  <c r="R51" i="7"/>
  <c r="I51" i="7"/>
  <c r="CA50" i="7"/>
  <c r="BZ50" i="7"/>
  <c r="BY50" i="7"/>
  <c r="BX50" i="7"/>
  <c r="BW50" i="7"/>
  <c r="BV50" i="7"/>
  <c r="BT50" i="7"/>
  <c r="BK50" i="7"/>
  <c r="F50" i="11" s="1"/>
  <c r="BB50" i="7"/>
  <c r="AS50" i="7"/>
  <c r="AJ50" i="7"/>
  <c r="AA50" i="7"/>
  <c r="R50" i="7"/>
  <c r="I50" i="7"/>
  <c r="CA49" i="7"/>
  <c r="BZ49" i="7"/>
  <c r="BY49" i="7"/>
  <c r="BX49" i="7"/>
  <c r="BW49" i="7"/>
  <c r="BV49" i="7"/>
  <c r="CC49" i="7" s="1"/>
  <c r="BT49" i="7"/>
  <c r="BK49" i="7"/>
  <c r="BB49" i="7"/>
  <c r="AS49" i="7"/>
  <c r="AJ49" i="7"/>
  <c r="AA49" i="7"/>
  <c r="R49" i="7"/>
  <c r="I49" i="7"/>
  <c r="CA48" i="7"/>
  <c r="BZ48" i="7"/>
  <c r="BY48" i="7"/>
  <c r="BX48" i="7"/>
  <c r="BW48" i="7"/>
  <c r="CC48" i="7" s="1"/>
  <c r="BV48" i="7"/>
  <c r="BT48" i="7"/>
  <c r="BK48" i="7"/>
  <c r="BB48" i="7"/>
  <c r="AS48" i="7"/>
  <c r="AJ48" i="7"/>
  <c r="AA48" i="7"/>
  <c r="R48" i="7"/>
  <c r="I48" i="7"/>
  <c r="CC47" i="7"/>
  <c r="CA47" i="7"/>
  <c r="BZ47" i="7"/>
  <c r="BY47" i="7"/>
  <c r="BX47" i="7"/>
  <c r="BW47" i="7"/>
  <c r="BV47" i="7"/>
  <c r="BT47" i="7"/>
  <c r="BK47" i="7"/>
  <c r="BB47" i="7"/>
  <c r="AS47" i="7"/>
  <c r="AJ47" i="7"/>
  <c r="AA47" i="7"/>
  <c r="R47" i="7"/>
  <c r="I47" i="7"/>
  <c r="CA46" i="7"/>
  <c r="BZ46" i="7"/>
  <c r="BY46" i="7"/>
  <c r="BX46" i="7"/>
  <c r="BW46" i="7"/>
  <c r="BV46" i="7"/>
  <c r="BT46" i="7"/>
  <c r="BK46" i="7"/>
  <c r="BB46" i="7"/>
  <c r="AS46" i="7"/>
  <c r="AJ46" i="7"/>
  <c r="AA46" i="7"/>
  <c r="R46" i="7"/>
  <c r="I46" i="7"/>
  <c r="CA45" i="7"/>
  <c r="BZ45" i="7"/>
  <c r="BY45" i="7"/>
  <c r="BX45" i="7"/>
  <c r="BW45" i="7"/>
  <c r="BV45" i="7"/>
  <c r="CC45" i="7" s="1"/>
  <c r="BT45" i="7"/>
  <c r="BK45" i="7"/>
  <c r="BB45" i="7"/>
  <c r="AS45" i="7"/>
  <c r="AJ45" i="7"/>
  <c r="AA45" i="7"/>
  <c r="R45" i="7"/>
  <c r="I45" i="7"/>
  <c r="CA44" i="7"/>
  <c r="BZ44" i="7"/>
  <c r="BY44" i="7"/>
  <c r="BX44" i="7"/>
  <c r="BW44" i="7"/>
  <c r="CC44" i="7" s="1"/>
  <c r="BV44" i="7"/>
  <c r="BT44" i="7"/>
  <c r="BK44" i="7"/>
  <c r="BB44" i="7"/>
  <c r="AS44" i="7"/>
  <c r="AJ44" i="7"/>
  <c r="AA44" i="7"/>
  <c r="R44" i="7"/>
  <c r="I44" i="7"/>
  <c r="CC43" i="7"/>
  <c r="CA43" i="7"/>
  <c r="BZ43" i="7"/>
  <c r="BY43" i="7"/>
  <c r="BX43" i="7"/>
  <c r="BW43" i="7"/>
  <c r="BV43" i="7"/>
  <c r="BT43" i="7"/>
  <c r="BK43" i="7"/>
  <c r="BB43" i="7"/>
  <c r="AS43" i="7"/>
  <c r="AJ43" i="7"/>
  <c r="AA43" i="7"/>
  <c r="R43" i="7"/>
  <c r="I43" i="7"/>
  <c r="CA42" i="7"/>
  <c r="BZ42" i="7"/>
  <c r="BY42" i="7"/>
  <c r="BX42" i="7"/>
  <c r="BW42" i="7"/>
  <c r="BV42" i="7"/>
  <c r="BT42" i="7"/>
  <c r="BK42" i="7"/>
  <c r="BB42" i="7"/>
  <c r="AS42" i="7"/>
  <c r="AJ42" i="7"/>
  <c r="AA42" i="7"/>
  <c r="R42" i="7"/>
  <c r="I42" i="7"/>
  <c r="CC41" i="7"/>
  <c r="CA41" i="7"/>
  <c r="BZ41" i="7"/>
  <c r="BY41" i="7"/>
  <c r="BX41" i="7"/>
  <c r="BX61" i="7" s="1"/>
  <c r="BX64" i="7" s="1"/>
  <c r="BW41" i="7"/>
  <c r="BV41" i="7"/>
  <c r="BT41" i="7"/>
  <c r="BK41" i="7"/>
  <c r="BB41" i="7"/>
  <c r="AS41" i="7"/>
  <c r="AJ41" i="7"/>
  <c r="AA41" i="7"/>
  <c r="R41" i="7"/>
  <c r="I41" i="7"/>
  <c r="CA40" i="7"/>
  <c r="CA61" i="7" s="1"/>
  <c r="CA64" i="7" s="1"/>
  <c r="BZ40" i="7"/>
  <c r="BY40" i="7"/>
  <c r="BX40" i="7"/>
  <c r="BW40" i="7"/>
  <c r="CC40" i="7" s="1"/>
  <c r="BV40" i="7"/>
  <c r="BT40" i="7"/>
  <c r="BK40" i="7"/>
  <c r="BB40" i="7"/>
  <c r="BB61" i="7" s="1"/>
  <c r="BB64" i="7" s="1"/>
  <c r="AS40" i="7"/>
  <c r="AJ40" i="7"/>
  <c r="AA40" i="7"/>
  <c r="AA61" i="7" s="1"/>
  <c r="AA64" i="7" s="1"/>
  <c r="R40" i="7"/>
  <c r="R61" i="7" s="1"/>
  <c r="R64" i="7" s="1"/>
  <c r="I40" i="7"/>
  <c r="CA39" i="7"/>
  <c r="BZ39" i="7"/>
  <c r="BZ61" i="7" s="1"/>
  <c r="BZ64" i="7" s="1"/>
  <c r="BY39" i="7"/>
  <c r="BX39" i="7"/>
  <c r="BW39" i="7"/>
  <c r="BV39" i="7"/>
  <c r="CC39" i="7" s="1"/>
  <c r="BT39" i="7"/>
  <c r="BK39" i="7"/>
  <c r="BB39" i="7"/>
  <c r="AS39" i="7"/>
  <c r="AS61" i="7" s="1"/>
  <c r="AS64" i="7" s="1"/>
  <c r="AJ39" i="7"/>
  <c r="AA39" i="7"/>
  <c r="R39" i="7"/>
  <c r="I39" i="7"/>
  <c r="I61" i="7" s="1"/>
  <c r="I64" i="7" s="1"/>
  <c r="CC38" i="7"/>
  <c r="CB38" i="7"/>
  <c r="CA38" i="7"/>
  <c r="BZ38" i="7"/>
  <c r="BY38" i="7"/>
  <c r="BX38" i="7"/>
  <c r="BW38" i="7"/>
  <c r="BV38" i="7"/>
  <c r="BT38" i="7"/>
  <c r="BS38" i="7"/>
  <c r="BR38" i="7"/>
  <c r="BQ38" i="7"/>
  <c r="BP38" i="7"/>
  <c r="BO38" i="7"/>
  <c r="BN38" i="7"/>
  <c r="BM38" i="7"/>
  <c r="BK38" i="7"/>
  <c r="BJ38" i="7"/>
  <c r="BI38" i="7"/>
  <c r="BH38" i="7"/>
  <c r="BG38" i="7"/>
  <c r="BF38" i="7"/>
  <c r="BE38" i="7"/>
  <c r="BD38" i="7"/>
  <c r="BB38" i="7"/>
  <c r="BA38" i="7"/>
  <c r="AZ38" i="7"/>
  <c r="AY38" i="7"/>
  <c r="AX38" i="7"/>
  <c r="AW38" i="7"/>
  <c r="AV38" i="7"/>
  <c r="AU38" i="7"/>
  <c r="AS38" i="7"/>
  <c r="AR38" i="7"/>
  <c r="AQ38" i="7"/>
  <c r="AP38" i="7"/>
  <c r="AO38" i="7"/>
  <c r="AN38" i="7"/>
  <c r="AM38" i="7"/>
  <c r="AL38" i="7"/>
  <c r="AJ38" i="7"/>
  <c r="AI38" i="7"/>
  <c r="AH38" i="7"/>
  <c r="AG38" i="7"/>
  <c r="AF38" i="7"/>
  <c r="AE38" i="7"/>
  <c r="AD38" i="7"/>
  <c r="AC38" i="7"/>
  <c r="AA38" i="7"/>
  <c r="Z38" i="7"/>
  <c r="Y38" i="7"/>
  <c r="X38" i="7"/>
  <c r="W38" i="7"/>
  <c r="V38" i="7"/>
  <c r="U38" i="7"/>
  <c r="T38" i="7"/>
  <c r="R38" i="7"/>
  <c r="Q38" i="7"/>
  <c r="P38" i="7"/>
  <c r="O38" i="7"/>
  <c r="N38" i="7"/>
  <c r="M38" i="7"/>
  <c r="L38" i="7"/>
  <c r="K38" i="7"/>
  <c r="I38" i="7"/>
  <c r="H38" i="7"/>
  <c r="G38" i="7"/>
  <c r="F38" i="7"/>
  <c r="E38" i="7"/>
  <c r="D38" i="7"/>
  <c r="C38" i="7"/>
  <c r="B38" i="7"/>
  <c r="CB36" i="7"/>
  <c r="BS36" i="7"/>
  <c r="BR36" i="7"/>
  <c r="BR135" i="7" s="1"/>
  <c r="BQ36" i="7"/>
  <c r="BO36" i="7"/>
  <c r="BN36" i="7"/>
  <c r="BN115" i="7" s="1"/>
  <c r="BM36" i="7"/>
  <c r="BM135" i="7" s="1"/>
  <c r="BJ36" i="7"/>
  <c r="BI36" i="7"/>
  <c r="BH36" i="7"/>
  <c r="BF36" i="7"/>
  <c r="BF135" i="7" s="1"/>
  <c r="BE36" i="7"/>
  <c r="BD36" i="7"/>
  <c r="BD135" i="7" s="1"/>
  <c r="BA36" i="7"/>
  <c r="AZ36" i="7"/>
  <c r="AZ140" i="7" s="1"/>
  <c r="AY36" i="7"/>
  <c r="AW36" i="7"/>
  <c r="AV36" i="7"/>
  <c r="AU36" i="7"/>
  <c r="AR36" i="7"/>
  <c r="AQ36" i="7"/>
  <c r="AQ63" i="7" s="1"/>
  <c r="AQ65" i="7" s="1"/>
  <c r="AP36" i="7"/>
  <c r="AN36" i="7"/>
  <c r="AM36" i="7"/>
  <c r="AL36" i="7"/>
  <c r="AS114" i="7" s="1"/>
  <c r="AI36" i="7"/>
  <c r="AH36" i="7"/>
  <c r="AG36" i="7"/>
  <c r="AE36" i="7"/>
  <c r="AE63" i="7" s="1"/>
  <c r="AE65" i="7" s="1"/>
  <c r="AE136" i="7" s="1"/>
  <c r="AD36" i="7"/>
  <c r="AD63" i="7" s="1"/>
  <c r="AC36" i="7"/>
  <c r="AC63" i="7" s="1"/>
  <c r="Z36" i="7"/>
  <c r="Y36" i="7"/>
  <c r="Y63" i="7" s="1"/>
  <c r="Y65" i="7" s="1"/>
  <c r="X36" i="7"/>
  <c r="V36" i="7"/>
  <c r="U36" i="7"/>
  <c r="T36" i="7"/>
  <c r="T63" i="7" s="1"/>
  <c r="T65" i="7" s="1"/>
  <c r="T136" i="7" s="1"/>
  <c r="Q36" i="7"/>
  <c r="P36" i="7"/>
  <c r="O36" i="7"/>
  <c r="O140" i="7" s="1"/>
  <c r="M36" i="7"/>
  <c r="M140" i="7" s="1"/>
  <c r="L36" i="7"/>
  <c r="K36" i="7"/>
  <c r="R114" i="7" s="1"/>
  <c r="H36" i="7"/>
  <c r="H63" i="7" s="1"/>
  <c r="H65" i="7" s="1"/>
  <c r="G36" i="7"/>
  <c r="G63" i="7" s="1"/>
  <c r="G65" i="7" s="1"/>
  <c r="F36" i="7"/>
  <c r="D36" i="7"/>
  <c r="C36" i="7"/>
  <c r="B36" i="7"/>
  <c r="CA35" i="7"/>
  <c r="BZ35" i="7"/>
  <c r="BY35" i="7"/>
  <c r="CC35" i="7" s="1"/>
  <c r="BX35" i="7"/>
  <c r="BW35" i="7"/>
  <c r="BV35" i="7"/>
  <c r="BT35" i="7"/>
  <c r="BK35" i="7"/>
  <c r="BB35" i="7"/>
  <c r="AS35" i="7"/>
  <c r="AJ35" i="7"/>
  <c r="AA35" i="7"/>
  <c r="R35" i="7"/>
  <c r="I35" i="7"/>
  <c r="CA34" i="7"/>
  <c r="BZ34" i="7"/>
  <c r="BY34" i="7"/>
  <c r="BX34" i="7"/>
  <c r="BW34" i="7"/>
  <c r="BV34" i="7"/>
  <c r="CC34" i="7" s="1"/>
  <c r="F34" i="10" s="1"/>
  <c r="BT34" i="7"/>
  <c r="BK34" i="7"/>
  <c r="F34" i="11" s="1"/>
  <c r="BB34" i="7"/>
  <c r="AS34" i="7"/>
  <c r="AJ34" i="7"/>
  <c r="AA34" i="7"/>
  <c r="R34" i="7"/>
  <c r="I34" i="7"/>
  <c r="CA33" i="7"/>
  <c r="BZ33" i="7"/>
  <c r="BY33" i="7"/>
  <c r="BX33" i="7"/>
  <c r="BW33" i="7"/>
  <c r="BV33" i="7"/>
  <c r="CC33" i="7" s="1"/>
  <c r="BT33" i="7"/>
  <c r="BK33" i="7"/>
  <c r="BB33" i="7"/>
  <c r="AS33" i="7"/>
  <c r="AJ33" i="7"/>
  <c r="AA33" i="7"/>
  <c r="R33" i="7"/>
  <c r="I33" i="7"/>
  <c r="CA32" i="7"/>
  <c r="BZ32" i="7"/>
  <c r="BY32" i="7"/>
  <c r="BX32" i="7"/>
  <c r="BW32" i="7"/>
  <c r="BV32" i="7"/>
  <c r="BT32" i="7"/>
  <c r="BK32" i="7"/>
  <c r="BB32" i="7"/>
  <c r="AS32" i="7"/>
  <c r="AJ32" i="7"/>
  <c r="AA32" i="7"/>
  <c r="R32" i="7"/>
  <c r="I32" i="7"/>
  <c r="CA31" i="7"/>
  <c r="BZ31" i="7"/>
  <c r="BY31" i="7"/>
  <c r="BX31" i="7"/>
  <c r="BW31" i="7"/>
  <c r="BV31" i="7"/>
  <c r="CC31" i="7" s="1"/>
  <c r="BT31" i="7"/>
  <c r="BK31" i="7"/>
  <c r="BB31" i="7"/>
  <c r="AS31" i="7"/>
  <c r="AJ31" i="7"/>
  <c r="AJ36" i="7" s="1"/>
  <c r="AJ63" i="7" s="1"/>
  <c r="AA31" i="7"/>
  <c r="R31" i="7"/>
  <c r="I31" i="7"/>
  <c r="CC30" i="7"/>
  <c r="CA30" i="7"/>
  <c r="CA36" i="7" s="1"/>
  <c r="CA63" i="7" s="1"/>
  <c r="BZ30" i="7"/>
  <c r="BY30" i="7"/>
  <c r="BX30" i="7"/>
  <c r="BW30" i="7"/>
  <c r="BV30" i="7"/>
  <c r="BT30" i="7"/>
  <c r="BK30" i="7"/>
  <c r="BB30" i="7"/>
  <c r="AS30" i="7"/>
  <c r="AJ30" i="7"/>
  <c r="AA30" i="7"/>
  <c r="R30" i="7"/>
  <c r="I30" i="7"/>
  <c r="CA29" i="7"/>
  <c r="BZ29" i="7"/>
  <c r="BY29" i="7"/>
  <c r="BX29" i="7"/>
  <c r="BW29" i="7"/>
  <c r="CC29" i="7" s="1"/>
  <c r="BV29" i="7"/>
  <c r="BT29" i="7"/>
  <c r="BK29" i="7"/>
  <c r="BB29" i="7"/>
  <c r="BB36" i="7" s="1"/>
  <c r="BB63" i="7" s="1"/>
  <c r="BB65" i="7" s="1"/>
  <c r="AS29" i="7"/>
  <c r="AJ29" i="7"/>
  <c r="AA29" i="7"/>
  <c r="R29" i="7"/>
  <c r="I29" i="7"/>
  <c r="CA28" i="7"/>
  <c r="BZ28" i="7"/>
  <c r="BY28" i="7"/>
  <c r="BX28" i="7"/>
  <c r="BW28" i="7"/>
  <c r="BV28" i="7"/>
  <c r="BU28" i="7"/>
  <c r="BT28" i="7"/>
  <c r="BL28" i="7"/>
  <c r="BK28" i="7"/>
  <c r="BC28" i="7"/>
  <c r="BB28" i="7"/>
  <c r="AT28" i="7"/>
  <c r="AS28" i="7"/>
  <c r="AK28" i="7"/>
  <c r="AJ28" i="7"/>
  <c r="AB28" i="7"/>
  <c r="AA28" i="7"/>
  <c r="S28" i="7"/>
  <c r="R28" i="7"/>
  <c r="J28" i="7"/>
  <c r="I28" i="7"/>
  <c r="CA27" i="7"/>
  <c r="BZ27" i="7"/>
  <c r="BZ36" i="7" s="1"/>
  <c r="BZ63" i="7" s="1"/>
  <c r="BY27" i="7"/>
  <c r="BX27" i="7"/>
  <c r="BX36" i="7" s="1"/>
  <c r="BX63" i="7" s="1"/>
  <c r="BW27" i="7"/>
  <c r="BW36" i="7" s="1"/>
  <c r="BW63" i="7" s="1"/>
  <c r="BV27" i="7"/>
  <c r="BU27" i="7"/>
  <c r="BT27" i="7"/>
  <c r="BT36" i="7" s="1"/>
  <c r="BT63" i="7" s="1"/>
  <c r="BT65" i="7" s="1"/>
  <c r="BK27" i="7"/>
  <c r="BK36" i="7" s="1"/>
  <c r="BK63" i="7" s="1"/>
  <c r="BB27" i="7"/>
  <c r="BC27" i="7" s="1"/>
  <c r="AS27" i="7"/>
  <c r="AT27" i="7" s="1"/>
  <c r="AJ27" i="7"/>
  <c r="AK27" i="7" s="1"/>
  <c r="AA27" i="7"/>
  <c r="AA36" i="7" s="1"/>
  <c r="AA63" i="7" s="1"/>
  <c r="AA65" i="7" s="1"/>
  <c r="S27" i="7"/>
  <c r="R27" i="7"/>
  <c r="I27" i="7"/>
  <c r="J27" i="7" s="1"/>
  <c r="CC26" i="7"/>
  <c r="CB26" i="7"/>
  <c r="CA26" i="7"/>
  <c r="BZ26" i="7"/>
  <c r="BY26" i="7"/>
  <c r="BX26" i="7"/>
  <c r="BW26" i="7"/>
  <c r="BV26" i="7"/>
  <c r="BT26" i="7"/>
  <c r="BS26" i="7"/>
  <c r="BR26" i="7"/>
  <c r="BQ26" i="7"/>
  <c r="BP26" i="7"/>
  <c r="BO26" i="7"/>
  <c r="BN26" i="7"/>
  <c r="BM26" i="7"/>
  <c r="BK26" i="7"/>
  <c r="BJ26" i="7"/>
  <c r="BI26" i="7"/>
  <c r="BH26" i="7"/>
  <c r="BG26" i="7"/>
  <c r="BF26" i="7"/>
  <c r="BE26" i="7"/>
  <c r="BD26" i="7"/>
  <c r="BB26" i="7"/>
  <c r="BA26" i="7"/>
  <c r="AZ26" i="7"/>
  <c r="AY26" i="7"/>
  <c r="AX26" i="7"/>
  <c r="AW26" i="7"/>
  <c r="AV26" i="7"/>
  <c r="AU26" i="7"/>
  <c r="AS26" i="7"/>
  <c r="AR26" i="7"/>
  <c r="AQ26" i="7"/>
  <c r="AP26" i="7"/>
  <c r="AO26" i="7"/>
  <c r="AN26" i="7"/>
  <c r="AM26" i="7"/>
  <c r="AL26" i="7"/>
  <c r="AJ26" i="7"/>
  <c r="AI26" i="7"/>
  <c r="AH26" i="7"/>
  <c r="AG26" i="7"/>
  <c r="AF26" i="7"/>
  <c r="AE26" i="7"/>
  <c r="AD26" i="7"/>
  <c r="AC26" i="7"/>
  <c r="AA26" i="7"/>
  <c r="Z26" i="7"/>
  <c r="Y26" i="7"/>
  <c r="X26" i="7"/>
  <c r="W26" i="7"/>
  <c r="V26" i="7"/>
  <c r="U26" i="7"/>
  <c r="T26" i="7"/>
  <c r="R26" i="7"/>
  <c r="Q26" i="7"/>
  <c r="P26" i="7"/>
  <c r="O26" i="7"/>
  <c r="N26" i="7"/>
  <c r="M26" i="7"/>
  <c r="L26" i="7"/>
  <c r="K26" i="7"/>
  <c r="I26" i="7"/>
  <c r="H26" i="7"/>
  <c r="G26" i="7"/>
  <c r="F26" i="7"/>
  <c r="E26" i="7"/>
  <c r="D26" i="7"/>
  <c r="C26" i="7"/>
  <c r="B26" i="7"/>
  <c r="CA24" i="7"/>
  <c r="BZ24" i="7"/>
  <c r="BY24" i="7"/>
  <c r="BX24" i="7"/>
  <c r="BW24" i="7"/>
  <c r="BV24" i="7"/>
  <c r="BT24" i="7"/>
  <c r="BK24" i="7"/>
  <c r="BB24" i="7"/>
  <c r="AS24" i="7"/>
  <c r="AJ24" i="7"/>
  <c r="AA24" i="7"/>
  <c r="R24" i="7"/>
  <c r="I24" i="7"/>
  <c r="CA23" i="7"/>
  <c r="BZ23" i="7"/>
  <c r="BY23" i="7"/>
  <c r="BX23" i="7"/>
  <c r="BW23" i="7"/>
  <c r="BV23" i="7"/>
  <c r="CC23" i="7" s="1"/>
  <c r="F23" i="10" s="1"/>
  <c r="BT23" i="7"/>
  <c r="BK23" i="7"/>
  <c r="BB23" i="7"/>
  <c r="AS23" i="7"/>
  <c r="AJ23" i="7"/>
  <c r="AA23" i="7"/>
  <c r="R23" i="7"/>
  <c r="I23" i="7"/>
  <c r="CA22" i="7"/>
  <c r="BZ22" i="7"/>
  <c r="BY22" i="7"/>
  <c r="BX22" i="7"/>
  <c r="BW22" i="7"/>
  <c r="BT22" i="7"/>
  <c r="BK22" i="7"/>
  <c r="F22" i="11" s="1"/>
  <c r="BB22" i="7"/>
  <c r="F22" i="9" s="1"/>
  <c r="AS22" i="7"/>
  <c r="AL76" i="7"/>
  <c r="AS76" i="7" s="1"/>
  <c r="AJ22" i="7"/>
  <c r="AC76" i="7"/>
  <c r="AJ76" i="7" s="1"/>
  <c r="AA22" i="7"/>
  <c r="I22" i="7"/>
  <c r="CA21" i="7"/>
  <c r="BZ21" i="7"/>
  <c r="BY21" i="7"/>
  <c r="BX21" i="7"/>
  <c r="BW21" i="7"/>
  <c r="BV21" i="7"/>
  <c r="BT21" i="7"/>
  <c r="BK21" i="7"/>
  <c r="F21" i="11" s="1"/>
  <c r="BB21" i="7"/>
  <c r="F21" i="9" s="1"/>
  <c r="AS21" i="7"/>
  <c r="AJ21" i="7"/>
  <c r="AA21" i="7"/>
  <c r="R21" i="7"/>
  <c r="I21" i="7"/>
  <c r="CA20" i="7"/>
  <c r="BZ20" i="7"/>
  <c r="BY20" i="7"/>
  <c r="BX20" i="7"/>
  <c r="BW20" i="7"/>
  <c r="CD28" i="7" s="1"/>
  <c r="BV20" i="7"/>
  <c r="BT20" i="7"/>
  <c r="BK20" i="7"/>
  <c r="F20" i="11" s="1"/>
  <c r="BB20" i="7"/>
  <c r="F20" i="9" s="1"/>
  <c r="AS20" i="7"/>
  <c r="AJ20" i="7"/>
  <c r="AA20" i="7"/>
  <c r="R20" i="7"/>
  <c r="I20" i="7"/>
  <c r="CC19" i="7"/>
  <c r="CB19" i="7"/>
  <c r="CA19" i="7"/>
  <c r="BZ19" i="7"/>
  <c r="BY19" i="7"/>
  <c r="BX19" i="7"/>
  <c r="BW19" i="7"/>
  <c r="BV19" i="7"/>
  <c r="BT19" i="7"/>
  <c r="BS19" i="7"/>
  <c r="BR19" i="7"/>
  <c r="BQ19" i="7"/>
  <c r="BP19" i="7"/>
  <c r="BO19" i="7"/>
  <c r="BN19" i="7"/>
  <c r="BM19" i="7"/>
  <c r="BK19" i="7"/>
  <c r="BJ19" i="7"/>
  <c r="BI19" i="7"/>
  <c r="BH19" i="7"/>
  <c r="BG19" i="7"/>
  <c r="BF19" i="7"/>
  <c r="BE19" i="7"/>
  <c r="BD19" i="7"/>
  <c r="BB19" i="7"/>
  <c r="BA19" i="7"/>
  <c r="AZ19" i="7"/>
  <c r="AY19" i="7"/>
  <c r="AX19" i="7"/>
  <c r="AW19" i="7"/>
  <c r="AV19" i="7"/>
  <c r="AU19" i="7"/>
  <c r="AS19" i="7"/>
  <c r="AR19" i="7"/>
  <c r="AQ19" i="7"/>
  <c r="AP19" i="7"/>
  <c r="AO19" i="7"/>
  <c r="AN19" i="7"/>
  <c r="AM19" i="7"/>
  <c r="AL19" i="7"/>
  <c r="AJ19" i="7"/>
  <c r="AI19" i="7"/>
  <c r="AH19" i="7"/>
  <c r="AG19" i="7"/>
  <c r="AF19" i="7"/>
  <c r="AE19" i="7"/>
  <c r="AD19" i="7"/>
  <c r="AC19" i="7"/>
  <c r="AA19" i="7"/>
  <c r="Z19" i="7"/>
  <c r="Y19" i="7"/>
  <c r="X19" i="7"/>
  <c r="W19" i="7"/>
  <c r="V19" i="7"/>
  <c r="U19" i="7"/>
  <c r="T19" i="7"/>
  <c r="R19" i="7"/>
  <c r="Q19" i="7"/>
  <c r="P19" i="7"/>
  <c r="O19" i="7"/>
  <c r="N19" i="7"/>
  <c r="M19" i="7"/>
  <c r="L19" i="7"/>
  <c r="K19" i="7"/>
  <c r="I19" i="7"/>
  <c r="H19" i="7"/>
  <c r="G19" i="7"/>
  <c r="F19" i="7"/>
  <c r="E19" i="7"/>
  <c r="D19" i="7"/>
  <c r="C19" i="7"/>
  <c r="B19" i="7"/>
  <c r="CB17" i="7"/>
  <c r="BS17" i="7"/>
  <c r="BR17" i="7"/>
  <c r="BQ17" i="7"/>
  <c r="BO17" i="7"/>
  <c r="BN17" i="7"/>
  <c r="BM17" i="7"/>
  <c r="BO84" i="7" s="1"/>
  <c r="BJ17" i="7"/>
  <c r="BI17" i="7"/>
  <c r="BH17" i="7"/>
  <c r="BF17" i="7"/>
  <c r="BE17" i="7"/>
  <c r="BD17" i="7"/>
  <c r="BC17" i="7"/>
  <c r="BA17" i="7"/>
  <c r="AZ17" i="7"/>
  <c r="AY17" i="7"/>
  <c r="AW17" i="7"/>
  <c r="AV17" i="7"/>
  <c r="AR17" i="7"/>
  <c r="AQ17" i="7"/>
  <c r="AP17" i="7"/>
  <c r="AN17" i="7"/>
  <c r="AM17" i="7"/>
  <c r="AI17" i="7"/>
  <c r="AH17" i="7"/>
  <c r="AG17" i="7"/>
  <c r="AE17" i="7"/>
  <c r="AD17" i="7"/>
  <c r="Z17" i="7"/>
  <c r="Y17" i="7"/>
  <c r="X17" i="7"/>
  <c r="V17" i="7"/>
  <c r="U17" i="7"/>
  <c r="Q17" i="7"/>
  <c r="P17" i="7"/>
  <c r="O17" i="7"/>
  <c r="M17" i="7"/>
  <c r="L17" i="7"/>
  <c r="H17" i="7"/>
  <c r="G17" i="7"/>
  <c r="F17" i="7"/>
  <c r="D17" i="7"/>
  <c r="C17" i="7"/>
  <c r="CA16" i="7"/>
  <c r="BZ16" i="7"/>
  <c r="BY16" i="7"/>
  <c r="BX16" i="7"/>
  <c r="BW16" i="7"/>
  <c r="BT16" i="7"/>
  <c r="BK16" i="7"/>
  <c r="AU16" i="7"/>
  <c r="BB16" i="7" s="1"/>
  <c r="AS16" i="7"/>
  <c r="AT16" i="7" s="1"/>
  <c r="AJ16" i="7"/>
  <c r="AK16" i="7" s="1"/>
  <c r="CD16" i="7" s="1"/>
  <c r="AA16" i="7"/>
  <c r="R16" i="7"/>
  <c r="I16" i="7"/>
  <c r="CA15" i="7"/>
  <c r="BZ15" i="7"/>
  <c r="BY15" i="7"/>
  <c r="BX15" i="7"/>
  <c r="BW15" i="7"/>
  <c r="BT15" i="7"/>
  <c r="BK15" i="7"/>
  <c r="AU15" i="7"/>
  <c r="BB15" i="7" s="1"/>
  <c r="AS15" i="7"/>
  <c r="AT15" i="7" s="1"/>
  <c r="AL15" i="7"/>
  <c r="AC15" i="7"/>
  <c r="AJ15" i="7" s="1"/>
  <c r="AK15" i="7" s="1"/>
  <c r="CD15" i="7" s="1"/>
  <c r="AA15" i="7"/>
  <c r="R15" i="7"/>
  <c r="I15" i="7"/>
  <c r="CA14" i="7"/>
  <c r="BZ14" i="7"/>
  <c r="BY14" i="7"/>
  <c r="BX14" i="7"/>
  <c r="BW14" i="7"/>
  <c r="BT14" i="7"/>
  <c r="BK14" i="7"/>
  <c r="AU14" i="7"/>
  <c r="BB14" i="7" s="1"/>
  <c r="AL14" i="7"/>
  <c r="AS14" i="7" s="1"/>
  <c r="AT14" i="7" s="1"/>
  <c r="AC14" i="7"/>
  <c r="AJ14" i="7" s="1"/>
  <c r="AK14" i="7" s="1"/>
  <c r="CD14" i="7" s="1"/>
  <c r="AA14" i="7"/>
  <c r="R14" i="7"/>
  <c r="I14" i="7"/>
  <c r="CA13" i="7"/>
  <c r="BZ13" i="7"/>
  <c r="BY13" i="7"/>
  <c r="BX13" i="7"/>
  <c r="BW13" i="7"/>
  <c r="BT13" i="7"/>
  <c r="BK13" i="7"/>
  <c r="AU13" i="7"/>
  <c r="BB13" i="7" s="1"/>
  <c r="AS13" i="7"/>
  <c r="AT13" i="7" s="1"/>
  <c r="AL13" i="7"/>
  <c r="AC13" i="7"/>
  <c r="AJ13" i="7" s="1"/>
  <c r="AK13" i="7" s="1"/>
  <c r="CD13" i="7" s="1"/>
  <c r="AA13" i="7"/>
  <c r="R13" i="7"/>
  <c r="I13" i="7"/>
  <c r="CA12" i="7"/>
  <c r="BZ12" i="7"/>
  <c r="BY12" i="7"/>
  <c r="BX12" i="7"/>
  <c r="BW12" i="7"/>
  <c r="BT12" i="7"/>
  <c r="BK12" i="7"/>
  <c r="AU12" i="7"/>
  <c r="AU3" i="7" s="1"/>
  <c r="AL12" i="7"/>
  <c r="AS12" i="7" s="1"/>
  <c r="AT12" i="7" s="1"/>
  <c r="AJ12" i="7"/>
  <c r="AK12" i="7" s="1"/>
  <c r="AC12" i="7"/>
  <c r="T12" i="7"/>
  <c r="AA12" i="7" s="1"/>
  <c r="AB12" i="7" s="1"/>
  <c r="K12" i="7"/>
  <c r="BV12" i="7" s="1"/>
  <c r="CC12" i="7" s="1"/>
  <c r="I12" i="7"/>
  <c r="CA11" i="7"/>
  <c r="BZ11" i="7"/>
  <c r="BY11" i="7"/>
  <c r="BX11" i="7"/>
  <c r="BW11" i="7"/>
  <c r="BT11" i="7"/>
  <c r="BK11" i="7"/>
  <c r="BB11" i="7"/>
  <c r="AU11" i="7"/>
  <c r="AS11" i="7"/>
  <c r="AT11" i="7" s="1"/>
  <c r="AL11" i="7"/>
  <c r="AC11" i="7"/>
  <c r="AJ11" i="7" s="1"/>
  <c r="AK11" i="7" s="1"/>
  <c r="T11" i="7"/>
  <c r="AA11" i="7" s="1"/>
  <c r="AB11" i="7" s="1"/>
  <c r="R11" i="7"/>
  <c r="S11" i="7" s="1"/>
  <c r="K11" i="7"/>
  <c r="I11" i="7"/>
  <c r="CA10" i="7"/>
  <c r="BZ10" i="7"/>
  <c r="BY10" i="7"/>
  <c r="BX10" i="7"/>
  <c r="BW10" i="7"/>
  <c r="BT10" i="7"/>
  <c r="BK10" i="7"/>
  <c r="BB10" i="7"/>
  <c r="AU10" i="7"/>
  <c r="AL10" i="7"/>
  <c r="AS10" i="7" s="1"/>
  <c r="AT10" i="7" s="1"/>
  <c r="AC10" i="7"/>
  <c r="AC3" i="7" s="1"/>
  <c r="AA10" i="7"/>
  <c r="AB10" i="7" s="1"/>
  <c r="T10" i="7"/>
  <c r="R10" i="7"/>
  <c r="S10" i="7" s="1"/>
  <c r="K10" i="7"/>
  <c r="I10" i="7"/>
  <c r="CA9" i="7"/>
  <c r="BZ9" i="7"/>
  <c r="BY9" i="7"/>
  <c r="BX9" i="7"/>
  <c r="BW9" i="7"/>
  <c r="BT9" i="7"/>
  <c r="BK9" i="7"/>
  <c r="BL9" i="7" s="1"/>
  <c r="BB9" i="7"/>
  <c r="AL9" i="7"/>
  <c r="AS9" i="7" s="1"/>
  <c r="AT9" i="7" s="1"/>
  <c r="AC9" i="7"/>
  <c r="AJ9" i="7" s="1"/>
  <c r="AK9" i="7" s="1"/>
  <c r="T9" i="7"/>
  <c r="AA9" i="7" s="1"/>
  <c r="AB9" i="7" s="1"/>
  <c r="R9" i="7"/>
  <c r="S9" i="7" s="1"/>
  <c r="K9" i="7"/>
  <c r="B9" i="7"/>
  <c r="BV9" i="7" s="1"/>
  <c r="CC9" i="7" s="1"/>
  <c r="CA8" i="7"/>
  <c r="BZ8" i="7"/>
  <c r="BY8" i="7"/>
  <c r="BX8" i="7"/>
  <c r="BW8" i="7"/>
  <c r="BT8" i="7"/>
  <c r="BK8" i="7"/>
  <c r="BB8" i="7"/>
  <c r="AS8" i="7"/>
  <c r="AT8" i="7" s="1"/>
  <c r="AL8" i="7"/>
  <c r="AK8" i="7"/>
  <c r="AJ8" i="7"/>
  <c r="AC8" i="7"/>
  <c r="T8" i="7"/>
  <c r="AA8" i="7" s="1"/>
  <c r="AB8" i="7" s="1"/>
  <c r="K8" i="7"/>
  <c r="BV8" i="7" s="1"/>
  <c r="CC8" i="7" s="1"/>
  <c r="I8" i="7"/>
  <c r="J8" i="7" s="1"/>
  <c r="B8" i="7"/>
  <c r="CA7" i="7"/>
  <c r="BZ7" i="7"/>
  <c r="BY7" i="7"/>
  <c r="BX7" i="7"/>
  <c r="BW7" i="7"/>
  <c r="BV7" i="7"/>
  <c r="CC7" i="7" s="1"/>
  <c r="BT7" i="7"/>
  <c r="BK7" i="7"/>
  <c r="BL7" i="7" s="1"/>
  <c r="BD7" i="7"/>
  <c r="BB7" i="7"/>
  <c r="AL7" i="7"/>
  <c r="AS7" i="7" s="1"/>
  <c r="AT7" i="7" s="1"/>
  <c r="AJ7" i="7"/>
  <c r="AK7" i="7" s="1"/>
  <c r="AC7" i="7"/>
  <c r="AA7" i="7"/>
  <c r="AB7" i="7" s="1"/>
  <c r="T7" i="7"/>
  <c r="K7" i="7"/>
  <c r="R7" i="7" s="1"/>
  <c r="S7" i="7" s="1"/>
  <c r="B7" i="7"/>
  <c r="I7" i="7" s="1"/>
  <c r="J7" i="7" s="1"/>
  <c r="CA6" i="7"/>
  <c r="BZ6" i="7"/>
  <c r="BY6" i="7"/>
  <c r="BX6" i="7"/>
  <c r="BW6" i="7"/>
  <c r="BT6" i="7"/>
  <c r="BD6" i="7"/>
  <c r="BK6" i="7" s="1"/>
  <c r="BL6" i="7" s="1"/>
  <c r="BB6" i="7"/>
  <c r="AL6" i="7"/>
  <c r="AL3" i="7" s="1"/>
  <c r="AC6" i="7"/>
  <c r="AJ6" i="7" s="1"/>
  <c r="AK6" i="7" s="1"/>
  <c r="T6" i="7"/>
  <c r="AA6" i="7" s="1"/>
  <c r="AB6" i="7" s="1"/>
  <c r="R6" i="7"/>
  <c r="S6" i="7" s="1"/>
  <c r="K6" i="7"/>
  <c r="B6" i="7"/>
  <c r="BV6" i="7" s="1"/>
  <c r="CC6" i="7" s="1"/>
  <c r="CA5" i="7"/>
  <c r="BZ5" i="7"/>
  <c r="BY5" i="7"/>
  <c r="BX5" i="7"/>
  <c r="BW5" i="7"/>
  <c r="BT5" i="7"/>
  <c r="BD5" i="7"/>
  <c r="BK5" i="7" s="1"/>
  <c r="BL5" i="7" s="1"/>
  <c r="BB5" i="7"/>
  <c r="AS5" i="7"/>
  <c r="AT5" i="7" s="1"/>
  <c r="AL5" i="7"/>
  <c r="AJ5" i="7"/>
  <c r="AK5" i="7" s="1"/>
  <c r="AC5" i="7"/>
  <c r="T5" i="7"/>
  <c r="AA5" i="7" s="1"/>
  <c r="AB5" i="7" s="1"/>
  <c r="K5" i="7"/>
  <c r="BV5" i="7" s="1"/>
  <c r="CC5" i="7" s="1"/>
  <c r="I5" i="7"/>
  <c r="J5" i="7" s="1"/>
  <c r="B5" i="7"/>
  <c r="CA4" i="7"/>
  <c r="BZ4" i="7"/>
  <c r="BZ17" i="7" s="1"/>
  <c r="BY4" i="7"/>
  <c r="BX4" i="7"/>
  <c r="BW4" i="7"/>
  <c r="BV4" i="7"/>
  <c r="CC4" i="7" s="1"/>
  <c r="BT4" i="7"/>
  <c r="BT17" i="7" s="1"/>
  <c r="BK4" i="7"/>
  <c r="BD4" i="7"/>
  <c r="BB4" i="7"/>
  <c r="AL4" i="7"/>
  <c r="AL17" i="7" s="1"/>
  <c r="AJ4" i="7"/>
  <c r="AK4" i="7" s="1"/>
  <c r="AC4" i="7"/>
  <c r="AA4" i="7"/>
  <c r="AB4" i="7" s="1"/>
  <c r="T4" i="7"/>
  <c r="K4" i="7"/>
  <c r="R4" i="7" s="1"/>
  <c r="B4" i="7"/>
  <c r="I4" i="7" s="1"/>
  <c r="BM3" i="7"/>
  <c r="BT3" i="7" s="1"/>
  <c r="CC2" i="7"/>
  <c r="BT2" i="7"/>
  <c r="BK2" i="7"/>
  <c r="BB2" i="7"/>
  <c r="AS2" i="7"/>
  <c r="AJ2" i="7"/>
  <c r="AA2" i="7"/>
  <c r="R2" i="7"/>
  <c r="I2" i="7"/>
  <c r="BL10" i="6"/>
  <c r="BL7" i="6"/>
  <c r="BL9" i="6"/>
  <c r="BD7" i="6"/>
  <c r="BD8" i="6"/>
  <c r="BD9" i="6"/>
  <c r="BD10" i="6"/>
  <c r="AT16" i="6"/>
  <c r="AL15" i="6"/>
  <c r="AL16" i="6"/>
  <c r="AK16" i="6"/>
  <c r="AC15" i="6"/>
  <c r="AC16" i="6"/>
  <c r="J9" i="6"/>
  <c r="B9" i="6"/>
  <c r="CC222" i="6"/>
  <c r="CB222" i="6"/>
  <c r="CA222" i="6"/>
  <c r="BZ222" i="6"/>
  <c r="BY222" i="6"/>
  <c r="BX222" i="6"/>
  <c r="BW222" i="6"/>
  <c r="BV222" i="6"/>
  <c r="BT222" i="6"/>
  <c r="BS222" i="6"/>
  <c r="BR222" i="6"/>
  <c r="BQ222" i="6"/>
  <c r="BP222" i="6"/>
  <c r="BO222" i="6"/>
  <c r="BN222" i="6"/>
  <c r="BM222" i="6"/>
  <c r="BK222" i="6"/>
  <c r="BJ222" i="6"/>
  <c r="BI222" i="6"/>
  <c r="BH222" i="6"/>
  <c r="BG222" i="6"/>
  <c r="BF222" i="6"/>
  <c r="BE222" i="6"/>
  <c r="BD222" i="6"/>
  <c r="BB222" i="6"/>
  <c r="BA222" i="6"/>
  <c r="AZ222" i="6"/>
  <c r="AY222" i="6"/>
  <c r="AX222" i="6"/>
  <c r="AW222" i="6"/>
  <c r="AV222" i="6"/>
  <c r="AU222" i="6"/>
  <c r="AS222" i="6"/>
  <c r="AR222" i="6"/>
  <c r="AQ222" i="6"/>
  <c r="AP222" i="6"/>
  <c r="AO222" i="6"/>
  <c r="AN222" i="6"/>
  <c r="AM222" i="6"/>
  <c r="AL222" i="6"/>
  <c r="AJ222" i="6"/>
  <c r="AI222" i="6"/>
  <c r="AH222" i="6"/>
  <c r="AG222" i="6"/>
  <c r="AF222" i="6"/>
  <c r="AE222" i="6"/>
  <c r="AD222" i="6"/>
  <c r="AC222" i="6"/>
  <c r="AA222" i="6"/>
  <c r="Z222" i="6"/>
  <c r="Y222" i="6"/>
  <c r="X222" i="6"/>
  <c r="W222" i="6"/>
  <c r="V222" i="6"/>
  <c r="U222" i="6"/>
  <c r="T222" i="6"/>
  <c r="R222" i="6"/>
  <c r="Q222" i="6"/>
  <c r="P222" i="6"/>
  <c r="O222" i="6"/>
  <c r="N222" i="6"/>
  <c r="M222" i="6"/>
  <c r="L222" i="6"/>
  <c r="K222" i="6"/>
  <c r="I222" i="6"/>
  <c r="H222" i="6"/>
  <c r="G222" i="6"/>
  <c r="F222" i="6"/>
  <c r="E222" i="6"/>
  <c r="D222" i="6"/>
  <c r="C222" i="6"/>
  <c r="B222" i="6"/>
  <c r="A222" i="6"/>
  <c r="CC218" i="6"/>
  <c r="BT218" i="6"/>
  <c r="BK218" i="6"/>
  <c r="BB218" i="6"/>
  <c r="AS218" i="6"/>
  <c r="AJ218" i="6"/>
  <c r="AA218" i="6"/>
  <c r="R218" i="6"/>
  <c r="I218" i="6"/>
  <c r="CA217" i="6"/>
  <c r="BZ217" i="6"/>
  <c r="BY217" i="6"/>
  <c r="BX217" i="6"/>
  <c r="BW217" i="6"/>
  <c r="BV217" i="6"/>
  <c r="BT217" i="6"/>
  <c r="BK217" i="6"/>
  <c r="BB217" i="6"/>
  <c r="AS217" i="6"/>
  <c r="AJ217" i="6"/>
  <c r="AA217" i="6"/>
  <c r="R217" i="6"/>
  <c r="I217" i="6"/>
  <c r="CA216" i="6"/>
  <c r="BZ216" i="6"/>
  <c r="BY216" i="6"/>
  <c r="BX216" i="6"/>
  <c r="BW216" i="6"/>
  <c r="BT216" i="6"/>
  <c r="BK216" i="6"/>
  <c r="BB216" i="6"/>
  <c r="AS216" i="6"/>
  <c r="AJ216" i="6"/>
  <c r="AA216" i="6"/>
  <c r="R216" i="6"/>
  <c r="B216" i="6"/>
  <c r="CA215" i="6"/>
  <c r="BZ215" i="6"/>
  <c r="BY215" i="6"/>
  <c r="BX215" i="6"/>
  <c r="BW215" i="6"/>
  <c r="BV215" i="6"/>
  <c r="CC215" i="6" s="1"/>
  <c r="E215" i="10" s="1"/>
  <c r="BT215" i="6"/>
  <c r="BK215" i="6"/>
  <c r="BB215" i="6"/>
  <c r="AS215" i="6"/>
  <c r="AJ215" i="6"/>
  <c r="AA215" i="6"/>
  <c r="R215" i="6"/>
  <c r="I215" i="6"/>
  <c r="CA214" i="6"/>
  <c r="BZ214" i="6"/>
  <c r="BY214" i="6"/>
  <c r="BX214" i="6"/>
  <c r="BW214" i="6"/>
  <c r="BV214" i="6"/>
  <c r="CC214" i="6" s="1"/>
  <c r="E214" i="10" s="1"/>
  <c r="BT214" i="6"/>
  <c r="BK214" i="6"/>
  <c r="BB214" i="6"/>
  <c r="AS214" i="6"/>
  <c r="AJ214" i="6"/>
  <c r="AA214" i="6"/>
  <c r="R214" i="6"/>
  <c r="I214" i="6"/>
  <c r="CA213" i="6"/>
  <c r="BZ213" i="6"/>
  <c r="BY213" i="6"/>
  <c r="BX213" i="6"/>
  <c r="BW213" i="6"/>
  <c r="BT213" i="6"/>
  <c r="BB213" i="6"/>
  <c r="AS213" i="6"/>
  <c r="AJ213" i="6"/>
  <c r="AA213" i="6"/>
  <c r="R213" i="6"/>
  <c r="I213" i="6"/>
  <c r="CB209" i="6"/>
  <c r="BS209" i="6"/>
  <c r="BR209" i="6"/>
  <c r="BQ209" i="6"/>
  <c r="BP209" i="6"/>
  <c r="BO209" i="6"/>
  <c r="BN209" i="6"/>
  <c r="BM209" i="6"/>
  <c r="BJ209" i="6"/>
  <c r="BI209" i="6"/>
  <c r="BH209" i="6"/>
  <c r="BG209" i="6"/>
  <c r="BF209" i="6"/>
  <c r="BE209" i="6"/>
  <c r="BB209" i="6"/>
  <c r="BA209" i="6"/>
  <c r="AZ209" i="6"/>
  <c r="AY209" i="6"/>
  <c r="AX209" i="6"/>
  <c r="AW209" i="6"/>
  <c r="AV209" i="6"/>
  <c r="AU209" i="6"/>
  <c r="AR209" i="6"/>
  <c r="AQ209" i="6"/>
  <c r="AP209" i="6"/>
  <c r="AO209" i="6"/>
  <c r="AN209" i="6"/>
  <c r="AM209" i="6"/>
  <c r="AI209" i="6"/>
  <c r="AH209" i="6"/>
  <c r="AG209" i="6"/>
  <c r="AF209" i="6"/>
  <c r="AE209" i="6"/>
  <c r="AD209" i="6"/>
  <c r="Z209" i="6"/>
  <c r="Y209" i="6"/>
  <c r="X209" i="6"/>
  <c r="W209" i="6"/>
  <c r="V209" i="6"/>
  <c r="U209" i="6"/>
  <c r="Q209" i="6"/>
  <c r="P209" i="6"/>
  <c r="O209" i="6"/>
  <c r="N209" i="6"/>
  <c r="M209" i="6"/>
  <c r="L209" i="6"/>
  <c r="H209" i="6"/>
  <c r="G209" i="6"/>
  <c r="F209" i="6"/>
  <c r="E209" i="6"/>
  <c r="D209" i="6"/>
  <c r="C209" i="6"/>
  <c r="CA208" i="6"/>
  <c r="BZ208" i="6"/>
  <c r="BY208" i="6"/>
  <c r="BX208" i="6"/>
  <c r="BW208" i="6"/>
  <c r="BT208" i="6"/>
  <c r="BK208" i="6"/>
  <c r="BB208" i="6"/>
  <c r="AS208" i="6"/>
  <c r="AJ208" i="6"/>
  <c r="AA208" i="6"/>
  <c r="R208" i="6"/>
  <c r="BV208" i="6"/>
  <c r="CC208" i="6" s="1"/>
  <c r="E208" i="10" s="1"/>
  <c r="CA207" i="6"/>
  <c r="BZ207" i="6"/>
  <c r="BY207" i="6"/>
  <c r="BX207" i="6"/>
  <c r="BW207" i="6"/>
  <c r="BT207" i="6"/>
  <c r="BK207" i="6"/>
  <c r="E207" i="11" s="1"/>
  <c r="BB207" i="6"/>
  <c r="AS207" i="6"/>
  <c r="AJ207" i="6"/>
  <c r="AA207" i="6"/>
  <c r="BV207" i="6"/>
  <c r="I207" i="6"/>
  <c r="CA206" i="6"/>
  <c r="BZ206" i="6"/>
  <c r="BY206" i="6"/>
  <c r="BX206" i="6"/>
  <c r="BW206" i="6"/>
  <c r="BV206" i="6"/>
  <c r="CC206" i="6" s="1"/>
  <c r="BT206" i="6"/>
  <c r="BK206" i="6"/>
  <c r="BB206" i="6"/>
  <c r="AS206" i="6"/>
  <c r="AJ206" i="6"/>
  <c r="AA206" i="6"/>
  <c r="R206" i="6"/>
  <c r="I206" i="6"/>
  <c r="CA205" i="6"/>
  <c r="BZ205" i="6"/>
  <c r="BY205" i="6"/>
  <c r="BX205" i="6"/>
  <c r="BW205" i="6"/>
  <c r="BV205" i="6"/>
  <c r="BT205" i="6"/>
  <c r="BK205" i="6"/>
  <c r="BB205" i="6"/>
  <c r="AS205" i="6"/>
  <c r="AJ205" i="6"/>
  <c r="AA205" i="6"/>
  <c r="R205" i="6"/>
  <c r="I205" i="6"/>
  <c r="CA204" i="6"/>
  <c r="BZ204" i="6"/>
  <c r="BY204" i="6"/>
  <c r="BX204" i="6"/>
  <c r="BW204" i="6"/>
  <c r="BT204" i="6"/>
  <c r="BK204" i="6"/>
  <c r="E204" i="11" s="1"/>
  <c r="BB204" i="6"/>
  <c r="AS204" i="6"/>
  <c r="AJ204" i="6"/>
  <c r="AA204" i="6"/>
  <c r="R204" i="6"/>
  <c r="I204" i="6"/>
  <c r="CA203" i="6"/>
  <c r="BZ203" i="6"/>
  <c r="BY203" i="6"/>
  <c r="BX203" i="6"/>
  <c r="BW203" i="6"/>
  <c r="BV203" i="6"/>
  <c r="CC203" i="6" s="1"/>
  <c r="E203" i="10" s="1"/>
  <c r="BT203" i="6"/>
  <c r="BK203" i="6"/>
  <c r="E203" i="11" s="1"/>
  <c r="BB203" i="6"/>
  <c r="AS203" i="6"/>
  <c r="AJ203" i="6"/>
  <c r="AA203" i="6"/>
  <c r="R203" i="6"/>
  <c r="I203" i="6"/>
  <c r="CA202" i="6"/>
  <c r="BZ202" i="6"/>
  <c r="BY202" i="6"/>
  <c r="BX202" i="6"/>
  <c r="BW202" i="6"/>
  <c r="BT202" i="6"/>
  <c r="BK202" i="6"/>
  <c r="E202" i="11" s="1"/>
  <c r="BB202" i="6"/>
  <c r="AS202" i="6"/>
  <c r="AJ202" i="6"/>
  <c r="AA202" i="6"/>
  <c r="R202" i="6"/>
  <c r="CA201" i="6"/>
  <c r="BZ201" i="6"/>
  <c r="BY201" i="6"/>
  <c r="BX201" i="6"/>
  <c r="BW201" i="6"/>
  <c r="BT201" i="6"/>
  <c r="BB201" i="6"/>
  <c r="AS201" i="6"/>
  <c r="AJ201" i="6"/>
  <c r="AA201" i="6"/>
  <c r="R201" i="6"/>
  <c r="I201" i="6"/>
  <c r="CA200" i="6"/>
  <c r="BZ200" i="6"/>
  <c r="BY200" i="6"/>
  <c r="BX200" i="6"/>
  <c r="BW200" i="6"/>
  <c r="BT200" i="6"/>
  <c r="BK200" i="6"/>
  <c r="E200" i="11" s="1"/>
  <c r="BB200" i="6"/>
  <c r="AA200" i="6"/>
  <c r="R200" i="6"/>
  <c r="I200" i="6"/>
  <c r="BV200" i="6"/>
  <c r="CC200" i="6" s="1"/>
  <c r="E200" i="10" s="1"/>
  <c r="CA199" i="6"/>
  <c r="BZ199" i="6"/>
  <c r="BY199" i="6"/>
  <c r="BX199" i="6"/>
  <c r="BW199" i="6"/>
  <c r="BT199" i="6"/>
  <c r="BT209" i="6" s="1"/>
  <c r="BK199" i="6"/>
  <c r="E199" i="11" s="1"/>
  <c r="BB199" i="6"/>
  <c r="AS199" i="6"/>
  <c r="AJ199" i="6"/>
  <c r="AA199" i="6"/>
  <c r="T209" i="6"/>
  <c r="BV199" i="6"/>
  <c r="I199" i="6"/>
  <c r="B209" i="6"/>
  <c r="CC198" i="6"/>
  <c r="CB198" i="6"/>
  <c r="CA198" i="6"/>
  <c r="BZ198" i="6"/>
  <c r="BY198" i="6"/>
  <c r="BX198" i="6"/>
  <c r="BW198" i="6"/>
  <c r="BV198" i="6"/>
  <c r="BT198" i="6"/>
  <c r="BS198" i="6"/>
  <c r="BR198" i="6"/>
  <c r="BQ198" i="6"/>
  <c r="BP198" i="6"/>
  <c r="BO198" i="6"/>
  <c r="BN198" i="6"/>
  <c r="BM198" i="6"/>
  <c r="BK198" i="6"/>
  <c r="BJ198" i="6"/>
  <c r="BI198" i="6"/>
  <c r="BH198" i="6"/>
  <c r="BG198" i="6"/>
  <c r="BF198" i="6"/>
  <c r="BE198" i="6"/>
  <c r="BD198" i="6"/>
  <c r="BB198" i="6"/>
  <c r="BA198" i="6"/>
  <c r="AZ198" i="6"/>
  <c r="AY198" i="6"/>
  <c r="AX198" i="6"/>
  <c r="AW198" i="6"/>
  <c r="AV198" i="6"/>
  <c r="AU198" i="6"/>
  <c r="AS198" i="6"/>
  <c r="AR198" i="6"/>
  <c r="AQ198" i="6"/>
  <c r="AP198" i="6"/>
  <c r="AO198" i="6"/>
  <c r="AN198" i="6"/>
  <c r="AM198" i="6"/>
  <c r="AL198" i="6"/>
  <c r="AJ198" i="6"/>
  <c r="AI198" i="6"/>
  <c r="AH198" i="6"/>
  <c r="AG198" i="6"/>
  <c r="AF198" i="6"/>
  <c r="AE198" i="6"/>
  <c r="AD198" i="6"/>
  <c r="AC198" i="6"/>
  <c r="AA198" i="6"/>
  <c r="Z198" i="6"/>
  <c r="Y198" i="6"/>
  <c r="X198" i="6"/>
  <c r="W198" i="6"/>
  <c r="V198" i="6"/>
  <c r="U198" i="6"/>
  <c r="T198" i="6"/>
  <c r="R198" i="6"/>
  <c r="Q198" i="6"/>
  <c r="P198" i="6"/>
  <c r="O198" i="6"/>
  <c r="N198" i="6"/>
  <c r="M198" i="6"/>
  <c r="L198" i="6"/>
  <c r="K198" i="6"/>
  <c r="I198" i="6"/>
  <c r="H198" i="6"/>
  <c r="G198" i="6"/>
  <c r="F198" i="6"/>
  <c r="E198" i="6"/>
  <c r="D198" i="6"/>
  <c r="C198" i="6"/>
  <c r="B198" i="6"/>
  <c r="CB197" i="6"/>
  <c r="BS197" i="6"/>
  <c r="BR197" i="6"/>
  <c r="BQ197" i="6"/>
  <c r="BP197" i="6"/>
  <c r="BN197" i="6"/>
  <c r="BM197" i="6"/>
  <c r="BJ197" i="6"/>
  <c r="BI197" i="6"/>
  <c r="BH197" i="6"/>
  <c r="BG197" i="6"/>
  <c r="BE197" i="6"/>
  <c r="BA197" i="6"/>
  <c r="AZ197" i="6"/>
  <c r="AY197" i="6"/>
  <c r="AX197" i="6"/>
  <c r="AV197" i="6"/>
  <c r="AR197" i="6"/>
  <c r="AQ197" i="6"/>
  <c r="AP197" i="6"/>
  <c r="AO197" i="6"/>
  <c r="AM197" i="6"/>
  <c r="AI197" i="6"/>
  <c r="AH197" i="6"/>
  <c r="AG197" i="6"/>
  <c r="AF197" i="6"/>
  <c r="AD197" i="6"/>
  <c r="Z197" i="6"/>
  <c r="Y197" i="6"/>
  <c r="X197" i="6"/>
  <c r="W197" i="6"/>
  <c r="U197" i="6"/>
  <c r="Q197" i="6"/>
  <c r="P197" i="6"/>
  <c r="O197" i="6"/>
  <c r="N197" i="6"/>
  <c r="L197" i="6"/>
  <c r="H197" i="6"/>
  <c r="G197" i="6"/>
  <c r="F197" i="6"/>
  <c r="E197" i="6"/>
  <c r="C197" i="6"/>
  <c r="CA195" i="6"/>
  <c r="BZ195" i="6"/>
  <c r="BY195" i="6"/>
  <c r="CC195" i="6" s="1"/>
  <c r="BX195" i="6"/>
  <c r="BW195" i="6"/>
  <c r="BV195" i="6"/>
  <c r="BT195" i="6"/>
  <c r="BK195" i="6"/>
  <c r="BB195" i="6"/>
  <c r="AS195" i="6"/>
  <c r="AJ195" i="6"/>
  <c r="AA195" i="6"/>
  <c r="R195" i="6"/>
  <c r="I195" i="6"/>
  <c r="CC194" i="6"/>
  <c r="CA194" i="6"/>
  <c r="BZ194" i="6"/>
  <c r="BY194" i="6"/>
  <c r="BX194" i="6"/>
  <c r="BW194" i="6"/>
  <c r="BV194" i="6"/>
  <c r="BK194" i="6"/>
  <c r="AS194" i="6"/>
  <c r="AJ194" i="6"/>
  <c r="AA194" i="6"/>
  <c r="R194" i="6"/>
  <c r="I194" i="6"/>
  <c r="CC193" i="6"/>
  <c r="CA193" i="6"/>
  <c r="BZ193" i="6"/>
  <c r="BY193" i="6"/>
  <c r="BX193" i="6"/>
  <c r="BW193" i="6"/>
  <c r="BV193" i="6"/>
  <c r="BT193" i="6"/>
  <c r="BK193" i="6"/>
  <c r="BB193" i="6"/>
  <c r="AS193" i="6"/>
  <c r="AJ193" i="6"/>
  <c r="AA193" i="6"/>
  <c r="R193" i="6"/>
  <c r="I193" i="6"/>
  <c r="CA192" i="6"/>
  <c r="BZ192" i="6"/>
  <c r="BY192" i="6"/>
  <c r="BX192" i="6"/>
  <c r="BW192" i="6"/>
  <c r="BV192" i="6"/>
  <c r="BT192" i="6"/>
  <c r="BK192" i="6"/>
  <c r="BB192" i="6"/>
  <c r="AS192" i="6"/>
  <c r="AJ192" i="6"/>
  <c r="AA192" i="6"/>
  <c r="R192" i="6"/>
  <c r="I192" i="6"/>
  <c r="CA191" i="6"/>
  <c r="BZ191" i="6"/>
  <c r="BY191" i="6"/>
  <c r="BX191" i="6"/>
  <c r="BW191" i="6"/>
  <c r="BV191" i="6"/>
  <c r="CC191" i="6" s="1"/>
  <c r="E191" i="10" s="1"/>
  <c r="BT191" i="6"/>
  <c r="BK191" i="6"/>
  <c r="BB191" i="6"/>
  <c r="AS191" i="6"/>
  <c r="AJ191" i="6"/>
  <c r="AA191" i="6"/>
  <c r="R191" i="6"/>
  <c r="I191" i="6"/>
  <c r="CC190" i="6"/>
  <c r="CA190" i="6"/>
  <c r="BZ190" i="6"/>
  <c r="BY190" i="6"/>
  <c r="BX190" i="6"/>
  <c r="BW190" i="6"/>
  <c r="BV190" i="6"/>
  <c r="BT190" i="6"/>
  <c r="BK190" i="6"/>
  <c r="BB190" i="6"/>
  <c r="AS190" i="6"/>
  <c r="AJ190" i="6"/>
  <c r="AA190" i="6"/>
  <c r="R190" i="6"/>
  <c r="I190" i="6"/>
  <c r="CA189" i="6"/>
  <c r="BZ189" i="6"/>
  <c r="BY189" i="6"/>
  <c r="BX189" i="6"/>
  <c r="BW189" i="6"/>
  <c r="BV189" i="6"/>
  <c r="CC189" i="6" s="1"/>
  <c r="BT189" i="6"/>
  <c r="BK189" i="6"/>
  <c r="BB189" i="6"/>
  <c r="AS189" i="6"/>
  <c r="AJ189" i="6"/>
  <c r="AA189" i="6"/>
  <c r="R189" i="6"/>
  <c r="I189" i="6"/>
  <c r="CA188" i="6"/>
  <c r="BZ188" i="6"/>
  <c r="BY188" i="6"/>
  <c r="BX188" i="6"/>
  <c r="BW188" i="6"/>
  <c r="BV188" i="6"/>
  <c r="BT188" i="6"/>
  <c r="BK188" i="6"/>
  <c r="BB188" i="6"/>
  <c r="AS188" i="6"/>
  <c r="AJ188" i="6"/>
  <c r="AA188" i="6"/>
  <c r="R188" i="6"/>
  <c r="I188" i="6"/>
  <c r="CA187" i="6"/>
  <c r="BZ187" i="6"/>
  <c r="BY187" i="6"/>
  <c r="BX187" i="6"/>
  <c r="BW187" i="6"/>
  <c r="BT187" i="6"/>
  <c r="CA186" i="6"/>
  <c r="BZ186" i="6"/>
  <c r="BY186" i="6"/>
  <c r="BX186" i="6"/>
  <c r="BW186" i="6"/>
  <c r="BV186" i="6"/>
  <c r="BT186" i="6"/>
  <c r="BK186" i="6"/>
  <c r="BB186" i="6"/>
  <c r="AS186" i="6"/>
  <c r="AJ186" i="6"/>
  <c r="AA186" i="6"/>
  <c r="R186" i="6"/>
  <c r="I186" i="6"/>
  <c r="CC185" i="6"/>
  <c r="CA185" i="6"/>
  <c r="BZ185" i="6"/>
  <c r="BY185" i="6"/>
  <c r="BX185" i="6"/>
  <c r="BW185" i="6"/>
  <c r="BV185" i="6"/>
  <c r="BT185" i="6"/>
  <c r="BK185" i="6"/>
  <c r="BB185" i="6"/>
  <c r="AS185" i="6"/>
  <c r="AJ185" i="6"/>
  <c r="AA185" i="6"/>
  <c r="R185" i="6"/>
  <c r="I185" i="6"/>
  <c r="CC184" i="6"/>
  <c r="CA184" i="6"/>
  <c r="BZ184" i="6"/>
  <c r="BY184" i="6"/>
  <c r="BX184" i="6"/>
  <c r="BW184" i="6"/>
  <c r="BV184" i="6"/>
  <c r="BT184" i="6"/>
  <c r="BK184" i="6"/>
  <c r="BB184" i="6"/>
  <c r="AS184" i="6"/>
  <c r="AJ184" i="6"/>
  <c r="AA184" i="6"/>
  <c r="R184" i="6"/>
  <c r="I184" i="6"/>
  <c r="CA183" i="6"/>
  <c r="BZ183" i="6"/>
  <c r="BY183" i="6"/>
  <c r="BW183" i="6"/>
  <c r="BV183" i="6"/>
  <c r="BO183" i="6"/>
  <c r="CA182" i="6"/>
  <c r="BZ182" i="6"/>
  <c r="BY182" i="6"/>
  <c r="BW182" i="6"/>
  <c r="BV182" i="6"/>
  <c r="BT182" i="6"/>
  <c r="BB182" i="6"/>
  <c r="AS182" i="6"/>
  <c r="AJ182" i="6"/>
  <c r="AA182" i="6"/>
  <c r="R182" i="6"/>
  <c r="I182" i="6"/>
  <c r="CA181" i="6"/>
  <c r="BZ181" i="6"/>
  <c r="BY181" i="6"/>
  <c r="BX181" i="6"/>
  <c r="BW181" i="6"/>
  <c r="BT181" i="6"/>
  <c r="BK181" i="6"/>
  <c r="E181" i="11" s="1"/>
  <c r="BB181" i="6"/>
  <c r="E181" i="9" s="1"/>
  <c r="AS181" i="6"/>
  <c r="AJ181" i="6"/>
  <c r="AA181" i="6"/>
  <c r="I181" i="6"/>
  <c r="CA180" i="6"/>
  <c r="BZ180" i="6"/>
  <c r="BY180" i="6"/>
  <c r="BX180" i="6"/>
  <c r="BW180" i="6"/>
  <c r="BV180" i="6"/>
  <c r="BT180" i="6"/>
  <c r="BK180" i="6"/>
  <c r="BB180" i="6"/>
  <c r="AS180" i="6"/>
  <c r="AJ180" i="6"/>
  <c r="AA180" i="6"/>
  <c r="R180" i="6"/>
  <c r="I180" i="6"/>
  <c r="CA179" i="6"/>
  <c r="BZ179" i="6"/>
  <c r="BY179" i="6"/>
  <c r="BX179" i="6"/>
  <c r="BW179" i="6"/>
  <c r="BV179" i="6"/>
  <c r="BT179" i="6"/>
  <c r="BK179" i="6"/>
  <c r="BB179" i="6"/>
  <c r="AS179" i="6"/>
  <c r="AJ179" i="6"/>
  <c r="AA179" i="6"/>
  <c r="R179" i="6"/>
  <c r="I179" i="6"/>
  <c r="CA178" i="6"/>
  <c r="BZ178" i="6"/>
  <c r="BY178" i="6"/>
  <c r="BX178" i="6"/>
  <c r="BW178" i="6"/>
  <c r="BT178" i="6"/>
  <c r="BK178" i="6"/>
  <c r="E178" i="11" s="1"/>
  <c r="BB178" i="6"/>
  <c r="AS178" i="6"/>
  <c r="AJ178" i="6"/>
  <c r="I178" i="6"/>
  <c r="CA177" i="6"/>
  <c r="BZ177" i="6"/>
  <c r="BY177" i="6"/>
  <c r="BX177" i="6"/>
  <c r="BW177" i="6"/>
  <c r="BT177" i="6"/>
  <c r="BK177" i="6"/>
  <c r="E177" i="11" s="1"/>
  <c r="BB177" i="6"/>
  <c r="AS177" i="6"/>
  <c r="AJ177" i="6"/>
  <c r="AA177" i="6"/>
  <c r="R177" i="6"/>
  <c r="CA176" i="6"/>
  <c r="BZ176" i="6"/>
  <c r="BY176" i="6"/>
  <c r="BX176" i="6"/>
  <c r="BW176" i="6"/>
  <c r="BT176" i="6"/>
  <c r="BK176" i="6"/>
  <c r="E176" i="11" s="1"/>
  <c r="BB176" i="6"/>
  <c r="E176" i="9" s="1"/>
  <c r="AS176" i="6"/>
  <c r="AJ176" i="6"/>
  <c r="AA176" i="6"/>
  <c r="R176" i="6"/>
  <c r="CA175" i="6"/>
  <c r="BZ175" i="6"/>
  <c r="BY175" i="6"/>
  <c r="BX175" i="6"/>
  <c r="BW175" i="6"/>
  <c r="BV175" i="6"/>
  <c r="BT175" i="6"/>
  <c r="BK175" i="6"/>
  <c r="BB175" i="6"/>
  <c r="AS175" i="6"/>
  <c r="AJ175" i="6"/>
  <c r="AA175" i="6"/>
  <c r="R175" i="6"/>
  <c r="I175" i="6"/>
  <c r="CA174" i="6"/>
  <c r="BZ174" i="6"/>
  <c r="BY174" i="6"/>
  <c r="BX174" i="6"/>
  <c r="BW174" i="6"/>
  <c r="BV174" i="6"/>
  <c r="BT174" i="6"/>
  <c r="BK174" i="6"/>
  <c r="BB174" i="6"/>
  <c r="AS174" i="6"/>
  <c r="AJ174" i="6"/>
  <c r="AA174" i="6"/>
  <c r="R174" i="6"/>
  <c r="I174" i="6"/>
  <c r="CA173" i="6"/>
  <c r="BZ173" i="6"/>
  <c r="BY173" i="6"/>
  <c r="BX173" i="6"/>
  <c r="BW173" i="6"/>
  <c r="BT173" i="6"/>
  <c r="BK173" i="6"/>
  <c r="E173" i="11" s="1"/>
  <c r="BB173" i="6"/>
  <c r="AS173" i="6"/>
  <c r="AJ173" i="6"/>
  <c r="AA173" i="6"/>
  <c r="R173" i="6"/>
  <c r="I173" i="6"/>
  <c r="BV173" i="6"/>
  <c r="CC173" i="6" s="1"/>
  <c r="E173" i="10" s="1"/>
  <c r="CA172" i="6"/>
  <c r="BZ172" i="6"/>
  <c r="BY172" i="6"/>
  <c r="BX172" i="6"/>
  <c r="BW172" i="6"/>
  <c r="BT172" i="6"/>
  <c r="BK172" i="6"/>
  <c r="E172" i="11" s="1"/>
  <c r="BB172" i="6"/>
  <c r="AS172" i="6"/>
  <c r="AA172" i="6"/>
  <c r="R172" i="6"/>
  <c r="CC171" i="6"/>
  <c r="CB171" i="6"/>
  <c r="CA171" i="6"/>
  <c r="BZ171" i="6"/>
  <c r="BY171" i="6"/>
  <c r="BX171" i="6"/>
  <c r="BW171" i="6"/>
  <c r="BV171" i="6"/>
  <c r="BT171" i="6"/>
  <c r="BS171" i="6"/>
  <c r="BR171" i="6"/>
  <c r="BQ171" i="6"/>
  <c r="BP171" i="6"/>
  <c r="BO171" i="6"/>
  <c r="BN171" i="6"/>
  <c r="BM171" i="6"/>
  <c r="BK171" i="6"/>
  <c r="BJ171" i="6"/>
  <c r="BI171" i="6"/>
  <c r="BH171" i="6"/>
  <c r="BG171" i="6"/>
  <c r="BF171" i="6"/>
  <c r="BE171" i="6"/>
  <c r="BD171" i="6"/>
  <c r="BB171" i="6"/>
  <c r="BA171" i="6"/>
  <c r="AZ171" i="6"/>
  <c r="AY171" i="6"/>
  <c r="AX171" i="6"/>
  <c r="AW171" i="6"/>
  <c r="AV171" i="6"/>
  <c r="AU171" i="6"/>
  <c r="AS171" i="6"/>
  <c r="AR171" i="6"/>
  <c r="AQ171" i="6"/>
  <c r="AP171" i="6"/>
  <c r="AO171" i="6"/>
  <c r="AN171" i="6"/>
  <c r="AM171" i="6"/>
  <c r="AL171" i="6"/>
  <c r="AJ171" i="6"/>
  <c r="AI171" i="6"/>
  <c r="AH171" i="6"/>
  <c r="AG171" i="6"/>
  <c r="AF171" i="6"/>
  <c r="AE171" i="6"/>
  <c r="AD171" i="6"/>
  <c r="AC171" i="6"/>
  <c r="AA171" i="6"/>
  <c r="Z171" i="6"/>
  <c r="Y171" i="6"/>
  <c r="X171" i="6"/>
  <c r="W171" i="6"/>
  <c r="V171" i="6"/>
  <c r="U171" i="6"/>
  <c r="T171" i="6"/>
  <c r="R171" i="6"/>
  <c r="Q171" i="6"/>
  <c r="P171" i="6"/>
  <c r="O171" i="6"/>
  <c r="N171" i="6"/>
  <c r="M171" i="6"/>
  <c r="L171" i="6"/>
  <c r="K171" i="6"/>
  <c r="I171" i="6"/>
  <c r="H171" i="6"/>
  <c r="G171" i="6"/>
  <c r="F171" i="6"/>
  <c r="E171" i="6"/>
  <c r="D171" i="6"/>
  <c r="C171" i="6"/>
  <c r="B171" i="6"/>
  <c r="BP170" i="6"/>
  <c r="BO170" i="6"/>
  <c r="BH170" i="6"/>
  <c r="BG170" i="6"/>
  <c r="BF170" i="6"/>
  <c r="AX170" i="6"/>
  <c r="AW170" i="6"/>
  <c r="AO170" i="6"/>
  <c r="AN170" i="6"/>
  <c r="AF170" i="6"/>
  <c r="AE170" i="6"/>
  <c r="W170" i="6"/>
  <c r="V170" i="6"/>
  <c r="N170" i="6"/>
  <c r="N211" i="6" s="1"/>
  <c r="M170" i="6"/>
  <c r="E170" i="6"/>
  <c r="D170" i="6"/>
  <c r="CA169" i="6"/>
  <c r="BZ169" i="6"/>
  <c r="CC169" i="6" s="1"/>
  <c r="BY169" i="6"/>
  <c r="BX169" i="6"/>
  <c r="BW169" i="6"/>
  <c r="BV169" i="6"/>
  <c r="BT169" i="6"/>
  <c r="BK169" i="6"/>
  <c r="BB169" i="6"/>
  <c r="AS169" i="6"/>
  <c r="AJ169" i="6"/>
  <c r="AA169" i="6"/>
  <c r="R169" i="6"/>
  <c r="I169" i="6"/>
  <c r="CA168" i="6"/>
  <c r="BZ168" i="6"/>
  <c r="BY168" i="6"/>
  <c r="BX168" i="6"/>
  <c r="BW168" i="6"/>
  <c r="CA167" i="6"/>
  <c r="BZ167" i="6"/>
  <c r="BY167" i="6"/>
  <c r="BX167" i="6"/>
  <c r="BW167" i="6"/>
  <c r="CA166" i="6"/>
  <c r="BZ166" i="6"/>
  <c r="BY166" i="6"/>
  <c r="BX166" i="6"/>
  <c r="BW166" i="6"/>
  <c r="CA165" i="6"/>
  <c r="BZ165" i="6"/>
  <c r="BY165" i="6"/>
  <c r="BX165" i="6"/>
  <c r="BW165" i="6"/>
  <c r="BV165" i="6"/>
  <c r="CC165" i="6" s="1"/>
  <c r="BT165" i="6"/>
  <c r="BK165" i="6"/>
  <c r="BB165" i="6"/>
  <c r="AS165" i="6"/>
  <c r="AJ165" i="6"/>
  <c r="AA165" i="6"/>
  <c r="R165" i="6"/>
  <c r="I165" i="6"/>
  <c r="CA164" i="6"/>
  <c r="BZ164" i="6"/>
  <c r="BY164" i="6"/>
  <c r="BX164" i="6"/>
  <c r="BW164" i="6"/>
  <c r="BT164" i="6"/>
  <c r="CA163" i="6"/>
  <c r="BZ163" i="6"/>
  <c r="BY163" i="6"/>
  <c r="BX163" i="6"/>
  <c r="BW163" i="6"/>
  <c r="BV163" i="6"/>
  <c r="BT163" i="6"/>
  <c r="BK163" i="6"/>
  <c r="BB163" i="6"/>
  <c r="AS163" i="6"/>
  <c r="AJ163" i="6"/>
  <c r="AA163" i="6"/>
  <c r="R163" i="6"/>
  <c r="I163" i="6"/>
  <c r="CA162" i="6"/>
  <c r="BZ162" i="6"/>
  <c r="BY162" i="6"/>
  <c r="BX162" i="6"/>
  <c r="BW162" i="6"/>
  <c r="BT162" i="6"/>
  <c r="BK162" i="6"/>
  <c r="E162" i="11" s="1"/>
  <c r="BB162" i="6"/>
  <c r="AU162" i="6"/>
  <c r="AS162" i="6"/>
  <c r="AJ162" i="6"/>
  <c r="R162" i="6"/>
  <c r="BY161" i="6"/>
  <c r="BX161" i="6"/>
  <c r="AV161" i="6"/>
  <c r="AU161" i="6"/>
  <c r="CA160" i="6"/>
  <c r="BZ160" i="6"/>
  <c r="BY160" i="6"/>
  <c r="BX160" i="6"/>
  <c r="BW160" i="6"/>
  <c r="CA159" i="6"/>
  <c r="BZ159" i="6"/>
  <c r="BY159" i="6"/>
  <c r="BX159" i="6"/>
  <c r="BW159" i="6"/>
  <c r="BT159" i="6"/>
  <c r="BK159" i="6"/>
  <c r="AS159" i="6"/>
  <c r="AJ159" i="6"/>
  <c r="AA159" i="6"/>
  <c r="R159" i="6"/>
  <c r="I159" i="6"/>
  <c r="CA158" i="6"/>
  <c r="BZ158" i="6"/>
  <c r="BY158" i="6"/>
  <c r="BX158" i="6"/>
  <c r="BW158" i="6"/>
  <c r="BT158" i="6"/>
  <c r="BK158" i="6"/>
  <c r="AS158" i="6"/>
  <c r="AJ158" i="6"/>
  <c r="AA158" i="6"/>
  <c r="R158" i="6"/>
  <c r="K158" i="6"/>
  <c r="I158" i="6"/>
  <c r="CA157" i="6"/>
  <c r="BZ157" i="6"/>
  <c r="BY157" i="6"/>
  <c r="BX157" i="6"/>
  <c r="BV157" i="6"/>
  <c r="CA156" i="6"/>
  <c r="BZ156" i="6"/>
  <c r="BY156" i="6"/>
  <c r="BY170" i="6" s="1"/>
  <c r="BX156" i="6"/>
  <c r="BW156" i="6"/>
  <c r="BT156" i="6"/>
  <c r="BK156" i="6"/>
  <c r="E156" i="11" s="1"/>
  <c r="AS156" i="6"/>
  <c r="AJ156" i="6"/>
  <c r="AA156" i="6"/>
  <c r="I156" i="6"/>
  <c r="CC155" i="6"/>
  <c r="CB155" i="6"/>
  <c r="CA155" i="6"/>
  <c r="BZ155" i="6"/>
  <c r="BY155" i="6"/>
  <c r="BX155" i="6"/>
  <c r="BW155" i="6"/>
  <c r="BV155" i="6"/>
  <c r="BT155" i="6"/>
  <c r="BS155" i="6"/>
  <c r="BR155" i="6"/>
  <c r="BQ155" i="6"/>
  <c r="BP155" i="6"/>
  <c r="BO155" i="6"/>
  <c r="BN155" i="6"/>
  <c r="BM155" i="6"/>
  <c r="BK155" i="6"/>
  <c r="BJ155" i="6"/>
  <c r="BI155" i="6"/>
  <c r="BH155" i="6"/>
  <c r="BG155" i="6"/>
  <c r="BF155" i="6"/>
  <c r="BE155" i="6"/>
  <c r="BD155" i="6"/>
  <c r="BB155" i="6"/>
  <c r="BA155" i="6"/>
  <c r="AZ155" i="6"/>
  <c r="AY155" i="6"/>
  <c r="AX155" i="6"/>
  <c r="AW155" i="6"/>
  <c r="AV155" i="6"/>
  <c r="AU155" i="6"/>
  <c r="AS155" i="6"/>
  <c r="AR155" i="6"/>
  <c r="AQ155" i="6"/>
  <c r="AP155" i="6"/>
  <c r="AO155" i="6"/>
  <c r="AN155" i="6"/>
  <c r="AM155" i="6"/>
  <c r="AL155" i="6"/>
  <c r="AJ155" i="6"/>
  <c r="AI155" i="6"/>
  <c r="AH155" i="6"/>
  <c r="AG155" i="6"/>
  <c r="AF155" i="6"/>
  <c r="AE155" i="6"/>
  <c r="AD155" i="6"/>
  <c r="AC155" i="6"/>
  <c r="AA155" i="6"/>
  <c r="Z155" i="6"/>
  <c r="Y155" i="6"/>
  <c r="X155" i="6"/>
  <c r="W155" i="6"/>
  <c r="V155" i="6"/>
  <c r="U155" i="6"/>
  <c r="T155" i="6"/>
  <c r="R155" i="6"/>
  <c r="Q155" i="6"/>
  <c r="P155" i="6"/>
  <c r="O155" i="6"/>
  <c r="N155" i="6"/>
  <c r="M155" i="6"/>
  <c r="L155" i="6"/>
  <c r="K155" i="6"/>
  <c r="I155" i="6"/>
  <c r="H155" i="6"/>
  <c r="G155" i="6"/>
  <c r="F155" i="6"/>
  <c r="E155" i="6"/>
  <c r="D155" i="6"/>
  <c r="C155" i="6"/>
  <c r="B155" i="6"/>
  <c r="CB154" i="6"/>
  <c r="BS154" i="6"/>
  <c r="BR154" i="6"/>
  <c r="BQ154" i="6"/>
  <c r="BP154" i="6"/>
  <c r="BO154" i="6"/>
  <c r="BN154" i="6"/>
  <c r="BJ154" i="6"/>
  <c r="BI154" i="6"/>
  <c r="BH154" i="6"/>
  <c r="BG154" i="6"/>
  <c r="BF154" i="6"/>
  <c r="BA154" i="6"/>
  <c r="AZ154" i="6"/>
  <c r="AY154" i="6"/>
  <c r="AX154" i="6"/>
  <c r="AW154" i="6"/>
  <c r="AR154" i="6"/>
  <c r="AQ154" i="6"/>
  <c r="AP154" i="6"/>
  <c r="AN154" i="6"/>
  <c r="AI154" i="6"/>
  <c r="AH154" i="6"/>
  <c r="AG154" i="6"/>
  <c r="AF154" i="6"/>
  <c r="AE154" i="6"/>
  <c r="Z154" i="6"/>
  <c r="Y154" i="6"/>
  <c r="X154" i="6"/>
  <c r="V154" i="6"/>
  <c r="Q154" i="6"/>
  <c r="P154" i="6"/>
  <c r="O154" i="6"/>
  <c r="M154" i="6"/>
  <c r="H154" i="6"/>
  <c r="G154" i="6"/>
  <c r="F154" i="6"/>
  <c r="E154" i="6"/>
  <c r="D154" i="6"/>
  <c r="CA153" i="6"/>
  <c r="BZ153" i="6"/>
  <c r="BY153" i="6"/>
  <c r="BX153" i="6"/>
  <c r="BW153" i="6"/>
  <c r="BB153" i="6"/>
  <c r="CA152" i="6"/>
  <c r="BZ152" i="6"/>
  <c r="BY152" i="6"/>
  <c r="BX152" i="6"/>
  <c r="BW152" i="6"/>
  <c r="BV152" i="6"/>
  <c r="BT152" i="6"/>
  <c r="BK152" i="6"/>
  <c r="BB152" i="6"/>
  <c r="AS152" i="6"/>
  <c r="AJ152" i="6"/>
  <c r="AA152" i="6"/>
  <c r="R152" i="6"/>
  <c r="I152" i="6"/>
  <c r="CA151" i="6"/>
  <c r="BZ151" i="6"/>
  <c r="BY151" i="6"/>
  <c r="BX151" i="6"/>
  <c r="BN151" i="6"/>
  <c r="BM151" i="6"/>
  <c r="BT151" i="6" s="1"/>
  <c r="BE151" i="6"/>
  <c r="BE154" i="6" s="1"/>
  <c r="BD151" i="6"/>
  <c r="AV151" i="6"/>
  <c r="AV154" i="6" s="1"/>
  <c r="AM151" i="6"/>
  <c r="AS151" i="6" s="1"/>
  <c r="AL151" i="6"/>
  <c r="AD151" i="6"/>
  <c r="AD154" i="6" s="1"/>
  <c r="AC151" i="6"/>
  <c r="AJ151" i="6" s="1"/>
  <c r="U151" i="6"/>
  <c r="U154" i="6" s="1"/>
  <c r="T151" i="6"/>
  <c r="L151" i="6"/>
  <c r="L154" i="6" s="1"/>
  <c r="K151" i="6"/>
  <c r="R151" i="6" s="1"/>
  <c r="C151" i="6"/>
  <c r="B151" i="6"/>
  <c r="CA150" i="6"/>
  <c r="BZ150" i="6"/>
  <c r="BY150" i="6"/>
  <c r="BX150" i="6"/>
  <c r="BW150" i="6"/>
  <c r="BB150" i="6"/>
  <c r="CA149" i="6"/>
  <c r="BZ149" i="6"/>
  <c r="BY149" i="6"/>
  <c r="BX149" i="6"/>
  <c r="BW149" i="6"/>
  <c r="CA148" i="6"/>
  <c r="BZ148" i="6"/>
  <c r="BY148" i="6"/>
  <c r="BX148" i="6"/>
  <c r="BW148" i="6"/>
  <c r="CA147" i="6"/>
  <c r="BZ147" i="6"/>
  <c r="BY147" i="6"/>
  <c r="BX147" i="6"/>
  <c r="BW147" i="6"/>
  <c r="BM147" i="6"/>
  <c r="BT147" i="6" s="1"/>
  <c r="CA146" i="6"/>
  <c r="BZ146" i="6"/>
  <c r="BY146" i="6"/>
  <c r="BX146" i="6"/>
  <c r="BW146" i="6"/>
  <c r="BD146" i="6"/>
  <c r="BK146" i="6" s="1"/>
  <c r="BB146" i="6"/>
  <c r="AS146" i="6"/>
  <c r="AL146" i="6"/>
  <c r="AC146" i="6"/>
  <c r="AJ146" i="6" s="1"/>
  <c r="AA146" i="6"/>
  <c r="R146" i="6"/>
  <c r="I146" i="6"/>
  <c r="CA145" i="6"/>
  <c r="CA154" i="6" s="1"/>
  <c r="BZ145" i="6"/>
  <c r="BY145" i="6"/>
  <c r="BX145" i="6"/>
  <c r="BW145" i="6"/>
  <c r="BT145" i="6"/>
  <c r="BK145" i="6"/>
  <c r="BB145" i="6"/>
  <c r="AU145" i="6"/>
  <c r="AS145" i="6"/>
  <c r="AA145" i="6"/>
  <c r="R145" i="6"/>
  <c r="I145" i="6"/>
  <c r="CA144" i="6"/>
  <c r="BZ144" i="6"/>
  <c r="BZ154" i="6" s="1"/>
  <c r="BY144" i="6"/>
  <c r="BX144" i="6"/>
  <c r="BX154" i="6" s="1"/>
  <c r="BW144" i="6"/>
  <c r="CC143" i="6"/>
  <c r="CB143" i="6"/>
  <c r="CA143" i="6"/>
  <c r="BZ143" i="6"/>
  <c r="BY143" i="6"/>
  <c r="BX143" i="6"/>
  <c r="BW143" i="6"/>
  <c r="BV143" i="6"/>
  <c r="BT143" i="6"/>
  <c r="BS143" i="6"/>
  <c r="BR143" i="6"/>
  <c r="BQ143" i="6"/>
  <c r="BP143" i="6"/>
  <c r="BO143" i="6"/>
  <c r="BN143" i="6"/>
  <c r="BM143" i="6"/>
  <c r="BK143" i="6"/>
  <c r="BJ143" i="6"/>
  <c r="BI143" i="6"/>
  <c r="BH143" i="6"/>
  <c r="BG143" i="6"/>
  <c r="BF143" i="6"/>
  <c r="BE143" i="6"/>
  <c r="BD143" i="6"/>
  <c r="BB143" i="6"/>
  <c r="BA143" i="6"/>
  <c r="AZ143" i="6"/>
  <c r="AY143" i="6"/>
  <c r="AX143" i="6"/>
  <c r="AW143" i="6"/>
  <c r="AV143" i="6"/>
  <c r="AU143" i="6"/>
  <c r="AS143" i="6"/>
  <c r="AR143" i="6"/>
  <c r="AQ143" i="6"/>
  <c r="AP143" i="6"/>
  <c r="AO143" i="6"/>
  <c r="AN143" i="6"/>
  <c r="AM143" i="6"/>
  <c r="AL143" i="6"/>
  <c r="AJ143" i="6"/>
  <c r="AI143" i="6"/>
  <c r="AH143" i="6"/>
  <c r="AG143" i="6"/>
  <c r="AF143" i="6"/>
  <c r="AE143" i="6"/>
  <c r="AD143" i="6"/>
  <c r="AC143" i="6"/>
  <c r="AA143" i="6"/>
  <c r="Z143" i="6"/>
  <c r="Y143" i="6"/>
  <c r="X143" i="6"/>
  <c r="W143" i="6"/>
  <c r="V143" i="6"/>
  <c r="U143" i="6"/>
  <c r="T143" i="6"/>
  <c r="R143" i="6"/>
  <c r="Q143" i="6"/>
  <c r="P143" i="6"/>
  <c r="O143" i="6"/>
  <c r="N143" i="6"/>
  <c r="M143" i="6"/>
  <c r="L143" i="6"/>
  <c r="K143" i="6"/>
  <c r="I143" i="6"/>
  <c r="H143" i="6"/>
  <c r="G143" i="6"/>
  <c r="F143" i="6"/>
  <c r="E143" i="6"/>
  <c r="D143" i="6"/>
  <c r="C143" i="6"/>
  <c r="B143" i="6"/>
  <c r="AR140" i="6"/>
  <c r="AP140" i="6"/>
  <c r="Q140" i="6"/>
  <c r="E140" i="6"/>
  <c r="CA139" i="6"/>
  <c r="BZ139" i="6"/>
  <c r="BY139" i="6"/>
  <c r="CC139" i="6" s="1"/>
  <c r="BX139" i="6"/>
  <c r="BW139" i="6"/>
  <c r="BV139" i="6"/>
  <c r="BT139" i="6"/>
  <c r="BK139" i="6"/>
  <c r="BB139" i="6"/>
  <c r="AS139" i="6"/>
  <c r="AJ139" i="6"/>
  <c r="AA139" i="6"/>
  <c r="R139" i="6"/>
  <c r="I139" i="6"/>
  <c r="CA138" i="6"/>
  <c r="BZ138" i="6"/>
  <c r="BY138" i="6"/>
  <c r="BX138" i="6"/>
  <c r="BW138" i="6"/>
  <c r="BV138" i="6"/>
  <c r="CC138" i="6" s="1"/>
  <c r="BT138" i="6"/>
  <c r="BK138" i="6"/>
  <c r="BB138" i="6"/>
  <c r="AS138" i="6"/>
  <c r="AJ138" i="6"/>
  <c r="AA138" i="6"/>
  <c r="R138" i="6"/>
  <c r="I138" i="6"/>
  <c r="CA137" i="6"/>
  <c r="BZ137" i="6"/>
  <c r="BY137" i="6"/>
  <c r="BX137" i="6"/>
  <c r="BW137" i="6"/>
  <c r="BT137" i="6"/>
  <c r="BK137" i="6"/>
  <c r="AS137" i="6"/>
  <c r="AJ137" i="6"/>
  <c r="AA137" i="6"/>
  <c r="R137" i="6"/>
  <c r="I137" i="6"/>
  <c r="BP135" i="6"/>
  <c r="BF135" i="6"/>
  <c r="BE135" i="6"/>
  <c r="AX135" i="6"/>
  <c r="AR135" i="6"/>
  <c r="AO135" i="6"/>
  <c r="AF135" i="6"/>
  <c r="AE135" i="6"/>
  <c r="W135" i="6"/>
  <c r="N135" i="6"/>
  <c r="E135" i="6"/>
  <c r="BY135" i="6" s="1"/>
  <c r="W133" i="6"/>
  <c r="P133" i="6"/>
  <c r="CB132" i="6"/>
  <c r="CB133" i="6" s="1"/>
  <c r="BQ132" i="6"/>
  <c r="BI132" i="6"/>
  <c r="BA132" i="6"/>
  <c r="AQ132" i="6"/>
  <c r="O132" i="6"/>
  <c r="O133" i="6" s="1"/>
  <c r="CB131" i="6"/>
  <c r="BZ131" i="6"/>
  <c r="BS131" i="6"/>
  <c r="BR131" i="6"/>
  <c r="BQ131" i="6"/>
  <c r="BO131" i="6"/>
  <c r="BN131" i="6"/>
  <c r="BJ131" i="6"/>
  <c r="BJ132" i="6" s="1"/>
  <c r="BI131" i="6"/>
  <c r="BH131" i="6"/>
  <c r="BA131" i="6"/>
  <c r="AZ131" i="6"/>
  <c r="AY131" i="6"/>
  <c r="AX131" i="6"/>
  <c r="AR131" i="6"/>
  <c r="AP131" i="6"/>
  <c r="AO131" i="6"/>
  <c r="AO132" i="6" s="1"/>
  <c r="AM131" i="6"/>
  <c r="AI131" i="6"/>
  <c r="AH131" i="6"/>
  <c r="AH132" i="6" s="1"/>
  <c r="X131" i="6"/>
  <c r="V131" i="6"/>
  <c r="U131" i="6"/>
  <c r="T131" i="6"/>
  <c r="P131" i="6"/>
  <c r="M131" i="6"/>
  <c r="G131" i="6"/>
  <c r="F131" i="6"/>
  <c r="E131" i="6"/>
  <c r="B131" i="6"/>
  <c r="BZ130" i="6"/>
  <c r="BP130" i="6"/>
  <c r="BP140" i="6" s="1"/>
  <c r="BO130" i="6"/>
  <c r="BN130" i="6"/>
  <c r="BM130" i="6"/>
  <c r="BG130" i="6"/>
  <c r="BG131" i="6" s="1"/>
  <c r="BF130" i="6"/>
  <c r="BF131" i="6" s="1"/>
  <c r="BE130" i="6"/>
  <c r="BD130" i="6"/>
  <c r="AX130" i="6"/>
  <c r="AX140" i="6" s="1"/>
  <c r="AW130" i="6"/>
  <c r="AW131" i="6" s="1"/>
  <c r="AV130" i="6"/>
  <c r="BB130" i="6" s="1"/>
  <c r="AU130" i="6"/>
  <c r="AR130" i="6"/>
  <c r="AQ130" i="6"/>
  <c r="AQ131" i="6" s="1"/>
  <c r="AP130" i="6"/>
  <c r="AO130" i="6"/>
  <c r="AO140" i="6" s="1"/>
  <c r="AN130" i="6"/>
  <c r="AN131" i="6" s="1"/>
  <c r="AM130" i="6"/>
  <c r="AL130" i="6"/>
  <c r="AJ130" i="6"/>
  <c r="AI130" i="6"/>
  <c r="AH130" i="6"/>
  <c r="AG130" i="6"/>
  <c r="AG131" i="6" s="1"/>
  <c r="AF130" i="6"/>
  <c r="AF140" i="6" s="1"/>
  <c r="AE130" i="6"/>
  <c r="AE131" i="6" s="1"/>
  <c r="AD130" i="6"/>
  <c r="AC130" i="6"/>
  <c r="Z130" i="6"/>
  <c r="Z131" i="6" s="1"/>
  <c r="Y130" i="6"/>
  <c r="Y131" i="6" s="1"/>
  <c r="X130" i="6"/>
  <c r="W130" i="6"/>
  <c r="W140" i="6" s="1"/>
  <c r="V130" i="6"/>
  <c r="U130" i="6"/>
  <c r="AA130" i="6" s="1"/>
  <c r="T130" i="6"/>
  <c r="Q130" i="6"/>
  <c r="Q131" i="6" s="1"/>
  <c r="P130" i="6"/>
  <c r="O130" i="6"/>
  <c r="O131" i="6" s="1"/>
  <c r="N130" i="6"/>
  <c r="N140" i="6" s="1"/>
  <c r="M130" i="6"/>
  <c r="L130" i="6"/>
  <c r="K130" i="6"/>
  <c r="H130" i="6"/>
  <c r="H131" i="6" s="1"/>
  <c r="G130" i="6"/>
  <c r="F130" i="6"/>
  <c r="E130" i="6"/>
  <c r="BY130" i="6" s="1"/>
  <c r="D130" i="6"/>
  <c r="BX130" i="6" s="1"/>
  <c r="C130" i="6"/>
  <c r="B130" i="6"/>
  <c r="CA129" i="6"/>
  <c r="BZ129" i="6"/>
  <c r="BY129" i="6"/>
  <c r="BX129" i="6"/>
  <c r="BN129" i="6"/>
  <c r="BM129" i="6"/>
  <c r="BE129" i="6"/>
  <c r="BD129" i="6"/>
  <c r="AV129" i="6"/>
  <c r="AV131" i="6" s="1"/>
  <c r="AU129" i="6"/>
  <c r="AM129" i="6"/>
  <c r="AD129" i="6"/>
  <c r="AA129" i="6"/>
  <c r="L129" i="6"/>
  <c r="K129" i="6"/>
  <c r="R129" i="6" s="1"/>
  <c r="C129" i="6"/>
  <c r="B129" i="6"/>
  <c r="BV129" i="6" s="1"/>
  <c r="CA128" i="6"/>
  <c r="BZ128" i="6"/>
  <c r="BY128" i="6"/>
  <c r="BX128" i="6"/>
  <c r="BW128" i="6"/>
  <c r="BT128" i="6"/>
  <c r="BK128" i="6"/>
  <c r="BB128" i="6"/>
  <c r="AS128" i="6"/>
  <c r="AJ128" i="6"/>
  <c r="AA128" i="6"/>
  <c r="I128" i="6"/>
  <c r="CA127" i="6"/>
  <c r="BZ127" i="6"/>
  <c r="BY127" i="6"/>
  <c r="BX127" i="6"/>
  <c r="BV127" i="6"/>
  <c r="BT127" i="6"/>
  <c r="BK127" i="6"/>
  <c r="BB127" i="6"/>
  <c r="AS127" i="6"/>
  <c r="AJ127" i="6"/>
  <c r="AA127" i="6"/>
  <c r="R127" i="6"/>
  <c r="I127" i="6"/>
  <c r="CA126" i="6"/>
  <c r="BZ126" i="6"/>
  <c r="BY126" i="6"/>
  <c r="BX126" i="6"/>
  <c r="BW126" i="6"/>
  <c r="BV126" i="6"/>
  <c r="BT126" i="6"/>
  <c r="BK126" i="6"/>
  <c r="BB126" i="6"/>
  <c r="AS126" i="6"/>
  <c r="AJ126" i="6"/>
  <c r="AA126" i="6"/>
  <c r="R126" i="6"/>
  <c r="I126" i="6"/>
  <c r="CA125" i="6"/>
  <c r="BZ125" i="6"/>
  <c r="BY125" i="6"/>
  <c r="BX125" i="6"/>
  <c r="BV125" i="6"/>
  <c r="BT125" i="6"/>
  <c r="BK125" i="6"/>
  <c r="BB125" i="6"/>
  <c r="AS125" i="6"/>
  <c r="AJ125" i="6"/>
  <c r="AA125" i="6"/>
  <c r="R125" i="6"/>
  <c r="I125" i="6"/>
  <c r="CA124" i="6"/>
  <c r="BZ124" i="6"/>
  <c r="BY124" i="6"/>
  <c r="BX124" i="6"/>
  <c r="BV124" i="6"/>
  <c r="BT124" i="6"/>
  <c r="BK124" i="6"/>
  <c r="BB124" i="6"/>
  <c r="AS124" i="6"/>
  <c r="AA124" i="6"/>
  <c r="R124" i="6"/>
  <c r="I124" i="6"/>
  <c r="CA123" i="6"/>
  <c r="BZ123" i="6"/>
  <c r="BY123" i="6"/>
  <c r="BX123" i="6"/>
  <c r="BV123" i="6"/>
  <c r="BT123" i="6"/>
  <c r="BK123" i="6"/>
  <c r="BB123" i="6"/>
  <c r="AS123" i="6"/>
  <c r="AA123" i="6"/>
  <c r="R123" i="6"/>
  <c r="BW123" i="6"/>
  <c r="CB121" i="6"/>
  <c r="BS121" i="6"/>
  <c r="BS132" i="6" s="1"/>
  <c r="BS133" i="6" s="1"/>
  <c r="BR121" i="6"/>
  <c r="BP121" i="6"/>
  <c r="BJ121" i="6"/>
  <c r="BI121" i="6"/>
  <c r="BH121" i="6"/>
  <c r="BH132" i="6" s="1"/>
  <c r="BG121" i="6"/>
  <c r="BG132" i="6" s="1"/>
  <c r="BA121" i="6"/>
  <c r="AZ121" i="6"/>
  <c r="AZ132" i="6" s="1"/>
  <c r="AY121" i="6"/>
  <c r="AY132" i="6" s="1"/>
  <c r="AV121" i="6"/>
  <c r="AV132" i="6" s="1"/>
  <c r="AR121" i="6"/>
  <c r="AR132" i="6" s="1"/>
  <c r="AQ121" i="6"/>
  <c r="AN121" i="6"/>
  <c r="AN132" i="6" s="1"/>
  <c r="AI121" i="6"/>
  <c r="AH121" i="6"/>
  <c r="AG121" i="6"/>
  <c r="AG132" i="6" s="1"/>
  <c r="AF121" i="6"/>
  <c r="Y121" i="6"/>
  <c r="X121" i="6"/>
  <c r="X132" i="6" s="1"/>
  <c r="V121" i="6"/>
  <c r="V132" i="6" s="1"/>
  <c r="Q121" i="6"/>
  <c r="P121" i="6"/>
  <c r="P132" i="6" s="1"/>
  <c r="O121" i="6"/>
  <c r="H121" i="6"/>
  <c r="G121" i="6"/>
  <c r="G132" i="6" s="1"/>
  <c r="F121" i="6"/>
  <c r="F132" i="6" s="1"/>
  <c r="E121" i="6"/>
  <c r="E132" i="6" s="1"/>
  <c r="CA120" i="6"/>
  <c r="BZ120" i="6"/>
  <c r="BY120" i="6"/>
  <c r="BW120" i="6"/>
  <c r="BV120" i="6"/>
  <c r="BO120" i="6"/>
  <c r="BT120" i="6" s="1"/>
  <c r="BK120" i="6"/>
  <c r="E120" i="11" s="1"/>
  <c r="BB120" i="6"/>
  <c r="AS120" i="6"/>
  <c r="AJ120" i="6"/>
  <c r="AA120" i="6"/>
  <c r="R120" i="6"/>
  <c r="CA119" i="6"/>
  <c r="BZ119" i="6"/>
  <c r="BY119" i="6"/>
  <c r="BX119" i="6"/>
  <c r="BW119" i="6"/>
  <c r="BT119" i="6"/>
  <c r="BM119" i="6"/>
  <c r="BK119" i="6"/>
  <c r="E119" i="11" s="1"/>
  <c r="BB119" i="6"/>
  <c r="AU119" i="6"/>
  <c r="AS119" i="6"/>
  <c r="AJ119" i="6"/>
  <c r="AA119" i="6"/>
  <c r="R119" i="6"/>
  <c r="BQ118" i="6"/>
  <c r="BQ121" i="6" s="1"/>
  <c r="BO118" i="6"/>
  <c r="BN118" i="6"/>
  <c r="BM118" i="6"/>
  <c r="BT118" i="6" s="1"/>
  <c r="BK118" i="6"/>
  <c r="E118" i="11" s="1"/>
  <c r="BJ118" i="6"/>
  <c r="BI118" i="6"/>
  <c r="CA118" i="6" s="1"/>
  <c r="BH118" i="6"/>
  <c r="BG118" i="6"/>
  <c r="BF118" i="6"/>
  <c r="BE118" i="6"/>
  <c r="AY118" i="6"/>
  <c r="AX118" i="6"/>
  <c r="AX121" i="6" s="1"/>
  <c r="AX132" i="6" s="1"/>
  <c r="AW118" i="6"/>
  <c r="AW121" i="6" s="1"/>
  <c r="AW132" i="6" s="1"/>
  <c r="AP118" i="6"/>
  <c r="AP121" i="6" s="1"/>
  <c r="AO118" i="6"/>
  <c r="AS118" i="6"/>
  <c r="AJ118" i="6"/>
  <c r="AG118" i="6"/>
  <c r="AF118" i="6"/>
  <c r="AE121" i="6"/>
  <c r="AE132" i="6" s="1"/>
  <c r="Z118" i="6"/>
  <c r="Z121" i="6" s="1"/>
  <c r="Y118" i="6"/>
  <c r="X118" i="6"/>
  <c r="W118" i="6"/>
  <c r="AA118" i="6"/>
  <c r="O118" i="6"/>
  <c r="N118" i="6"/>
  <c r="BY118" i="6" s="1"/>
  <c r="M121" i="6"/>
  <c r="M132" i="6" s="1"/>
  <c r="E118" i="6"/>
  <c r="D118" i="6"/>
  <c r="I118" i="6"/>
  <c r="CA117" i="6"/>
  <c r="BZ117" i="6"/>
  <c r="BY117" i="6"/>
  <c r="BX117" i="6"/>
  <c r="BW117" i="6"/>
  <c r="BM117" i="6"/>
  <c r="BT117" i="6" s="1"/>
  <c r="BK117" i="6"/>
  <c r="E117" i="11" s="1"/>
  <c r="BB117" i="6"/>
  <c r="AU117" i="6"/>
  <c r="AS117" i="6"/>
  <c r="AJ117" i="6"/>
  <c r="R117" i="6"/>
  <c r="I117" i="6"/>
  <c r="CA116" i="6"/>
  <c r="BZ116" i="6"/>
  <c r="BY116" i="6"/>
  <c r="BX116" i="6"/>
  <c r="BW116" i="6"/>
  <c r="BT116" i="6"/>
  <c r="BK116" i="6"/>
  <c r="E116" i="11" s="1"/>
  <c r="BB116" i="6"/>
  <c r="AS116" i="6"/>
  <c r="AJ116" i="6"/>
  <c r="AA116" i="6"/>
  <c r="I116" i="6"/>
  <c r="CA115" i="6"/>
  <c r="BZ115" i="6"/>
  <c r="BY115" i="6"/>
  <c r="BV115" i="6"/>
  <c r="BB115" i="6"/>
  <c r="E115" i="9" s="1"/>
  <c r="CA114" i="6"/>
  <c r="BZ114" i="6"/>
  <c r="BY114" i="6"/>
  <c r="BX114" i="6"/>
  <c r="BW114" i="6"/>
  <c r="BT114" i="6"/>
  <c r="AK114" i="6"/>
  <c r="CA113" i="6"/>
  <c r="BZ113" i="6"/>
  <c r="BY113" i="6"/>
  <c r="BX113" i="6"/>
  <c r="BW113" i="6"/>
  <c r="BT113" i="6"/>
  <c r="BK113" i="6"/>
  <c r="E113" i="11" s="1"/>
  <c r="BB113" i="6"/>
  <c r="E113" i="9" s="1"/>
  <c r="AS113" i="6"/>
  <c r="AJ113" i="6"/>
  <c r="AA113" i="6"/>
  <c r="R113" i="6"/>
  <c r="BV113" i="6"/>
  <c r="I113" i="6"/>
  <c r="CA112" i="6"/>
  <c r="BZ112" i="6"/>
  <c r="BY112" i="6"/>
  <c r="BX112" i="6"/>
  <c r="BW112" i="6"/>
  <c r="BT112" i="6"/>
  <c r="BK112" i="6"/>
  <c r="E112" i="11" s="1"/>
  <c r="BB112" i="6"/>
  <c r="E112" i="9" s="1"/>
  <c r="AS112" i="6"/>
  <c r="AJ112" i="6"/>
  <c r="AA112" i="6"/>
  <c r="R112" i="6"/>
  <c r="I112" i="6"/>
  <c r="CA111" i="6"/>
  <c r="BZ111" i="6"/>
  <c r="BY111" i="6"/>
  <c r="BX111" i="6"/>
  <c r="BW111" i="6"/>
  <c r="BT111" i="6"/>
  <c r="BK111" i="6"/>
  <c r="E111" i="11" s="1"/>
  <c r="BB111" i="6"/>
  <c r="E111" i="9" s="1"/>
  <c r="AS111" i="6"/>
  <c r="AJ111" i="6"/>
  <c r="AA111" i="6"/>
  <c r="R111" i="6"/>
  <c r="CA110" i="6"/>
  <c r="BZ110" i="6"/>
  <c r="BY110" i="6"/>
  <c r="BX110" i="6"/>
  <c r="BW110" i="6"/>
  <c r="BT110" i="6"/>
  <c r="BK110" i="6"/>
  <c r="E110" i="11" s="1"/>
  <c r="BB110" i="6"/>
  <c r="E110" i="9" s="1"/>
  <c r="AS110" i="6"/>
  <c r="AJ110" i="6"/>
  <c r="AA110" i="6"/>
  <c r="R110" i="6"/>
  <c r="I110" i="6"/>
  <c r="CA109" i="6"/>
  <c r="BZ109" i="6"/>
  <c r="BY109" i="6"/>
  <c r="BX109" i="6"/>
  <c r="BW109" i="6"/>
  <c r="BT109" i="6"/>
  <c r="BK109" i="6"/>
  <c r="E109" i="11" s="1"/>
  <c r="BB109" i="6"/>
  <c r="E109" i="9" s="1"/>
  <c r="AS109" i="6"/>
  <c r="AJ109" i="6"/>
  <c r="AA109" i="6"/>
  <c r="R109" i="6"/>
  <c r="CA108" i="6"/>
  <c r="BZ108" i="6"/>
  <c r="BY108" i="6"/>
  <c r="BX108" i="6"/>
  <c r="BW108" i="6"/>
  <c r="BV108" i="6"/>
  <c r="BT108" i="6"/>
  <c r="BK108" i="6"/>
  <c r="E108" i="11" s="1"/>
  <c r="BB108" i="6"/>
  <c r="E108" i="9" s="1"/>
  <c r="AS108" i="6"/>
  <c r="AJ108" i="6"/>
  <c r="AA108" i="6"/>
  <c r="R108" i="6"/>
  <c r="I108" i="6"/>
  <c r="CA107" i="6"/>
  <c r="CA121" i="6" s="1"/>
  <c r="BZ107" i="6"/>
  <c r="BY107" i="6"/>
  <c r="BX107" i="6"/>
  <c r="BW107" i="6"/>
  <c r="BM121" i="6"/>
  <c r="BB107" i="6"/>
  <c r="E107" i="9" s="1"/>
  <c r="AS107" i="6"/>
  <c r="AJ107" i="6"/>
  <c r="R107" i="6"/>
  <c r="BV107" i="6"/>
  <c r="CC105" i="6"/>
  <c r="CB105" i="6"/>
  <c r="CA105" i="6"/>
  <c r="BZ105" i="6"/>
  <c r="BY105" i="6"/>
  <c r="BX105" i="6"/>
  <c r="BW105" i="6"/>
  <c r="BV105" i="6"/>
  <c r="BT105" i="6"/>
  <c r="BS105" i="6"/>
  <c r="BR105" i="6"/>
  <c r="BQ105" i="6"/>
  <c r="BP105" i="6"/>
  <c r="BO105" i="6"/>
  <c r="BN105" i="6"/>
  <c r="BM105" i="6"/>
  <c r="BK105" i="6"/>
  <c r="BJ105" i="6"/>
  <c r="BI105" i="6"/>
  <c r="BH105" i="6"/>
  <c r="BG105" i="6"/>
  <c r="BF105" i="6"/>
  <c r="BE105" i="6"/>
  <c r="BD105" i="6"/>
  <c r="BB105" i="6"/>
  <c r="BA105" i="6"/>
  <c r="AZ105" i="6"/>
  <c r="AY105" i="6"/>
  <c r="AX105" i="6"/>
  <c r="AW105" i="6"/>
  <c r="AV105" i="6"/>
  <c r="AU105" i="6"/>
  <c r="AS105" i="6"/>
  <c r="AR105" i="6"/>
  <c r="AQ105" i="6"/>
  <c r="AP105" i="6"/>
  <c r="AO105" i="6"/>
  <c r="AN105" i="6"/>
  <c r="AM105" i="6"/>
  <c r="AL105" i="6"/>
  <c r="AJ105" i="6"/>
  <c r="AI105" i="6"/>
  <c r="AH105" i="6"/>
  <c r="AG105" i="6"/>
  <c r="AF105" i="6"/>
  <c r="AE105" i="6"/>
  <c r="AD105" i="6"/>
  <c r="AC105" i="6"/>
  <c r="AA105" i="6"/>
  <c r="Z105" i="6"/>
  <c r="Y105" i="6"/>
  <c r="X105" i="6"/>
  <c r="W105" i="6"/>
  <c r="V105" i="6"/>
  <c r="U105" i="6"/>
  <c r="T105" i="6"/>
  <c r="R105" i="6"/>
  <c r="Q105" i="6"/>
  <c r="P105" i="6"/>
  <c r="O105" i="6"/>
  <c r="N105" i="6"/>
  <c r="M105" i="6"/>
  <c r="L105" i="6"/>
  <c r="K105" i="6"/>
  <c r="I105" i="6"/>
  <c r="H105" i="6"/>
  <c r="G105" i="6"/>
  <c r="F105" i="6"/>
  <c r="E105" i="6"/>
  <c r="D105" i="6"/>
  <c r="C105" i="6"/>
  <c r="B105" i="6"/>
  <c r="BW103" i="6"/>
  <c r="BT103" i="6"/>
  <c r="BS103" i="6"/>
  <c r="BR103" i="6"/>
  <c r="BQ103" i="6"/>
  <c r="BP103" i="6"/>
  <c r="BO103" i="6"/>
  <c r="BN103" i="6"/>
  <c r="BM103" i="6"/>
  <c r="BG103" i="6"/>
  <c r="BF103" i="6"/>
  <c r="BE103" i="6"/>
  <c r="BD103" i="6"/>
  <c r="AX103" i="6"/>
  <c r="AW103" i="6"/>
  <c r="AV103" i="6"/>
  <c r="AU103" i="6"/>
  <c r="AR103" i="6"/>
  <c r="AQ103" i="6"/>
  <c r="AP103" i="6"/>
  <c r="AO103" i="6"/>
  <c r="AN103" i="6"/>
  <c r="AM103" i="6"/>
  <c r="AL103" i="6"/>
  <c r="AF103" i="6"/>
  <c r="AE103" i="6"/>
  <c r="AD103" i="6"/>
  <c r="AC103" i="6"/>
  <c r="W103" i="6"/>
  <c r="V103" i="6"/>
  <c r="U103" i="6"/>
  <c r="T103" i="6"/>
  <c r="P103" i="6"/>
  <c r="O103" i="6"/>
  <c r="N103" i="6"/>
  <c r="N219" i="6" s="1"/>
  <c r="N220" i="6" s="1"/>
  <c r="M103" i="6"/>
  <c r="L103" i="6"/>
  <c r="K103" i="6"/>
  <c r="G103" i="6"/>
  <c r="E103" i="6"/>
  <c r="D103" i="6"/>
  <c r="C103" i="6"/>
  <c r="B103" i="6"/>
  <c r="CC102" i="6"/>
  <c r="CA102" i="6"/>
  <c r="BZ102" i="6"/>
  <c r="BY102" i="6"/>
  <c r="BX102" i="6"/>
  <c r="BW102" i="6"/>
  <c r="BV102" i="6"/>
  <c r="BT102" i="6"/>
  <c r="BK102" i="6"/>
  <c r="BB102" i="6"/>
  <c r="AS102" i="6"/>
  <c r="AJ102" i="6"/>
  <c r="AA102" i="6"/>
  <c r="R102" i="6"/>
  <c r="I102" i="6"/>
  <c r="CA101" i="6"/>
  <c r="BZ101" i="6"/>
  <c r="BY101" i="6"/>
  <c r="BX101" i="6"/>
  <c r="BW101" i="6"/>
  <c r="BV101" i="6"/>
  <c r="BT101" i="6"/>
  <c r="BK101" i="6"/>
  <c r="BB101" i="6"/>
  <c r="AS101" i="6"/>
  <c r="AJ101" i="6"/>
  <c r="AA101" i="6"/>
  <c r="R101" i="6"/>
  <c r="I101" i="6"/>
  <c r="CB100" i="6"/>
  <c r="CB103" i="6" s="1"/>
  <c r="BY100" i="6"/>
  <c r="BX100" i="6"/>
  <c r="BW100" i="6"/>
  <c r="BV100" i="6"/>
  <c r="BV103" i="6" s="1"/>
  <c r="BS100" i="6"/>
  <c r="BT100" i="6" s="1"/>
  <c r="BR100" i="6"/>
  <c r="BQ100" i="6"/>
  <c r="BJ100" i="6"/>
  <c r="BJ103" i="6" s="1"/>
  <c r="BI100" i="6"/>
  <c r="BI103" i="6" s="1"/>
  <c r="BH100" i="6"/>
  <c r="BH103" i="6" s="1"/>
  <c r="BA100" i="6"/>
  <c r="BA103" i="6" s="1"/>
  <c r="AZ100" i="6"/>
  <c r="AZ103" i="6" s="1"/>
  <c r="AY100" i="6"/>
  <c r="AR100" i="6"/>
  <c r="AS100" i="6" s="1"/>
  <c r="AQ100" i="6"/>
  <c r="AP100" i="6"/>
  <c r="AI100" i="6"/>
  <c r="AI103" i="6" s="1"/>
  <c r="AH100" i="6"/>
  <c r="AH103" i="6" s="1"/>
  <c r="AG100" i="6"/>
  <c r="AJ100" i="6" s="1"/>
  <c r="Z100" i="6"/>
  <c r="Z103" i="6" s="1"/>
  <c r="Y100" i="6"/>
  <c r="Y103" i="6" s="1"/>
  <c r="X100" i="6"/>
  <c r="Q100" i="6"/>
  <c r="Q103" i="6" s="1"/>
  <c r="P100" i="6"/>
  <c r="O100" i="6"/>
  <c r="I100" i="6"/>
  <c r="H100" i="6"/>
  <c r="H103" i="6" s="1"/>
  <c r="G100" i="6"/>
  <c r="F100" i="6"/>
  <c r="CA99" i="6"/>
  <c r="BZ99" i="6"/>
  <c r="BY99" i="6"/>
  <c r="BX99" i="6"/>
  <c r="BW99" i="6"/>
  <c r="BV99" i="6"/>
  <c r="BT99" i="6"/>
  <c r="BK99" i="6"/>
  <c r="BB99" i="6"/>
  <c r="AS99" i="6"/>
  <c r="AJ99" i="6"/>
  <c r="AA99" i="6"/>
  <c r="R99" i="6"/>
  <c r="I99" i="6"/>
  <c r="G97" i="6"/>
  <c r="BO96" i="6"/>
  <c r="BN96" i="6"/>
  <c r="BM96" i="6"/>
  <c r="BI96" i="6"/>
  <c r="BH96" i="6"/>
  <c r="BF96" i="6"/>
  <c r="BE96" i="6"/>
  <c r="BD96" i="6"/>
  <c r="AW96" i="6"/>
  <c r="AV96" i="6"/>
  <c r="AU96" i="6"/>
  <c r="AQ96" i="6"/>
  <c r="AN96" i="6"/>
  <c r="AM96" i="6"/>
  <c r="AL96" i="6"/>
  <c r="AH96" i="6"/>
  <c r="AF96" i="6"/>
  <c r="AE96" i="6"/>
  <c r="AD96" i="6"/>
  <c r="AC96" i="6"/>
  <c r="Y96" i="6"/>
  <c r="V96" i="6"/>
  <c r="U96" i="6"/>
  <c r="T96" i="6"/>
  <c r="P96" i="6"/>
  <c r="M96" i="6"/>
  <c r="L96" i="6"/>
  <c r="K96" i="6"/>
  <c r="G96" i="6"/>
  <c r="D96" i="6"/>
  <c r="C96" i="6"/>
  <c r="B96" i="6"/>
  <c r="CC95" i="6"/>
  <c r="CA95" i="6"/>
  <c r="BZ95" i="6"/>
  <c r="BY95" i="6"/>
  <c r="BX95" i="6"/>
  <c r="BW95" i="6"/>
  <c r="BV95" i="6"/>
  <c r="BT95" i="6"/>
  <c r="BK95" i="6"/>
  <c r="BB95" i="6"/>
  <c r="AS95" i="6"/>
  <c r="AJ95" i="6"/>
  <c r="AA95" i="6"/>
  <c r="R95" i="6"/>
  <c r="I95" i="6"/>
  <c r="CA94" i="6"/>
  <c r="BZ94" i="6"/>
  <c r="BY94" i="6"/>
  <c r="BX94" i="6"/>
  <c r="BW94" i="6"/>
  <c r="BT94" i="6"/>
  <c r="BK94" i="6"/>
  <c r="BB94" i="6"/>
  <c r="AS94" i="6"/>
  <c r="AJ94" i="6"/>
  <c r="AC94" i="6"/>
  <c r="AA94" i="6"/>
  <c r="R94" i="6"/>
  <c r="I94" i="6"/>
  <c r="BY93" i="6"/>
  <c r="BX93" i="6"/>
  <c r="BX96" i="6" s="1"/>
  <c r="BW93" i="6"/>
  <c r="BV93" i="6"/>
  <c r="CA92" i="6"/>
  <c r="BZ92" i="6"/>
  <c r="BY92" i="6"/>
  <c r="BX92" i="6"/>
  <c r="BW92" i="6"/>
  <c r="BW96" i="6" s="1"/>
  <c r="BV92" i="6"/>
  <c r="BT92" i="6"/>
  <c r="BK92" i="6"/>
  <c r="BB92" i="6"/>
  <c r="AS92" i="6"/>
  <c r="AJ92" i="6"/>
  <c r="AA92" i="6"/>
  <c r="R92" i="6"/>
  <c r="I92" i="6"/>
  <c r="CB90" i="6"/>
  <c r="BS90" i="6"/>
  <c r="BR90" i="6"/>
  <c r="BQ90" i="6"/>
  <c r="BN90" i="6"/>
  <c r="BM90" i="6"/>
  <c r="BJ90" i="6"/>
  <c r="BI90" i="6"/>
  <c r="BH90" i="6"/>
  <c r="BE90" i="6"/>
  <c r="BD90" i="6"/>
  <c r="BA90" i="6"/>
  <c r="AZ90" i="6"/>
  <c r="AY90" i="6"/>
  <c r="AU90" i="6"/>
  <c r="AR90" i="6"/>
  <c r="AQ90" i="6"/>
  <c r="AP90" i="6"/>
  <c r="AL90" i="6"/>
  <c r="AI90" i="6"/>
  <c r="AH90" i="6"/>
  <c r="AG90" i="6"/>
  <c r="AF90" i="6"/>
  <c r="AC90" i="6"/>
  <c r="Z90" i="6"/>
  <c r="Y90" i="6"/>
  <c r="X90" i="6"/>
  <c r="T90" i="6"/>
  <c r="Q90" i="6"/>
  <c r="P90" i="6"/>
  <c r="O90" i="6"/>
  <c r="K90" i="6"/>
  <c r="H90" i="6"/>
  <c r="G90" i="6"/>
  <c r="F90" i="6"/>
  <c r="B90" i="6"/>
  <c r="CA89" i="6"/>
  <c r="BZ89" i="6"/>
  <c r="BY89" i="6"/>
  <c r="BX89" i="6"/>
  <c r="BW89" i="6"/>
  <c r="BV89" i="6"/>
  <c r="CA88" i="6"/>
  <c r="BZ88" i="6"/>
  <c r="BY88" i="6"/>
  <c r="BX88" i="6"/>
  <c r="BW88" i="6"/>
  <c r="BV88" i="6"/>
  <c r="CC88" i="6" s="1"/>
  <c r="BT88" i="6"/>
  <c r="BK88" i="6"/>
  <c r="BB88" i="6"/>
  <c r="AS88" i="6"/>
  <c r="AJ88" i="6"/>
  <c r="AA88" i="6"/>
  <c r="R88" i="6"/>
  <c r="I88" i="6"/>
  <c r="CA87" i="6"/>
  <c r="BZ87" i="6"/>
  <c r="BY87" i="6"/>
  <c r="BX87" i="6"/>
  <c r="BW87" i="6"/>
  <c r="BV87" i="6"/>
  <c r="BT87" i="6"/>
  <c r="BK87" i="6"/>
  <c r="BB87" i="6"/>
  <c r="AS87" i="6"/>
  <c r="AJ87" i="6"/>
  <c r="AA87" i="6"/>
  <c r="R87" i="6"/>
  <c r="I87" i="6"/>
  <c r="CA86" i="6"/>
  <c r="BZ86" i="6"/>
  <c r="BY86" i="6"/>
  <c r="BX86" i="6"/>
  <c r="CC86" i="6" s="1"/>
  <c r="BW86" i="6"/>
  <c r="BV86" i="6"/>
  <c r="BT86" i="6"/>
  <c r="BK86" i="6"/>
  <c r="BB86" i="6"/>
  <c r="AS86" i="6"/>
  <c r="AJ86" i="6"/>
  <c r="AA86" i="6"/>
  <c r="R86" i="6"/>
  <c r="I86" i="6"/>
  <c r="CA85" i="6"/>
  <c r="CC85" i="6" s="1"/>
  <c r="BZ85" i="6"/>
  <c r="BY85" i="6"/>
  <c r="BX85" i="6"/>
  <c r="BW85" i="6"/>
  <c r="BV85" i="6"/>
  <c r="BT85" i="6"/>
  <c r="BK85" i="6"/>
  <c r="BB85" i="6"/>
  <c r="AS85" i="6"/>
  <c r="AJ85" i="6"/>
  <c r="AA85" i="6"/>
  <c r="R85" i="6"/>
  <c r="I85" i="6"/>
  <c r="CA84" i="6"/>
  <c r="BZ84" i="6"/>
  <c r="BY84" i="6"/>
  <c r="BW84" i="6"/>
  <c r="BV84" i="6"/>
  <c r="CA83" i="6"/>
  <c r="BZ83" i="6"/>
  <c r="BY83" i="6"/>
  <c r="BW83" i="6"/>
  <c r="BV83" i="6"/>
  <c r="BT83" i="6"/>
  <c r="BB83" i="6"/>
  <c r="AS83" i="6"/>
  <c r="AJ83" i="6"/>
  <c r="AA83" i="6"/>
  <c r="R83" i="6"/>
  <c r="I83" i="6"/>
  <c r="CA82" i="6"/>
  <c r="CA90" i="6" s="1"/>
  <c r="BZ82" i="6"/>
  <c r="BY82" i="6"/>
  <c r="BX82" i="6"/>
  <c r="BV82" i="6"/>
  <c r="BT82" i="6"/>
  <c r="BE82" i="6"/>
  <c r="BK82" i="6" s="1"/>
  <c r="E82" i="11" s="1"/>
  <c r="BB82" i="6"/>
  <c r="E82" i="9" s="1"/>
  <c r="AV82" i="6"/>
  <c r="AV90" i="6" s="1"/>
  <c r="AM82" i="6"/>
  <c r="AS82" i="6" s="1"/>
  <c r="AD82" i="6"/>
  <c r="AD90" i="6" s="1"/>
  <c r="U82" i="6"/>
  <c r="U90" i="6" s="1"/>
  <c r="L82" i="6"/>
  <c r="C82" i="6"/>
  <c r="C90" i="6" s="1"/>
  <c r="CB80" i="6"/>
  <c r="BS80" i="6"/>
  <c r="BR80" i="6"/>
  <c r="BQ80" i="6"/>
  <c r="BO80" i="6"/>
  <c r="BJ80" i="6"/>
  <c r="BI80" i="6"/>
  <c r="BH80" i="6"/>
  <c r="BH97" i="6" s="1"/>
  <c r="BF80" i="6"/>
  <c r="BA80" i="6"/>
  <c r="AZ80" i="6"/>
  <c r="AY80" i="6"/>
  <c r="AW80" i="6"/>
  <c r="AR80" i="6"/>
  <c r="AQ80" i="6"/>
  <c r="AQ97" i="6" s="1"/>
  <c r="AP80" i="6"/>
  <c r="AN80" i="6"/>
  <c r="AI80" i="6"/>
  <c r="AH80" i="6"/>
  <c r="AH97" i="6" s="1"/>
  <c r="AG80" i="6"/>
  <c r="AF80" i="6"/>
  <c r="AF97" i="6" s="1"/>
  <c r="AE80" i="6"/>
  <c r="Z80" i="6"/>
  <c r="Y80" i="6"/>
  <c r="X80" i="6"/>
  <c r="V80" i="6"/>
  <c r="Q80" i="6"/>
  <c r="P80" i="6"/>
  <c r="O80" i="6"/>
  <c r="M80" i="6"/>
  <c r="L80" i="6"/>
  <c r="H80" i="6"/>
  <c r="G80" i="6"/>
  <c r="F80" i="6"/>
  <c r="D80" i="6"/>
  <c r="CA79" i="6"/>
  <c r="BZ79" i="6"/>
  <c r="BY79" i="6"/>
  <c r="BX79" i="6"/>
  <c r="BV79" i="6"/>
  <c r="BN79" i="6"/>
  <c r="BE79" i="6"/>
  <c r="BK79" i="6" s="1"/>
  <c r="E79" i="11" s="1"/>
  <c r="AV79" i="6"/>
  <c r="AV80" i="6" s="1"/>
  <c r="AM79" i="6"/>
  <c r="AM80" i="6" s="1"/>
  <c r="AD79" i="6"/>
  <c r="AD80" i="6" s="1"/>
  <c r="U79" i="6"/>
  <c r="AA79" i="6" s="1"/>
  <c r="L79" i="6"/>
  <c r="R79" i="6" s="1"/>
  <c r="C79" i="6"/>
  <c r="I79" i="6" s="1"/>
  <c r="CA78" i="6"/>
  <c r="BZ78" i="6"/>
  <c r="BY78" i="6"/>
  <c r="BX78" i="6"/>
  <c r="BW78" i="6"/>
  <c r="BV78" i="6"/>
  <c r="CC78" i="6" s="1"/>
  <c r="BT78" i="6"/>
  <c r="BK78" i="6"/>
  <c r="BB78" i="6"/>
  <c r="AS78" i="6"/>
  <c r="AJ78" i="6"/>
  <c r="AA78" i="6"/>
  <c r="R78" i="6"/>
  <c r="I78" i="6"/>
  <c r="CA77" i="6"/>
  <c r="BZ77" i="6"/>
  <c r="BY77" i="6"/>
  <c r="BX77" i="6"/>
  <c r="BW77" i="6"/>
  <c r="BM77" i="6"/>
  <c r="BT77" i="6" s="1"/>
  <c r="BD77" i="6"/>
  <c r="BK77" i="6" s="1"/>
  <c r="AU77" i="6"/>
  <c r="BB77" i="6" s="1"/>
  <c r="AS77" i="6"/>
  <c r="AL77" i="6"/>
  <c r="AC77" i="6"/>
  <c r="AJ77" i="6" s="1"/>
  <c r="T77" i="6"/>
  <c r="K77" i="6"/>
  <c r="R77" i="6" s="1"/>
  <c r="I77" i="6"/>
  <c r="B77" i="6"/>
  <c r="CA76" i="6"/>
  <c r="BZ76" i="6"/>
  <c r="BY76" i="6"/>
  <c r="BX76" i="6"/>
  <c r="BW76" i="6"/>
  <c r="BT76" i="6"/>
  <c r="BM76" i="6"/>
  <c r="BD76" i="6"/>
  <c r="BK76" i="6" s="1"/>
  <c r="E76" i="11" s="1"/>
  <c r="AU76" i="6"/>
  <c r="BB76" i="6" s="1"/>
  <c r="E76" i="9" s="1"/>
  <c r="AL76" i="6"/>
  <c r="AS76" i="6" s="1"/>
  <c r="AJ76" i="6"/>
  <c r="B76" i="6"/>
  <c r="CA75" i="6"/>
  <c r="BZ75" i="6"/>
  <c r="BY75" i="6"/>
  <c r="BX75" i="6"/>
  <c r="BW75" i="6"/>
  <c r="BM75" i="6"/>
  <c r="BT75" i="6" s="1"/>
  <c r="BD75" i="6"/>
  <c r="BK75" i="6" s="1"/>
  <c r="E75" i="11" s="1"/>
  <c r="AU75" i="6"/>
  <c r="BB75" i="6" s="1"/>
  <c r="E75" i="9" s="1"/>
  <c r="AS75" i="6"/>
  <c r="AL75" i="6"/>
  <c r="AC75" i="6"/>
  <c r="AJ75" i="6" s="1"/>
  <c r="T75" i="6"/>
  <c r="AA75" i="6" s="1"/>
  <c r="K75" i="6"/>
  <c r="R75" i="6" s="1"/>
  <c r="B75" i="6"/>
  <c r="I75" i="6" s="1"/>
  <c r="CA74" i="6"/>
  <c r="BZ74" i="6"/>
  <c r="BZ80" i="6" s="1"/>
  <c r="BY74" i="6"/>
  <c r="BX74" i="6"/>
  <c r="BW74" i="6"/>
  <c r="CC72" i="6"/>
  <c r="CB72" i="6"/>
  <c r="CA72" i="6"/>
  <c r="BZ72" i="6"/>
  <c r="BY72" i="6"/>
  <c r="BX72" i="6"/>
  <c r="BW72" i="6"/>
  <c r="BV72" i="6"/>
  <c r="BT72" i="6"/>
  <c r="BS72" i="6"/>
  <c r="BR72" i="6"/>
  <c r="BQ72" i="6"/>
  <c r="BP72" i="6"/>
  <c r="BO72" i="6"/>
  <c r="BN72" i="6"/>
  <c r="BM72" i="6"/>
  <c r="BK72" i="6"/>
  <c r="BJ72" i="6"/>
  <c r="BI72" i="6"/>
  <c r="BH72" i="6"/>
  <c r="BG72" i="6"/>
  <c r="BF72" i="6"/>
  <c r="BE72" i="6"/>
  <c r="BD72" i="6"/>
  <c r="BB72" i="6"/>
  <c r="BA72" i="6"/>
  <c r="AZ72" i="6"/>
  <c r="AY72" i="6"/>
  <c r="AX72" i="6"/>
  <c r="AW72" i="6"/>
  <c r="AV72" i="6"/>
  <c r="AU72" i="6"/>
  <c r="AS72" i="6"/>
  <c r="AR72" i="6"/>
  <c r="AQ72" i="6"/>
  <c r="AP72" i="6"/>
  <c r="AO72" i="6"/>
  <c r="AN72" i="6"/>
  <c r="AM72" i="6"/>
  <c r="AL72" i="6"/>
  <c r="AJ72" i="6"/>
  <c r="AI72" i="6"/>
  <c r="AH72" i="6"/>
  <c r="AG72" i="6"/>
  <c r="AF72" i="6"/>
  <c r="AE72" i="6"/>
  <c r="AD72" i="6"/>
  <c r="AC72" i="6"/>
  <c r="AA72" i="6"/>
  <c r="Z72" i="6"/>
  <c r="Y72" i="6"/>
  <c r="X72" i="6"/>
  <c r="W72" i="6"/>
  <c r="V72" i="6"/>
  <c r="U72" i="6"/>
  <c r="T72" i="6"/>
  <c r="R72" i="6"/>
  <c r="Q72" i="6"/>
  <c r="P72" i="6"/>
  <c r="O72" i="6"/>
  <c r="N72" i="6"/>
  <c r="M72" i="6"/>
  <c r="L72" i="6"/>
  <c r="K72" i="6"/>
  <c r="I72" i="6"/>
  <c r="H72" i="6"/>
  <c r="G72" i="6"/>
  <c r="F72" i="6"/>
  <c r="E72" i="6"/>
  <c r="D72" i="6"/>
  <c r="C72" i="6"/>
  <c r="B72" i="6"/>
  <c r="BP64" i="6"/>
  <c r="BO64" i="6"/>
  <c r="BJ64" i="6"/>
  <c r="BI64" i="6"/>
  <c r="BH64" i="6"/>
  <c r="AX64" i="6"/>
  <c r="AW64" i="6"/>
  <c r="AV64" i="6"/>
  <c r="AO64" i="6"/>
  <c r="Z64" i="6"/>
  <c r="W64" i="6"/>
  <c r="V64" i="6"/>
  <c r="U64" i="6"/>
  <c r="T64" i="6"/>
  <c r="H64" i="6"/>
  <c r="G64" i="6"/>
  <c r="E64" i="6"/>
  <c r="BY63" i="6"/>
  <c r="BP63" i="6"/>
  <c r="BP65" i="6" s="1"/>
  <c r="BJ63" i="6"/>
  <c r="BJ65" i="6" s="1"/>
  <c r="BI63" i="6"/>
  <c r="BI65" i="6" s="1"/>
  <c r="BH63" i="6"/>
  <c r="BH65" i="6" s="1"/>
  <c r="BG63" i="6"/>
  <c r="AX63" i="6"/>
  <c r="AX65" i="6" s="1"/>
  <c r="AW63" i="6"/>
  <c r="AW65" i="6" s="1"/>
  <c r="AW136" i="6" s="1"/>
  <c r="AV63" i="6"/>
  <c r="AV65" i="6" s="1"/>
  <c r="AV136" i="6" s="1"/>
  <c r="AU63" i="6"/>
  <c r="AU65" i="6" s="1"/>
  <c r="AU136" i="6" s="1"/>
  <c r="AO63" i="6"/>
  <c r="AO65" i="6" s="1"/>
  <c r="AN63" i="6"/>
  <c r="AG63" i="6"/>
  <c r="AF63" i="6"/>
  <c r="Z63" i="6"/>
  <c r="Z65" i="6" s="1"/>
  <c r="W63" i="6"/>
  <c r="W65" i="6" s="1"/>
  <c r="W136" i="6" s="1"/>
  <c r="BY136" i="6" s="1"/>
  <c r="V63" i="6"/>
  <c r="V65" i="6" s="1"/>
  <c r="V136" i="6" s="1"/>
  <c r="U63" i="6"/>
  <c r="U65" i="6" s="1"/>
  <c r="U136" i="6" s="1"/>
  <c r="N63" i="6"/>
  <c r="N65" i="6" s="1"/>
  <c r="M63" i="6"/>
  <c r="M65" i="6" s="1"/>
  <c r="M136" i="6" s="1"/>
  <c r="K63" i="6"/>
  <c r="K65" i="6" s="1"/>
  <c r="K136" i="6" s="1"/>
  <c r="H63" i="6"/>
  <c r="H65" i="6" s="1"/>
  <c r="G63" i="6"/>
  <c r="G65" i="6" s="1"/>
  <c r="E63" i="6"/>
  <c r="E65" i="6" s="1"/>
  <c r="CB61" i="6"/>
  <c r="CB64" i="6" s="1"/>
  <c r="BS61" i="6"/>
  <c r="BS64" i="6" s="1"/>
  <c r="BR61" i="6"/>
  <c r="BR64" i="6" s="1"/>
  <c r="BQ61" i="6"/>
  <c r="BQ64" i="6" s="1"/>
  <c r="BP61" i="6"/>
  <c r="BO61" i="6"/>
  <c r="BN61" i="6"/>
  <c r="BN64" i="6" s="1"/>
  <c r="BM61" i="6"/>
  <c r="BM64" i="6" s="1"/>
  <c r="BJ61" i="6"/>
  <c r="BI61" i="6"/>
  <c r="BH61" i="6"/>
  <c r="BG61" i="6"/>
  <c r="BG64" i="6" s="1"/>
  <c r="BF61" i="6"/>
  <c r="BF64" i="6" s="1"/>
  <c r="BE61" i="6"/>
  <c r="BE64" i="6" s="1"/>
  <c r="BD61" i="6"/>
  <c r="BD64" i="6" s="1"/>
  <c r="BA61" i="6"/>
  <c r="BA64" i="6" s="1"/>
  <c r="AZ61" i="6"/>
  <c r="AZ64" i="6" s="1"/>
  <c r="AY61" i="6"/>
  <c r="AY64" i="6" s="1"/>
  <c r="AX61" i="6"/>
  <c r="AW61" i="6"/>
  <c r="AV61" i="6"/>
  <c r="AU61" i="6"/>
  <c r="AU64" i="6" s="1"/>
  <c r="AR61" i="6"/>
  <c r="AR64" i="6" s="1"/>
  <c r="AQ61" i="6"/>
  <c r="AQ64" i="6" s="1"/>
  <c r="AP61" i="6"/>
  <c r="AP64" i="6" s="1"/>
  <c r="AO61" i="6"/>
  <c r="AN61" i="6"/>
  <c r="AN64" i="6" s="1"/>
  <c r="AM61" i="6"/>
  <c r="AM64" i="6" s="1"/>
  <c r="AL61" i="6"/>
  <c r="AL64" i="6" s="1"/>
  <c r="AI61" i="6"/>
  <c r="AI64" i="6" s="1"/>
  <c r="AH61" i="6"/>
  <c r="AH64" i="6" s="1"/>
  <c r="AG61" i="6"/>
  <c r="AG64" i="6" s="1"/>
  <c r="AF61" i="6"/>
  <c r="AF64" i="6" s="1"/>
  <c r="AE61" i="6"/>
  <c r="AE64" i="6" s="1"/>
  <c r="AD61" i="6"/>
  <c r="AD64" i="6" s="1"/>
  <c r="AC61" i="6"/>
  <c r="AC64" i="6" s="1"/>
  <c r="Z61" i="6"/>
  <c r="Y61" i="6"/>
  <c r="Y64" i="6" s="1"/>
  <c r="X61" i="6"/>
  <c r="X64" i="6" s="1"/>
  <c r="W61" i="6"/>
  <c r="V61" i="6"/>
  <c r="U61" i="6"/>
  <c r="T61" i="6"/>
  <c r="Q61" i="6"/>
  <c r="Q64" i="6" s="1"/>
  <c r="P61" i="6"/>
  <c r="P64" i="6" s="1"/>
  <c r="O61" i="6"/>
  <c r="O64" i="6" s="1"/>
  <c r="N61" i="6"/>
  <c r="N64" i="6" s="1"/>
  <c r="M61" i="6"/>
  <c r="M64" i="6" s="1"/>
  <c r="L61" i="6"/>
  <c r="L64" i="6" s="1"/>
  <c r="K61" i="6"/>
  <c r="K64" i="6" s="1"/>
  <c r="H61" i="6"/>
  <c r="G61" i="6"/>
  <c r="F61" i="6"/>
  <c r="F64" i="6" s="1"/>
  <c r="E61" i="6"/>
  <c r="D61" i="6"/>
  <c r="D64" i="6" s="1"/>
  <c r="C61" i="6"/>
  <c r="C64" i="6" s="1"/>
  <c r="B61" i="6"/>
  <c r="B64" i="6" s="1"/>
  <c r="CA60" i="6"/>
  <c r="BZ60" i="6"/>
  <c r="BY60" i="6"/>
  <c r="CC60" i="6" s="1"/>
  <c r="BX60" i="6"/>
  <c r="BW60" i="6"/>
  <c r="BV60" i="6"/>
  <c r="BT60" i="6"/>
  <c r="BK60" i="6"/>
  <c r="BB60" i="6"/>
  <c r="AS60" i="6"/>
  <c r="AJ60" i="6"/>
  <c r="AA60" i="6"/>
  <c r="R60" i="6"/>
  <c r="I60" i="6"/>
  <c r="CC59" i="6"/>
  <c r="CA59" i="6"/>
  <c r="BZ59" i="6"/>
  <c r="BY59" i="6"/>
  <c r="BX59" i="6"/>
  <c r="BW59" i="6"/>
  <c r="BV59" i="6"/>
  <c r="BT59" i="6"/>
  <c r="BK59" i="6"/>
  <c r="BB59" i="6"/>
  <c r="AS59" i="6"/>
  <c r="AJ59" i="6"/>
  <c r="AA59" i="6"/>
  <c r="R59" i="6"/>
  <c r="I59" i="6"/>
  <c r="CA58" i="6"/>
  <c r="BZ58" i="6"/>
  <c r="BY58" i="6"/>
  <c r="BX58" i="6"/>
  <c r="BW58" i="6"/>
  <c r="BV58" i="6"/>
  <c r="CC58" i="6" s="1"/>
  <c r="BT58" i="6"/>
  <c r="BK58" i="6"/>
  <c r="BB58" i="6"/>
  <c r="AS58" i="6"/>
  <c r="AJ58" i="6"/>
  <c r="AA58" i="6"/>
  <c r="R58" i="6"/>
  <c r="I58" i="6"/>
  <c r="CA57" i="6"/>
  <c r="BZ57" i="6"/>
  <c r="BY57" i="6"/>
  <c r="BX57" i="6"/>
  <c r="BW57" i="6"/>
  <c r="BV57" i="6"/>
  <c r="CC57" i="6" s="1"/>
  <c r="BT57" i="6"/>
  <c r="BK57" i="6"/>
  <c r="BB57" i="6"/>
  <c r="AS57" i="6"/>
  <c r="AJ57" i="6"/>
  <c r="AA57" i="6"/>
  <c r="R57" i="6"/>
  <c r="I57" i="6"/>
  <c r="CA56" i="6"/>
  <c r="BZ56" i="6"/>
  <c r="BY56" i="6"/>
  <c r="BX56" i="6"/>
  <c r="BW56" i="6"/>
  <c r="BV56" i="6"/>
  <c r="CC56" i="6" s="1"/>
  <c r="BT56" i="6"/>
  <c r="BK56" i="6"/>
  <c r="BB56" i="6"/>
  <c r="AS56" i="6"/>
  <c r="AJ56" i="6"/>
  <c r="AA56" i="6"/>
  <c r="R56" i="6"/>
  <c r="I56" i="6"/>
  <c r="CC55" i="6"/>
  <c r="CA55" i="6"/>
  <c r="BZ55" i="6"/>
  <c r="BY55" i="6"/>
  <c r="BX55" i="6"/>
  <c r="BW55" i="6"/>
  <c r="BV55" i="6"/>
  <c r="BT55" i="6"/>
  <c r="BK55" i="6"/>
  <c r="BB55" i="6"/>
  <c r="AS55" i="6"/>
  <c r="AJ55" i="6"/>
  <c r="AA55" i="6"/>
  <c r="R55" i="6"/>
  <c r="I55" i="6"/>
  <c r="CA54" i="6"/>
  <c r="BZ54" i="6"/>
  <c r="CC54" i="6" s="1"/>
  <c r="BY54" i="6"/>
  <c r="BX54" i="6"/>
  <c r="BW54" i="6"/>
  <c r="BV54" i="6"/>
  <c r="BT54" i="6"/>
  <c r="BK54" i="6"/>
  <c r="BB54" i="6"/>
  <c r="AS54" i="6"/>
  <c r="AJ54" i="6"/>
  <c r="AA54" i="6"/>
  <c r="R54" i="6"/>
  <c r="I54" i="6"/>
  <c r="CA53" i="6"/>
  <c r="BZ53" i="6"/>
  <c r="BY53" i="6"/>
  <c r="BX53" i="6"/>
  <c r="BW53" i="6"/>
  <c r="BV53" i="6"/>
  <c r="BT53" i="6"/>
  <c r="BK53" i="6"/>
  <c r="BB53" i="6"/>
  <c r="AS53" i="6"/>
  <c r="AJ53" i="6"/>
  <c r="AA53" i="6"/>
  <c r="R53" i="6"/>
  <c r="I53" i="6"/>
  <c r="CC52" i="6"/>
  <c r="CA52" i="6"/>
  <c r="BZ52" i="6"/>
  <c r="BY52" i="6"/>
  <c r="BX52" i="6"/>
  <c r="BW52" i="6"/>
  <c r="BV52" i="6"/>
  <c r="BT52" i="6"/>
  <c r="BK52" i="6"/>
  <c r="BB52" i="6"/>
  <c r="AS52" i="6"/>
  <c r="AJ52" i="6"/>
  <c r="AA52" i="6"/>
  <c r="R52" i="6"/>
  <c r="I52" i="6"/>
  <c r="CC51" i="6"/>
  <c r="CA51" i="6"/>
  <c r="BZ51" i="6"/>
  <c r="BY51" i="6"/>
  <c r="BX51" i="6"/>
  <c r="BW51" i="6"/>
  <c r="BV51" i="6"/>
  <c r="BT51" i="6"/>
  <c r="BK51" i="6"/>
  <c r="BB51" i="6"/>
  <c r="AS51" i="6"/>
  <c r="AJ51" i="6"/>
  <c r="AA51" i="6"/>
  <c r="R51" i="6"/>
  <c r="I51" i="6"/>
  <c r="CA50" i="6"/>
  <c r="BZ50" i="6"/>
  <c r="BY50" i="6"/>
  <c r="BX50" i="6"/>
  <c r="BW50" i="6"/>
  <c r="BV50" i="6"/>
  <c r="BT50" i="6"/>
  <c r="BK50" i="6"/>
  <c r="E50" i="11" s="1"/>
  <c r="BB50" i="6"/>
  <c r="AS50" i="6"/>
  <c r="AJ50" i="6"/>
  <c r="AA50" i="6"/>
  <c r="R50" i="6"/>
  <c r="I50" i="6"/>
  <c r="CA49" i="6"/>
  <c r="BZ49" i="6"/>
  <c r="BY49" i="6"/>
  <c r="BX49" i="6"/>
  <c r="BW49" i="6"/>
  <c r="BV49" i="6"/>
  <c r="BT49" i="6"/>
  <c r="BK49" i="6"/>
  <c r="BB49" i="6"/>
  <c r="AS49" i="6"/>
  <c r="AJ49" i="6"/>
  <c r="AA49" i="6"/>
  <c r="R49" i="6"/>
  <c r="I49" i="6"/>
  <c r="CA48" i="6"/>
  <c r="CC48" i="6" s="1"/>
  <c r="BZ48" i="6"/>
  <c r="BY48" i="6"/>
  <c r="BX48" i="6"/>
  <c r="BW48" i="6"/>
  <c r="BV48" i="6"/>
  <c r="BT48" i="6"/>
  <c r="BK48" i="6"/>
  <c r="BB48" i="6"/>
  <c r="AS48" i="6"/>
  <c r="AJ48" i="6"/>
  <c r="AA48" i="6"/>
  <c r="R48" i="6"/>
  <c r="I48" i="6"/>
  <c r="CA47" i="6"/>
  <c r="BZ47" i="6"/>
  <c r="BY47" i="6"/>
  <c r="CC47" i="6" s="1"/>
  <c r="BX47" i="6"/>
  <c r="BW47" i="6"/>
  <c r="BV47" i="6"/>
  <c r="BT47" i="6"/>
  <c r="BK47" i="6"/>
  <c r="BB47" i="6"/>
  <c r="AS47" i="6"/>
  <c r="AJ47" i="6"/>
  <c r="AA47" i="6"/>
  <c r="R47" i="6"/>
  <c r="I47" i="6"/>
  <c r="CA46" i="6"/>
  <c r="BZ46" i="6"/>
  <c r="BY46" i="6"/>
  <c r="BX46" i="6"/>
  <c r="BW46" i="6"/>
  <c r="BV46" i="6"/>
  <c r="CC46" i="6" s="1"/>
  <c r="BT46" i="6"/>
  <c r="BK46" i="6"/>
  <c r="BB46" i="6"/>
  <c r="AS46" i="6"/>
  <c r="AJ46" i="6"/>
  <c r="AA46" i="6"/>
  <c r="R46" i="6"/>
  <c r="I46" i="6"/>
  <c r="CA45" i="6"/>
  <c r="BZ45" i="6"/>
  <c r="BY45" i="6"/>
  <c r="BX45" i="6"/>
  <c r="BW45" i="6"/>
  <c r="BV45" i="6"/>
  <c r="BT45" i="6"/>
  <c r="BK45" i="6"/>
  <c r="BB45" i="6"/>
  <c r="AS45" i="6"/>
  <c r="AJ45" i="6"/>
  <c r="AA45" i="6"/>
  <c r="R45" i="6"/>
  <c r="I45" i="6"/>
  <c r="CA44" i="6"/>
  <c r="BZ44" i="6"/>
  <c r="BY44" i="6"/>
  <c r="BX44" i="6"/>
  <c r="BW44" i="6"/>
  <c r="BV44" i="6"/>
  <c r="CC44" i="6" s="1"/>
  <c r="BT44" i="6"/>
  <c r="BK44" i="6"/>
  <c r="BB44" i="6"/>
  <c r="AS44" i="6"/>
  <c r="AJ44" i="6"/>
  <c r="AA44" i="6"/>
  <c r="R44" i="6"/>
  <c r="I44" i="6"/>
  <c r="CA43" i="6"/>
  <c r="BZ43" i="6"/>
  <c r="BZ61" i="6" s="1"/>
  <c r="BZ64" i="6" s="1"/>
  <c r="BY43" i="6"/>
  <c r="BX43" i="6"/>
  <c r="BW43" i="6"/>
  <c r="CC43" i="6" s="1"/>
  <c r="BV43" i="6"/>
  <c r="BT43" i="6"/>
  <c r="BK43" i="6"/>
  <c r="BB43" i="6"/>
  <c r="AS43" i="6"/>
  <c r="AJ43" i="6"/>
  <c r="AA43" i="6"/>
  <c r="R43" i="6"/>
  <c r="I43" i="6"/>
  <c r="CC42" i="6"/>
  <c r="CA42" i="6"/>
  <c r="BZ42" i="6"/>
  <c r="BY42" i="6"/>
  <c r="BX42" i="6"/>
  <c r="BW42" i="6"/>
  <c r="BV42" i="6"/>
  <c r="BT42" i="6"/>
  <c r="BK42" i="6"/>
  <c r="BB42" i="6"/>
  <c r="AS42" i="6"/>
  <c r="AJ42" i="6"/>
  <c r="AA42" i="6"/>
  <c r="R42" i="6"/>
  <c r="I42" i="6"/>
  <c r="CA41" i="6"/>
  <c r="BZ41" i="6"/>
  <c r="BY41" i="6"/>
  <c r="BX41" i="6"/>
  <c r="BW41" i="6"/>
  <c r="BV41" i="6"/>
  <c r="CC41" i="6" s="1"/>
  <c r="BT41" i="6"/>
  <c r="BK41" i="6"/>
  <c r="BB41" i="6"/>
  <c r="BB61" i="6" s="1"/>
  <c r="BB64" i="6" s="1"/>
  <c r="AS41" i="6"/>
  <c r="AJ41" i="6"/>
  <c r="AJ61" i="6" s="1"/>
  <c r="AJ64" i="6" s="1"/>
  <c r="AA41" i="6"/>
  <c r="R41" i="6"/>
  <c r="I41" i="6"/>
  <c r="CA40" i="6"/>
  <c r="BZ40" i="6"/>
  <c r="BY40" i="6"/>
  <c r="BX40" i="6"/>
  <c r="BW40" i="6"/>
  <c r="BV40" i="6"/>
  <c r="BT40" i="6"/>
  <c r="BT61" i="6" s="1"/>
  <c r="BT64" i="6" s="1"/>
  <c r="BK40" i="6"/>
  <c r="BB40" i="6"/>
  <c r="AS40" i="6"/>
  <c r="AJ40" i="6"/>
  <c r="AA40" i="6"/>
  <c r="R40" i="6"/>
  <c r="R61" i="6" s="1"/>
  <c r="R64" i="6" s="1"/>
  <c r="I40" i="6"/>
  <c r="CC39" i="6"/>
  <c r="CA39" i="6"/>
  <c r="BZ39" i="6"/>
  <c r="BY39" i="6"/>
  <c r="BY61" i="6" s="1"/>
  <c r="BY64" i="6" s="1"/>
  <c r="BX39" i="6"/>
  <c r="BX61" i="6" s="1"/>
  <c r="BX64" i="6" s="1"/>
  <c r="BW39" i="6"/>
  <c r="BV39" i="6"/>
  <c r="BT39" i="6"/>
  <c r="BK39" i="6"/>
  <c r="BB39" i="6"/>
  <c r="AS39" i="6"/>
  <c r="AS61" i="6" s="1"/>
  <c r="AS64" i="6" s="1"/>
  <c r="AJ39" i="6"/>
  <c r="AA39" i="6"/>
  <c r="AA61" i="6" s="1"/>
  <c r="AA64" i="6" s="1"/>
  <c r="R39" i="6"/>
  <c r="I39" i="6"/>
  <c r="I61" i="6" s="1"/>
  <c r="I64" i="6" s="1"/>
  <c r="CC38" i="6"/>
  <c r="CB38" i="6"/>
  <c r="CA38" i="6"/>
  <c r="BZ38" i="6"/>
  <c r="BY38" i="6"/>
  <c r="BX38" i="6"/>
  <c r="BW38" i="6"/>
  <c r="BV38" i="6"/>
  <c r="BT38" i="6"/>
  <c r="BS38" i="6"/>
  <c r="BR38" i="6"/>
  <c r="BQ38" i="6"/>
  <c r="BP38" i="6"/>
  <c r="BO38" i="6"/>
  <c r="BN38" i="6"/>
  <c r="BM38" i="6"/>
  <c r="BK38" i="6"/>
  <c r="BJ38" i="6"/>
  <c r="BI38" i="6"/>
  <c r="BH38" i="6"/>
  <c r="BG38" i="6"/>
  <c r="BF38" i="6"/>
  <c r="BE38" i="6"/>
  <c r="BD38" i="6"/>
  <c r="BB38" i="6"/>
  <c r="BA38" i="6"/>
  <c r="AZ38" i="6"/>
  <c r="AY38" i="6"/>
  <c r="AX38" i="6"/>
  <c r="AW38" i="6"/>
  <c r="AV38" i="6"/>
  <c r="AU38" i="6"/>
  <c r="AS38" i="6"/>
  <c r="AR38" i="6"/>
  <c r="AQ38" i="6"/>
  <c r="AP38" i="6"/>
  <c r="AO38" i="6"/>
  <c r="AN38" i="6"/>
  <c r="AM38" i="6"/>
  <c r="AL38" i="6"/>
  <c r="AJ38" i="6"/>
  <c r="AI38" i="6"/>
  <c r="AH38" i="6"/>
  <c r="AG38" i="6"/>
  <c r="AF38" i="6"/>
  <c r="AE38" i="6"/>
  <c r="AD38" i="6"/>
  <c r="AC38" i="6"/>
  <c r="AA38" i="6"/>
  <c r="Z38" i="6"/>
  <c r="Y38" i="6"/>
  <c r="X38" i="6"/>
  <c r="W38" i="6"/>
  <c r="V38" i="6"/>
  <c r="U38" i="6"/>
  <c r="T38" i="6"/>
  <c r="R38" i="6"/>
  <c r="Q38" i="6"/>
  <c r="P38" i="6"/>
  <c r="O38" i="6"/>
  <c r="N38" i="6"/>
  <c r="M38" i="6"/>
  <c r="L38" i="6"/>
  <c r="K38" i="6"/>
  <c r="I38" i="6"/>
  <c r="H38" i="6"/>
  <c r="G38" i="6"/>
  <c r="F38" i="6"/>
  <c r="E38" i="6"/>
  <c r="D38" i="6"/>
  <c r="C38" i="6"/>
  <c r="B38" i="6"/>
  <c r="CB36" i="6"/>
  <c r="BS36" i="6"/>
  <c r="BS140" i="6" s="1"/>
  <c r="BR36" i="6"/>
  <c r="BQ36" i="6"/>
  <c r="BO36" i="6"/>
  <c r="BN36" i="6"/>
  <c r="BM36" i="6"/>
  <c r="BM135" i="6" s="1"/>
  <c r="BJ36" i="6"/>
  <c r="BI36" i="6"/>
  <c r="BH36" i="6"/>
  <c r="BH140" i="6" s="1"/>
  <c r="BF36" i="6"/>
  <c r="BE36" i="6"/>
  <c r="BD36" i="6"/>
  <c r="BD140" i="6" s="1"/>
  <c r="BA36" i="6"/>
  <c r="AZ36" i="6"/>
  <c r="AY36" i="6"/>
  <c r="AY63" i="6" s="1"/>
  <c r="AY65" i="6" s="1"/>
  <c r="AW36" i="6"/>
  <c r="AV36" i="6"/>
  <c r="AU36" i="6"/>
  <c r="AR36" i="6"/>
  <c r="AR63" i="6" s="1"/>
  <c r="AQ36" i="6"/>
  <c r="AP36" i="6"/>
  <c r="AN36" i="6"/>
  <c r="AM36" i="6"/>
  <c r="AL36" i="6"/>
  <c r="AL63" i="6" s="1"/>
  <c r="AL65" i="6" s="1"/>
  <c r="AL136" i="6" s="1"/>
  <c r="AI36" i="6"/>
  <c r="AI63" i="6" s="1"/>
  <c r="AH36" i="6"/>
  <c r="AH63" i="6" s="1"/>
  <c r="AG36" i="6"/>
  <c r="AE36" i="6"/>
  <c r="AE140" i="6" s="1"/>
  <c r="AD36" i="6"/>
  <c r="AC36" i="6"/>
  <c r="Z36" i="6"/>
  <c r="Y36" i="6"/>
  <c r="X36" i="6"/>
  <c r="V36" i="6"/>
  <c r="U36" i="6"/>
  <c r="T36" i="6"/>
  <c r="R36" i="6"/>
  <c r="R63" i="6" s="1"/>
  <c r="Q36" i="6"/>
  <c r="P36" i="6"/>
  <c r="P140" i="6" s="1"/>
  <c r="O36" i="6"/>
  <c r="O63" i="6" s="1"/>
  <c r="O65" i="6" s="1"/>
  <c r="M36" i="6"/>
  <c r="L36" i="6"/>
  <c r="K36" i="6"/>
  <c r="R114" i="6" s="1"/>
  <c r="H36" i="6"/>
  <c r="G36" i="6"/>
  <c r="F36" i="6"/>
  <c r="F140" i="6" s="1"/>
  <c r="D36" i="6"/>
  <c r="C36" i="6"/>
  <c r="B36" i="6"/>
  <c r="B140" i="6" s="1"/>
  <c r="CA35" i="6"/>
  <c r="BZ35" i="6"/>
  <c r="BY35" i="6"/>
  <c r="BX35" i="6"/>
  <c r="BW35" i="6"/>
  <c r="BV35" i="6"/>
  <c r="BT35" i="6"/>
  <c r="BK35" i="6"/>
  <c r="BB35" i="6"/>
  <c r="AS35" i="6"/>
  <c r="AJ35" i="6"/>
  <c r="AA35" i="6"/>
  <c r="R35" i="6"/>
  <c r="I35" i="6"/>
  <c r="CC34" i="6"/>
  <c r="E34" i="10" s="1"/>
  <c r="CA34" i="6"/>
  <c r="BZ34" i="6"/>
  <c r="BY34" i="6"/>
  <c r="BX34" i="6"/>
  <c r="BW34" i="6"/>
  <c r="BV34" i="6"/>
  <c r="BT34" i="6"/>
  <c r="BK34" i="6"/>
  <c r="E34" i="11" s="1"/>
  <c r="BB34" i="6"/>
  <c r="AS34" i="6"/>
  <c r="AJ34" i="6"/>
  <c r="AA34" i="6"/>
  <c r="R34" i="6"/>
  <c r="I34" i="6"/>
  <c r="CA33" i="6"/>
  <c r="BZ33" i="6"/>
  <c r="BY33" i="6"/>
  <c r="BX33" i="6"/>
  <c r="BW33" i="6"/>
  <c r="CC33" i="6" s="1"/>
  <c r="BV33" i="6"/>
  <c r="BT33" i="6"/>
  <c r="BK33" i="6"/>
  <c r="BB33" i="6"/>
  <c r="AS33" i="6"/>
  <c r="AJ33" i="6"/>
  <c r="AA33" i="6"/>
  <c r="R33" i="6"/>
  <c r="I33" i="6"/>
  <c r="CA32" i="6"/>
  <c r="BZ32" i="6"/>
  <c r="BY32" i="6"/>
  <c r="BX32" i="6"/>
  <c r="BW32" i="6"/>
  <c r="BV32" i="6"/>
  <c r="CC32" i="6" s="1"/>
  <c r="BT32" i="6"/>
  <c r="BK32" i="6"/>
  <c r="BB32" i="6"/>
  <c r="AS32" i="6"/>
  <c r="AJ32" i="6"/>
  <c r="AA32" i="6"/>
  <c r="R32" i="6"/>
  <c r="I32" i="6"/>
  <c r="CA31" i="6"/>
  <c r="BZ31" i="6"/>
  <c r="BY31" i="6"/>
  <c r="BX31" i="6"/>
  <c r="BW31" i="6"/>
  <c r="BV31" i="6"/>
  <c r="BT31" i="6"/>
  <c r="BK31" i="6"/>
  <c r="BB31" i="6"/>
  <c r="AS31" i="6"/>
  <c r="AJ31" i="6"/>
  <c r="AA31" i="6"/>
  <c r="R31" i="6"/>
  <c r="I31" i="6"/>
  <c r="CA30" i="6"/>
  <c r="CA36" i="6" s="1"/>
  <c r="CA63" i="6" s="1"/>
  <c r="BZ30" i="6"/>
  <c r="BY30" i="6"/>
  <c r="CC30" i="6" s="1"/>
  <c r="BX30" i="6"/>
  <c r="BW30" i="6"/>
  <c r="BV30" i="6"/>
  <c r="BT30" i="6"/>
  <c r="BK30" i="6"/>
  <c r="BB30" i="6"/>
  <c r="AS30" i="6"/>
  <c r="AJ30" i="6"/>
  <c r="AA30" i="6"/>
  <c r="R30" i="6"/>
  <c r="I30" i="6"/>
  <c r="CC29" i="6"/>
  <c r="CA29" i="6"/>
  <c r="BZ29" i="6"/>
  <c r="BY29" i="6"/>
  <c r="BX29" i="6"/>
  <c r="BW29" i="6"/>
  <c r="BV29" i="6"/>
  <c r="BT29" i="6"/>
  <c r="BK29" i="6"/>
  <c r="BB29" i="6"/>
  <c r="AS29" i="6"/>
  <c r="AJ29" i="6"/>
  <c r="AA29" i="6"/>
  <c r="R29" i="6"/>
  <c r="I29" i="6"/>
  <c r="CA28" i="6"/>
  <c r="BZ28" i="6"/>
  <c r="BY28" i="6"/>
  <c r="BX28" i="6"/>
  <c r="BW28" i="6"/>
  <c r="BV28" i="6"/>
  <c r="CC28" i="6" s="1"/>
  <c r="BU28" i="6"/>
  <c r="BT28" i="6"/>
  <c r="BL28" i="6"/>
  <c r="BK28" i="6"/>
  <c r="BC28" i="6"/>
  <c r="BB28" i="6"/>
  <c r="BB36" i="6" s="1"/>
  <c r="BB63" i="6" s="1"/>
  <c r="AT28" i="6"/>
  <c r="AS28" i="6"/>
  <c r="AK28" i="6"/>
  <c r="AJ28" i="6"/>
  <c r="AB28" i="6"/>
  <c r="AA28" i="6"/>
  <c r="AA36" i="6" s="1"/>
  <c r="AA63" i="6" s="1"/>
  <c r="S28" i="6"/>
  <c r="R28" i="6"/>
  <c r="J28" i="6"/>
  <c r="I28" i="6"/>
  <c r="CA27" i="6"/>
  <c r="BZ27" i="6"/>
  <c r="BZ36" i="6" s="1"/>
  <c r="BZ63" i="6" s="1"/>
  <c r="BY27" i="6"/>
  <c r="BX27" i="6"/>
  <c r="BW27" i="6"/>
  <c r="BV27" i="6"/>
  <c r="BT27" i="6"/>
  <c r="BU27" i="6" s="1"/>
  <c r="BK27" i="6"/>
  <c r="BL27" i="6" s="1"/>
  <c r="BB27" i="6"/>
  <c r="BC27" i="6" s="1"/>
  <c r="AS27" i="6"/>
  <c r="AT27" i="6" s="1"/>
  <c r="AJ27" i="6"/>
  <c r="AK27" i="6" s="1"/>
  <c r="AB27" i="6"/>
  <c r="AA27" i="6"/>
  <c r="R27" i="6"/>
  <c r="S27" i="6" s="1"/>
  <c r="I27" i="6"/>
  <c r="J27" i="6" s="1"/>
  <c r="CC26" i="6"/>
  <c r="CB26" i="6"/>
  <c r="CA26" i="6"/>
  <c r="BZ26" i="6"/>
  <c r="BY26" i="6"/>
  <c r="BX26" i="6"/>
  <c r="BW26" i="6"/>
  <c r="BV26" i="6"/>
  <c r="BT26" i="6"/>
  <c r="BS26" i="6"/>
  <c r="BR26" i="6"/>
  <c r="BQ26" i="6"/>
  <c r="BP26" i="6"/>
  <c r="BO26" i="6"/>
  <c r="BN26" i="6"/>
  <c r="BM26" i="6"/>
  <c r="BK26" i="6"/>
  <c r="BJ26" i="6"/>
  <c r="BI26" i="6"/>
  <c r="BH26" i="6"/>
  <c r="BG26" i="6"/>
  <c r="BF26" i="6"/>
  <c r="BE26" i="6"/>
  <c r="BD26" i="6"/>
  <c r="BB26" i="6"/>
  <c r="BA26" i="6"/>
  <c r="AZ26" i="6"/>
  <c r="AY26" i="6"/>
  <c r="AX26" i="6"/>
  <c r="AW26" i="6"/>
  <c r="AV26" i="6"/>
  <c r="AU26" i="6"/>
  <c r="AS26" i="6"/>
  <c r="AR26" i="6"/>
  <c r="AQ26" i="6"/>
  <c r="AP26" i="6"/>
  <c r="AO26" i="6"/>
  <c r="AN26" i="6"/>
  <c r="AM26" i="6"/>
  <c r="AL26" i="6"/>
  <c r="AJ26" i="6"/>
  <c r="AI26" i="6"/>
  <c r="AH26" i="6"/>
  <c r="AG26" i="6"/>
  <c r="AF26" i="6"/>
  <c r="AE26" i="6"/>
  <c r="AD26" i="6"/>
  <c r="AC26" i="6"/>
  <c r="AA26" i="6"/>
  <c r="Z26" i="6"/>
  <c r="Y26" i="6"/>
  <c r="X26" i="6"/>
  <c r="W26" i="6"/>
  <c r="V26" i="6"/>
  <c r="U26" i="6"/>
  <c r="T26" i="6"/>
  <c r="R26" i="6"/>
  <c r="Q26" i="6"/>
  <c r="P26" i="6"/>
  <c r="O26" i="6"/>
  <c r="N26" i="6"/>
  <c r="M26" i="6"/>
  <c r="L26" i="6"/>
  <c r="K26" i="6"/>
  <c r="I26" i="6"/>
  <c r="H26" i="6"/>
  <c r="G26" i="6"/>
  <c r="F26" i="6"/>
  <c r="E26" i="6"/>
  <c r="D26" i="6"/>
  <c r="C26" i="6"/>
  <c r="B26" i="6"/>
  <c r="CA24" i="6"/>
  <c r="BZ24" i="6"/>
  <c r="BY24" i="6"/>
  <c r="BX24" i="6"/>
  <c r="BW24" i="6"/>
  <c r="BV24" i="6"/>
  <c r="CC24" i="6" s="1"/>
  <c r="BT24" i="6"/>
  <c r="BK24" i="6"/>
  <c r="BB24" i="6"/>
  <c r="AS24" i="6"/>
  <c r="AJ24" i="6"/>
  <c r="AA24" i="6"/>
  <c r="R24" i="6"/>
  <c r="I24" i="6"/>
  <c r="CA23" i="6"/>
  <c r="BZ23" i="6"/>
  <c r="BY23" i="6"/>
  <c r="BX23" i="6"/>
  <c r="BW23" i="6"/>
  <c r="BV23" i="6"/>
  <c r="BT23" i="6"/>
  <c r="BK23" i="6"/>
  <c r="BB23" i="6"/>
  <c r="AS23" i="6"/>
  <c r="AJ23" i="6"/>
  <c r="AA23" i="6"/>
  <c r="R23" i="6"/>
  <c r="I23" i="6"/>
  <c r="CA22" i="6"/>
  <c r="BZ22" i="6"/>
  <c r="BY22" i="6"/>
  <c r="BX22" i="6"/>
  <c r="BW22" i="6"/>
  <c r="BT22" i="6"/>
  <c r="BK22" i="6"/>
  <c r="E22" i="11" s="1"/>
  <c r="BB22" i="6"/>
  <c r="E22" i="9" s="1"/>
  <c r="AS22" i="6"/>
  <c r="AJ22" i="6"/>
  <c r="AC76" i="6"/>
  <c r="R22" i="6"/>
  <c r="K76" i="6"/>
  <c r="R76" i="6" s="1"/>
  <c r="I22" i="6"/>
  <c r="CA21" i="6"/>
  <c r="BZ21" i="6"/>
  <c r="BY21" i="6"/>
  <c r="BX21" i="6"/>
  <c r="BW21" i="6"/>
  <c r="BV21" i="6"/>
  <c r="BT21" i="6"/>
  <c r="BK21" i="6"/>
  <c r="E21" i="11" s="1"/>
  <c r="BB21" i="6"/>
  <c r="E21" i="9" s="1"/>
  <c r="AS21" i="6"/>
  <c r="AJ21" i="6"/>
  <c r="AA21" i="6"/>
  <c r="R21" i="6"/>
  <c r="I21" i="6"/>
  <c r="CA20" i="6"/>
  <c r="BZ20" i="6"/>
  <c r="BY20" i="6"/>
  <c r="BX20" i="6"/>
  <c r="BW20" i="6"/>
  <c r="CD28" i="6" s="1"/>
  <c r="BV20" i="6"/>
  <c r="BT20" i="6"/>
  <c r="BK20" i="6"/>
  <c r="E20" i="11" s="1"/>
  <c r="BB20" i="6"/>
  <c r="E20" i="9" s="1"/>
  <c r="AS20" i="6"/>
  <c r="AJ20" i="6"/>
  <c r="AA20" i="6"/>
  <c r="R20" i="6"/>
  <c r="I20" i="6"/>
  <c r="CC19" i="6"/>
  <c r="CB19" i="6"/>
  <c r="CA19" i="6"/>
  <c r="BZ19" i="6"/>
  <c r="BY19" i="6"/>
  <c r="BX19" i="6"/>
  <c r="BW19" i="6"/>
  <c r="BV19" i="6"/>
  <c r="BT19" i="6"/>
  <c r="BS19" i="6"/>
  <c r="BR19" i="6"/>
  <c r="BQ19" i="6"/>
  <c r="BP19" i="6"/>
  <c r="BO19" i="6"/>
  <c r="BN19" i="6"/>
  <c r="BM19" i="6"/>
  <c r="BK19" i="6"/>
  <c r="BJ19" i="6"/>
  <c r="BI19" i="6"/>
  <c r="BH19" i="6"/>
  <c r="BG19" i="6"/>
  <c r="BF19" i="6"/>
  <c r="BE19" i="6"/>
  <c r="BD19" i="6"/>
  <c r="BB19" i="6"/>
  <c r="BA19" i="6"/>
  <c r="AZ19" i="6"/>
  <c r="AY19" i="6"/>
  <c r="AX19" i="6"/>
  <c r="AW19" i="6"/>
  <c r="AV19" i="6"/>
  <c r="AU19" i="6"/>
  <c r="AS19" i="6"/>
  <c r="AR19" i="6"/>
  <c r="AQ19" i="6"/>
  <c r="AP19" i="6"/>
  <c r="AO19" i="6"/>
  <c r="AN19" i="6"/>
  <c r="AM19" i="6"/>
  <c r="AL19" i="6"/>
  <c r="AJ19" i="6"/>
  <c r="AI19" i="6"/>
  <c r="AH19" i="6"/>
  <c r="AG19" i="6"/>
  <c r="AF19" i="6"/>
  <c r="AE19" i="6"/>
  <c r="AD19" i="6"/>
  <c r="AC19" i="6"/>
  <c r="AA19" i="6"/>
  <c r="Z19" i="6"/>
  <c r="Y19" i="6"/>
  <c r="X19" i="6"/>
  <c r="W19" i="6"/>
  <c r="V19" i="6"/>
  <c r="U19" i="6"/>
  <c r="T19" i="6"/>
  <c r="R19" i="6"/>
  <c r="Q19" i="6"/>
  <c r="P19" i="6"/>
  <c r="O19" i="6"/>
  <c r="N19" i="6"/>
  <c r="M19" i="6"/>
  <c r="L19" i="6"/>
  <c r="K19" i="6"/>
  <c r="I19" i="6"/>
  <c r="H19" i="6"/>
  <c r="G19" i="6"/>
  <c r="F19" i="6"/>
  <c r="E19" i="6"/>
  <c r="D19" i="6"/>
  <c r="C19" i="6"/>
  <c r="B19" i="6"/>
  <c r="CB17" i="6"/>
  <c r="BS17" i="6"/>
  <c r="BR17" i="6"/>
  <c r="BQ17" i="6"/>
  <c r="BO17" i="6"/>
  <c r="BN17" i="6"/>
  <c r="BM17" i="6"/>
  <c r="BJ17" i="6"/>
  <c r="BI17" i="6"/>
  <c r="BH17" i="6"/>
  <c r="BF17" i="6"/>
  <c r="BE17" i="6"/>
  <c r="BC17" i="6"/>
  <c r="BA17" i="6"/>
  <c r="AZ17" i="6"/>
  <c r="AY17" i="6"/>
  <c r="AW17" i="6"/>
  <c r="AV17" i="6"/>
  <c r="AU17" i="6"/>
  <c r="AR17" i="6"/>
  <c r="AQ17" i="6"/>
  <c r="AP17" i="6"/>
  <c r="AN17" i="6"/>
  <c r="AM17" i="6"/>
  <c r="AI17" i="6"/>
  <c r="AH17" i="6"/>
  <c r="AG17" i="6"/>
  <c r="AE17" i="6"/>
  <c r="AD17" i="6"/>
  <c r="Z17" i="6"/>
  <c r="Y17" i="6"/>
  <c r="X17" i="6"/>
  <c r="V17" i="6"/>
  <c r="U17" i="6"/>
  <c r="Q17" i="6"/>
  <c r="P17" i="6"/>
  <c r="O17" i="6"/>
  <c r="M17" i="6"/>
  <c r="L17" i="6"/>
  <c r="H17" i="6"/>
  <c r="G17" i="6"/>
  <c r="F17" i="6"/>
  <c r="D17" i="6"/>
  <c r="C17" i="6"/>
  <c r="CD16" i="6"/>
  <c r="CA16" i="6"/>
  <c r="BZ16" i="6"/>
  <c r="BY16" i="6"/>
  <c r="BX16" i="6"/>
  <c r="BW16" i="6"/>
  <c r="BT16" i="6"/>
  <c r="BK16" i="6"/>
  <c r="BB16" i="6"/>
  <c r="AU16" i="6"/>
  <c r="AS16" i="6"/>
  <c r="AJ16" i="6"/>
  <c r="AA16" i="6"/>
  <c r="R16" i="6"/>
  <c r="I16" i="6"/>
  <c r="CA15" i="6"/>
  <c r="BZ15" i="6"/>
  <c r="BY15" i="6"/>
  <c r="BX15" i="6"/>
  <c r="BW15" i="6"/>
  <c r="BT15" i="6"/>
  <c r="BK15" i="6"/>
  <c r="BB15" i="6"/>
  <c r="AU15" i="6"/>
  <c r="AS15" i="6"/>
  <c r="AT15" i="6" s="1"/>
  <c r="AA15" i="6"/>
  <c r="R15" i="6"/>
  <c r="I15" i="6"/>
  <c r="CA14" i="6"/>
  <c r="BZ14" i="6"/>
  <c r="BY14" i="6"/>
  <c r="BX14" i="6"/>
  <c r="BW14" i="6"/>
  <c r="BT14" i="6"/>
  <c r="BK14" i="6"/>
  <c r="AU14" i="6"/>
  <c r="BB14" i="6" s="1"/>
  <c r="AL14" i="6"/>
  <c r="AS14" i="6" s="1"/>
  <c r="AT14" i="6" s="1"/>
  <c r="AJ14" i="6"/>
  <c r="AK14" i="6" s="1"/>
  <c r="CD14" i="6" s="1"/>
  <c r="AC14" i="6"/>
  <c r="AA14" i="6"/>
  <c r="R14" i="6"/>
  <c r="I14" i="6"/>
  <c r="CA13" i="6"/>
  <c r="BZ13" i="6"/>
  <c r="BY13" i="6"/>
  <c r="BX13" i="6"/>
  <c r="BW13" i="6"/>
  <c r="BT13" i="6"/>
  <c r="BK13" i="6"/>
  <c r="AU13" i="6"/>
  <c r="BB13" i="6" s="1"/>
  <c r="AT13" i="6"/>
  <c r="AL13" i="6"/>
  <c r="AS13" i="6" s="1"/>
  <c r="AC13" i="6"/>
  <c r="BV13" i="6" s="1"/>
  <c r="CC13" i="6" s="1"/>
  <c r="AA13" i="6"/>
  <c r="R13" i="6"/>
  <c r="I13" i="6"/>
  <c r="CA12" i="6"/>
  <c r="BZ12" i="6"/>
  <c r="BY12" i="6"/>
  <c r="BX12" i="6"/>
  <c r="BW12" i="6"/>
  <c r="BT12" i="6"/>
  <c r="BK12" i="6"/>
  <c r="BB12" i="6"/>
  <c r="AU12" i="6"/>
  <c r="AL12" i="6"/>
  <c r="AS12" i="6" s="1"/>
  <c r="AT12" i="6" s="1"/>
  <c r="AK12" i="6"/>
  <c r="AC12" i="6"/>
  <c r="AJ12" i="6" s="1"/>
  <c r="AA12" i="6"/>
  <c r="AB12" i="6" s="1"/>
  <c r="T12" i="6"/>
  <c r="BV12" i="6" s="1"/>
  <c r="CC12" i="6" s="1"/>
  <c r="S12" i="6"/>
  <c r="R12" i="6"/>
  <c r="K12" i="6"/>
  <c r="I12" i="6"/>
  <c r="CA11" i="6"/>
  <c r="BZ11" i="6"/>
  <c r="BY11" i="6"/>
  <c r="BX11" i="6"/>
  <c r="BW11" i="6"/>
  <c r="BV11" i="6"/>
  <c r="CC11" i="6" s="1"/>
  <c r="BT11" i="6"/>
  <c r="BK11" i="6"/>
  <c r="BB11" i="6"/>
  <c r="AU11" i="6"/>
  <c r="AL11" i="6"/>
  <c r="AS11" i="6" s="1"/>
  <c r="AT11" i="6" s="1"/>
  <c r="AC11" i="6"/>
  <c r="AJ11" i="6" s="1"/>
  <c r="AK11" i="6" s="1"/>
  <c r="T11" i="6"/>
  <c r="AA11" i="6" s="1"/>
  <c r="AB11" i="6" s="1"/>
  <c r="S11" i="6"/>
  <c r="R11" i="6"/>
  <c r="K11" i="6"/>
  <c r="I11" i="6"/>
  <c r="CA10" i="6"/>
  <c r="BZ10" i="6"/>
  <c r="BY10" i="6"/>
  <c r="BX10" i="6"/>
  <c r="BX17" i="6" s="1"/>
  <c r="BW10" i="6"/>
  <c r="BT10" i="6"/>
  <c r="BK10" i="6"/>
  <c r="AU10" i="6"/>
  <c r="BB10" i="6" s="1"/>
  <c r="BB17" i="6" s="1"/>
  <c r="AS10" i="6"/>
  <c r="AT10" i="6" s="1"/>
  <c r="AL10" i="6"/>
  <c r="AC10" i="6"/>
  <c r="AJ10" i="6" s="1"/>
  <c r="AK10" i="6" s="1"/>
  <c r="T10" i="6"/>
  <c r="AA10" i="6" s="1"/>
  <c r="AB10" i="6" s="1"/>
  <c r="K10" i="6"/>
  <c r="R10" i="6" s="1"/>
  <c r="S10" i="6" s="1"/>
  <c r="I10" i="6"/>
  <c r="CA9" i="6"/>
  <c r="BZ9" i="6"/>
  <c r="BY9" i="6"/>
  <c r="BX9" i="6"/>
  <c r="BW9" i="6"/>
  <c r="BT9" i="6"/>
  <c r="BK9" i="6"/>
  <c r="BB9" i="6"/>
  <c r="AS9" i="6"/>
  <c r="AT9" i="6" s="1"/>
  <c r="AL9" i="6"/>
  <c r="AC9" i="6"/>
  <c r="AJ9" i="6" s="1"/>
  <c r="AK9" i="6" s="1"/>
  <c r="AB9" i="6"/>
  <c r="AA9" i="6"/>
  <c r="T9" i="6"/>
  <c r="R9" i="6"/>
  <c r="S9" i="6" s="1"/>
  <c r="K9" i="6"/>
  <c r="BV9" i="6" s="1"/>
  <c r="CC9" i="6" s="1"/>
  <c r="I9" i="6"/>
  <c r="CA8" i="6"/>
  <c r="BZ8" i="6"/>
  <c r="BY8" i="6"/>
  <c r="BX8" i="6"/>
  <c r="BW8" i="6"/>
  <c r="BT8" i="6"/>
  <c r="BK8" i="6"/>
  <c r="BL8" i="6" s="1"/>
  <c r="BB8" i="6"/>
  <c r="AT8" i="6"/>
  <c r="AS8" i="6"/>
  <c r="AL8" i="6"/>
  <c r="AC8" i="6"/>
  <c r="AJ8" i="6" s="1"/>
  <c r="AK8" i="6" s="1"/>
  <c r="AA8" i="6"/>
  <c r="AB8" i="6" s="1"/>
  <c r="T8" i="6"/>
  <c r="K8" i="6"/>
  <c r="K17" i="6" s="1"/>
  <c r="B8" i="6"/>
  <c r="I8" i="6" s="1"/>
  <c r="J8" i="6" s="1"/>
  <c r="CA7" i="6"/>
  <c r="BZ7" i="6"/>
  <c r="BY7" i="6"/>
  <c r="BX7" i="6"/>
  <c r="BW7" i="6"/>
  <c r="BT7" i="6"/>
  <c r="BK7" i="6"/>
  <c r="BB7" i="6"/>
  <c r="AL7" i="6"/>
  <c r="AS7" i="6" s="1"/>
  <c r="AT7" i="6" s="1"/>
  <c r="AK7" i="6"/>
  <c r="AC7" i="6"/>
  <c r="AJ7" i="6" s="1"/>
  <c r="T7" i="6"/>
  <c r="AA7" i="6" s="1"/>
  <c r="AB7" i="6" s="1"/>
  <c r="S7" i="6"/>
  <c r="R7" i="6"/>
  <c r="K7" i="6"/>
  <c r="B7" i="6"/>
  <c r="I7" i="6" s="1"/>
  <c r="J7" i="6" s="1"/>
  <c r="CA6" i="6"/>
  <c r="CA17" i="6" s="1"/>
  <c r="BZ6" i="6"/>
  <c r="BZ17" i="6" s="1"/>
  <c r="BY6" i="6"/>
  <c r="BX6" i="6"/>
  <c r="BW6" i="6"/>
  <c r="BT6" i="6"/>
  <c r="BD6" i="6"/>
  <c r="BK6" i="6" s="1"/>
  <c r="BL6" i="6" s="1"/>
  <c r="BB6" i="6"/>
  <c r="AL6" i="6"/>
  <c r="AS6" i="6" s="1"/>
  <c r="AT6" i="6" s="1"/>
  <c r="AC6" i="6"/>
  <c r="AJ6" i="6" s="1"/>
  <c r="AK6" i="6" s="1"/>
  <c r="AB6" i="6"/>
  <c r="AA6" i="6"/>
  <c r="T6" i="6"/>
  <c r="K6" i="6"/>
  <c r="R6" i="6" s="1"/>
  <c r="S6" i="6" s="1"/>
  <c r="I6" i="6"/>
  <c r="J6" i="6" s="1"/>
  <c r="B6" i="6"/>
  <c r="BV6" i="6" s="1"/>
  <c r="CC6" i="6" s="1"/>
  <c r="CA5" i="6"/>
  <c r="BZ5" i="6"/>
  <c r="BY5" i="6"/>
  <c r="BX5" i="6"/>
  <c r="BW5" i="6"/>
  <c r="BT5" i="6"/>
  <c r="BD5" i="6"/>
  <c r="BK5" i="6" s="1"/>
  <c r="BL5" i="6" s="1"/>
  <c r="BB5" i="6"/>
  <c r="AS5" i="6"/>
  <c r="AT5" i="6" s="1"/>
  <c r="AL5" i="6"/>
  <c r="AC5" i="6"/>
  <c r="AJ5" i="6" s="1"/>
  <c r="AK5" i="6" s="1"/>
  <c r="AB5" i="6"/>
  <c r="AA5" i="6"/>
  <c r="T5" i="6"/>
  <c r="K5" i="6"/>
  <c r="R5" i="6" s="1"/>
  <c r="S5" i="6" s="1"/>
  <c r="B5" i="6"/>
  <c r="BV5" i="6" s="1"/>
  <c r="CC5" i="6" s="1"/>
  <c r="CA4" i="6"/>
  <c r="BZ4" i="6"/>
  <c r="BY4" i="6"/>
  <c r="BX4" i="6"/>
  <c r="BW4" i="6"/>
  <c r="BW17" i="6" s="1"/>
  <c r="BT4" i="6"/>
  <c r="BD4" i="6"/>
  <c r="BD17" i="6" s="1"/>
  <c r="BD150" i="6" s="1"/>
  <c r="BK150" i="6" s="1"/>
  <c r="BB4" i="6"/>
  <c r="AL4" i="6"/>
  <c r="AC4" i="6"/>
  <c r="AA4" i="6"/>
  <c r="AB4" i="6" s="1"/>
  <c r="T4" i="6"/>
  <c r="T3" i="6" s="1"/>
  <c r="T74" i="6" s="1"/>
  <c r="S4" i="6"/>
  <c r="R4" i="6"/>
  <c r="K4" i="6"/>
  <c r="B4" i="6"/>
  <c r="BM3" i="6"/>
  <c r="BM74" i="6" s="1"/>
  <c r="AU3" i="6"/>
  <c r="BB3" i="6" s="1"/>
  <c r="AC3" i="6"/>
  <c r="AJ3" i="6" s="1"/>
  <c r="CC2" i="6"/>
  <c r="BT2" i="6"/>
  <c r="BK2" i="6"/>
  <c r="BB2" i="6"/>
  <c r="AS2" i="6"/>
  <c r="AJ2" i="6"/>
  <c r="AA2" i="6"/>
  <c r="R2" i="6"/>
  <c r="I2" i="6"/>
  <c r="BM118" i="3"/>
  <c r="BO120" i="3"/>
  <c r="BD213" i="3"/>
  <c r="C53" i="4"/>
  <c r="C54" i="4"/>
  <c r="C55" i="4"/>
  <c r="E55" i="4"/>
  <c r="E53" i="4"/>
  <c r="E54" i="4"/>
  <c r="E56" i="4"/>
  <c r="BV196" i="6" l="1"/>
  <c r="CC196" i="6" s="1"/>
  <c r="BC196" i="8"/>
  <c r="G196" i="9"/>
  <c r="CD196" i="8"/>
  <c r="G196" i="10"/>
  <c r="BL196" i="8"/>
  <c r="N211" i="8"/>
  <c r="N219" i="8" s="1"/>
  <c r="N220" i="8" s="1"/>
  <c r="W211" i="8"/>
  <c r="W219" i="8" s="1"/>
  <c r="W220" i="8" s="1"/>
  <c r="BL196" i="7"/>
  <c r="BV196" i="7"/>
  <c r="CC196" i="7" s="1"/>
  <c r="E196" i="9"/>
  <c r="E197" i="9" s="1"/>
  <c r="BC196" i="6"/>
  <c r="CD196" i="6"/>
  <c r="E196" i="10"/>
  <c r="BL196" i="6"/>
  <c r="W211" i="6"/>
  <c r="CC50" i="8"/>
  <c r="G50" i="10" s="1"/>
  <c r="G61" i="10" s="1"/>
  <c r="G64" i="10" s="1"/>
  <c r="BK118" i="8"/>
  <c r="G118" i="11" s="1"/>
  <c r="BW61" i="8"/>
  <c r="BW64" i="8" s="1"/>
  <c r="G61" i="11"/>
  <c r="G64" i="11" s="1"/>
  <c r="BE63" i="8"/>
  <c r="BE65" i="8" s="1"/>
  <c r="BE136" i="8" s="1"/>
  <c r="CC50" i="6"/>
  <c r="E50" i="10" s="1"/>
  <c r="BW61" i="6"/>
  <c r="BW64" i="6" s="1"/>
  <c r="BK61" i="6"/>
  <c r="BK64" i="6" s="1"/>
  <c r="BV61" i="6"/>
  <c r="BV64" i="6" s="1"/>
  <c r="G154" i="11"/>
  <c r="BB79" i="8"/>
  <c r="G79" i="9" s="1"/>
  <c r="G80" i="9" s="1"/>
  <c r="G97" i="9" s="1"/>
  <c r="G70" i="9" s="1"/>
  <c r="BB82" i="8"/>
  <c r="G82" i="9" s="1"/>
  <c r="G90" i="9" s="1"/>
  <c r="AS79" i="8"/>
  <c r="CC21" i="8"/>
  <c r="G21" i="10" s="1"/>
  <c r="I151" i="8"/>
  <c r="CC22" i="8"/>
  <c r="G22" i="10" s="1"/>
  <c r="I79" i="8"/>
  <c r="CC20" i="8"/>
  <c r="G20" i="10" s="1"/>
  <c r="F154" i="11"/>
  <c r="F80" i="9"/>
  <c r="F90" i="9"/>
  <c r="F97" i="9" s="1"/>
  <c r="F70" i="9" s="1"/>
  <c r="AM97" i="7"/>
  <c r="AS82" i="7"/>
  <c r="AD80" i="7"/>
  <c r="AJ82" i="7"/>
  <c r="U80" i="7"/>
  <c r="AA151" i="7"/>
  <c r="L97" i="7"/>
  <c r="BV75" i="7"/>
  <c r="CC75" i="7" s="1"/>
  <c r="F75" i="10" s="1"/>
  <c r="I75" i="7"/>
  <c r="CC20" i="7"/>
  <c r="F20" i="10" s="1"/>
  <c r="E80" i="11"/>
  <c r="BE80" i="6"/>
  <c r="BE97" i="6" s="1"/>
  <c r="BB151" i="6"/>
  <c r="E151" i="9" s="1"/>
  <c r="AV97" i="6"/>
  <c r="AS79" i="6"/>
  <c r="AM90" i="6"/>
  <c r="AM97" i="6" s="1"/>
  <c r="CC21" i="6"/>
  <c r="E21" i="10" s="1"/>
  <c r="AD97" i="6"/>
  <c r="AJ79" i="6"/>
  <c r="AA82" i="6"/>
  <c r="U80" i="6"/>
  <c r="U97" i="6" s="1"/>
  <c r="CC20" i="6"/>
  <c r="E20" i="10" s="1"/>
  <c r="I82" i="6"/>
  <c r="G36" i="11"/>
  <c r="G63" i="11" s="1"/>
  <c r="G65" i="11" s="1"/>
  <c r="G36" i="10"/>
  <c r="G63" i="10" s="1"/>
  <c r="BD114" i="7"/>
  <c r="F36" i="10"/>
  <c r="F63" i="10" s="1"/>
  <c r="BV36" i="6"/>
  <c r="BV63" i="6" s="1"/>
  <c r="BD114" i="6"/>
  <c r="BK114" i="6" s="1"/>
  <c r="E114" i="11" s="1"/>
  <c r="E36" i="10"/>
  <c r="E63" i="10" s="1"/>
  <c r="D66" i="4"/>
  <c r="D73" i="4"/>
  <c r="C73" i="4"/>
  <c r="E74" i="4" s="1"/>
  <c r="E60" i="4"/>
  <c r="C74" i="4"/>
  <c r="C68" i="4"/>
  <c r="C76" i="4"/>
  <c r="E58" i="4"/>
  <c r="E61" i="4"/>
  <c r="D76" i="4"/>
  <c r="C77" i="4"/>
  <c r="C64" i="4"/>
  <c r="D70" i="4"/>
  <c r="D77" i="4"/>
  <c r="D64" i="4"/>
  <c r="G209" i="11"/>
  <c r="BV203" i="8"/>
  <c r="CC203" i="8" s="1"/>
  <c r="G203" i="10" s="1"/>
  <c r="BV177" i="8"/>
  <c r="CC177" i="8" s="1"/>
  <c r="G177" i="10" s="1"/>
  <c r="BV178" i="8"/>
  <c r="AS118" i="8"/>
  <c r="BW118" i="8"/>
  <c r="AA120" i="8"/>
  <c r="BV119" i="8"/>
  <c r="CC119" i="8" s="1"/>
  <c r="G119" i="10" s="1"/>
  <c r="AA118" i="8"/>
  <c r="BV117" i="8"/>
  <c r="CC117" i="8" s="1"/>
  <c r="G117" i="10" s="1"/>
  <c r="BX118" i="8"/>
  <c r="M121" i="8"/>
  <c r="M132" i="8" s="1"/>
  <c r="R118" i="8"/>
  <c r="BX120" i="8"/>
  <c r="CC120" i="8" s="1"/>
  <c r="G120" i="10" s="1"/>
  <c r="AH133" i="8"/>
  <c r="I120" i="8"/>
  <c r="I119" i="8"/>
  <c r="R120" i="8"/>
  <c r="BB118" i="8"/>
  <c r="G118" i="9" s="1"/>
  <c r="G121" i="9" s="1"/>
  <c r="G132" i="9" s="1"/>
  <c r="I117" i="8"/>
  <c r="BV118" i="8"/>
  <c r="BK156" i="7"/>
  <c r="F156" i="11" s="1"/>
  <c r="BV156" i="7"/>
  <c r="F209" i="11"/>
  <c r="CC178" i="7"/>
  <c r="F178" i="10" s="1"/>
  <c r="AS116" i="7"/>
  <c r="M132" i="7"/>
  <c r="CC120" i="7"/>
  <c r="F120" i="10" s="1"/>
  <c r="E197" i="11"/>
  <c r="R178" i="6"/>
  <c r="BV178" i="6"/>
  <c r="CC178" i="6" s="1"/>
  <c r="E178" i="10" s="1"/>
  <c r="BV162" i="6"/>
  <c r="CC162" i="6" s="1"/>
  <c r="E162" i="10" s="1"/>
  <c r="CC126" i="6"/>
  <c r="E126" i="10" s="1"/>
  <c r="CC113" i="6"/>
  <c r="E113" i="10" s="1"/>
  <c r="E17" i="9"/>
  <c r="E96" i="9"/>
  <c r="E17" i="10"/>
  <c r="E61" i="10"/>
  <c r="E64" i="10" s="1"/>
  <c r="E90" i="9"/>
  <c r="E90" i="11"/>
  <c r="E97" i="11" s="1"/>
  <c r="BY121" i="6"/>
  <c r="E154" i="9"/>
  <c r="E131" i="11"/>
  <c r="D132" i="11"/>
  <c r="D69" i="11" s="1"/>
  <c r="B132" i="11"/>
  <c r="G103" i="11"/>
  <c r="E103" i="11"/>
  <c r="B97" i="11"/>
  <c r="C97" i="11"/>
  <c r="E61" i="11"/>
  <c r="E64" i="11" s="1"/>
  <c r="F61" i="11"/>
  <c r="F64" i="11" s="1"/>
  <c r="D65" i="11"/>
  <c r="B65" i="11"/>
  <c r="C65" i="11"/>
  <c r="E36" i="11"/>
  <c r="E63" i="11" s="1"/>
  <c r="F36" i="11"/>
  <c r="F63" i="11" s="1"/>
  <c r="G17" i="11"/>
  <c r="B142" i="11"/>
  <c r="B68" i="11"/>
  <c r="B69" i="11"/>
  <c r="B70" i="11"/>
  <c r="C70" i="11"/>
  <c r="C121" i="11"/>
  <c r="C132" i="11" s="1"/>
  <c r="C69" i="11" s="1"/>
  <c r="D3" i="11"/>
  <c r="F3" i="11"/>
  <c r="G3" i="11"/>
  <c r="K2" i="11"/>
  <c r="C209" i="9"/>
  <c r="D141" i="9"/>
  <c r="C121" i="9"/>
  <c r="C132" i="9" s="1"/>
  <c r="G205" i="10"/>
  <c r="G209" i="9"/>
  <c r="AJ103" i="8"/>
  <c r="G103" i="10"/>
  <c r="BY103" i="7"/>
  <c r="CC101" i="7"/>
  <c r="F101" i="10" s="1"/>
  <c r="F103" i="10" s="1"/>
  <c r="CC205" i="7"/>
  <c r="BY103" i="6"/>
  <c r="F36" i="9"/>
  <c r="F63" i="9" s="1"/>
  <c r="B69" i="10"/>
  <c r="B142" i="10"/>
  <c r="C70" i="10"/>
  <c r="B3" i="10"/>
  <c r="E3" i="10"/>
  <c r="E103" i="9"/>
  <c r="E61" i="9"/>
  <c r="E64" i="9" s="1"/>
  <c r="E65" i="9" s="1"/>
  <c r="F61" i="9"/>
  <c r="F64" i="9" s="1"/>
  <c r="G65" i="9"/>
  <c r="D65" i="9"/>
  <c r="F65" i="9"/>
  <c r="C36" i="9"/>
  <c r="C63" i="9" s="1"/>
  <c r="C65" i="9" s="1"/>
  <c r="K2" i="9"/>
  <c r="J2" i="9"/>
  <c r="C3" i="9"/>
  <c r="C17" i="9"/>
  <c r="F3" i="9"/>
  <c r="D132" i="9"/>
  <c r="G3" i="9"/>
  <c r="E3" i="9"/>
  <c r="D3" i="9"/>
  <c r="C97" i="9"/>
  <c r="C70" i="9" s="1"/>
  <c r="B103" i="9"/>
  <c r="B36" i="9"/>
  <c r="B63" i="9" s="1"/>
  <c r="B61" i="9"/>
  <c r="B64" i="9" s="1"/>
  <c r="B90" i="9"/>
  <c r="B131" i="9"/>
  <c r="BV36" i="8"/>
  <c r="BV63" i="8" s="1"/>
  <c r="BV65" i="8" s="1"/>
  <c r="AL3" i="8"/>
  <c r="CC42" i="8"/>
  <c r="P65" i="8"/>
  <c r="BM168" i="8"/>
  <c r="BT168" i="8" s="1"/>
  <c r="BM167" i="8"/>
  <c r="BT167" i="8" s="1"/>
  <c r="BM166" i="8"/>
  <c r="BT166" i="8" s="1"/>
  <c r="BM80" i="8"/>
  <c r="BM97" i="8" s="1"/>
  <c r="BT74" i="8"/>
  <c r="CD11" i="8"/>
  <c r="AQ65" i="8"/>
  <c r="H161" i="8"/>
  <c r="H136" i="8"/>
  <c r="BR161" i="8"/>
  <c r="BR136" i="8"/>
  <c r="BI161" i="8"/>
  <c r="BI170" i="8" s="1"/>
  <c r="BI136" i="8"/>
  <c r="AG161" i="8"/>
  <c r="AG136" i="8"/>
  <c r="Z133" i="8"/>
  <c r="CD27" i="8"/>
  <c r="BX65" i="8"/>
  <c r="Y161" i="8"/>
  <c r="Y170" i="8" s="1"/>
  <c r="Y136" i="8"/>
  <c r="BV11" i="8"/>
  <c r="CC11" i="8" s="1"/>
  <c r="BJ161" i="8"/>
  <c r="BJ134" i="8"/>
  <c r="BJ136" i="8"/>
  <c r="AY135" i="8"/>
  <c r="AY140" i="8"/>
  <c r="AY63" i="8"/>
  <c r="AY65" i="8" s="1"/>
  <c r="AI161" i="8"/>
  <c r="AI134" i="8"/>
  <c r="AI136" i="8"/>
  <c r="CC8" i="8"/>
  <c r="AJ22" i="8"/>
  <c r="AC76" i="8"/>
  <c r="AJ76" i="8" s="1"/>
  <c r="AI135" i="8"/>
  <c r="AI141" i="8" s="1"/>
  <c r="AI142" i="8" s="1"/>
  <c r="AI140" i="8"/>
  <c r="AM65" i="8"/>
  <c r="AM136" i="8" s="1"/>
  <c r="AC74" i="8"/>
  <c r="AJ3" i="8"/>
  <c r="T135" i="8"/>
  <c r="T140" i="8"/>
  <c r="T63" i="8"/>
  <c r="T65" i="8" s="1"/>
  <c r="T136" i="8" s="1"/>
  <c r="AA114" i="8"/>
  <c r="AT4" i="8"/>
  <c r="T74" i="8"/>
  <c r="AA3" i="8"/>
  <c r="AA65" i="8"/>
  <c r="I115" i="8"/>
  <c r="C121" i="8"/>
  <c r="C132" i="8" s="1"/>
  <c r="BV6" i="8"/>
  <c r="CC6" i="8" s="1"/>
  <c r="I6" i="8"/>
  <c r="J6" i="8" s="1"/>
  <c r="CD6" i="8" s="1"/>
  <c r="AS14" i="8"/>
  <c r="AT14" i="8" s="1"/>
  <c r="CD14" i="8" s="1"/>
  <c r="BV14" i="8"/>
  <c r="CC14" i="8" s="1"/>
  <c r="I65" i="8"/>
  <c r="D140" i="8"/>
  <c r="D135" i="8"/>
  <c r="D63" i="8"/>
  <c r="D65" i="8" s="1"/>
  <c r="D136" i="8" s="1"/>
  <c r="CC52" i="8"/>
  <c r="AV133" i="8"/>
  <c r="AU3" i="8"/>
  <c r="B17" i="8"/>
  <c r="CA17" i="8"/>
  <c r="AJ11" i="8"/>
  <c r="AK11" i="8" s="1"/>
  <c r="BW36" i="8"/>
  <c r="BW63" i="8" s="1"/>
  <c r="Q65" i="8"/>
  <c r="BN140" i="8"/>
  <c r="BN135" i="8"/>
  <c r="BN115" i="8"/>
  <c r="AJ61" i="8"/>
  <c r="AJ64" i="8" s="1"/>
  <c r="CC86" i="8"/>
  <c r="BS140" i="8"/>
  <c r="BS135" i="8"/>
  <c r="BS63" i="8"/>
  <c r="BS65" i="8" s="1"/>
  <c r="AU17" i="8"/>
  <c r="CC23" i="8"/>
  <c r="CC33" i="8"/>
  <c r="C135" i="8"/>
  <c r="C140" i="8"/>
  <c r="AH140" i="8"/>
  <c r="AH135" i="8"/>
  <c r="AW135" i="8"/>
  <c r="AW140" i="8"/>
  <c r="BO140" i="8"/>
  <c r="BO135" i="8"/>
  <c r="BO63" i="8"/>
  <c r="BO65" i="8" s="1"/>
  <c r="BO136" i="8" s="1"/>
  <c r="CC47" i="8"/>
  <c r="AH63" i="8"/>
  <c r="AH65" i="8" s="1"/>
  <c r="BG65" i="8"/>
  <c r="L80" i="8"/>
  <c r="L97" i="8" s="1"/>
  <c r="R79" i="8"/>
  <c r="CC107" i="8"/>
  <c r="G107" i="10" s="1"/>
  <c r="BI133" i="8"/>
  <c r="I7" i="8"/>
  <c r="J7" i="8" s="1"/>
  <c r="CD7" i="8" s="1"/>
  <c r="I9" i="8"/>
  <c r="J9" i="8" s="1"/>
  <c r="CD9" i="8" s="1"/>
  <c r="T17" i="8"/>
  <c r="X161" i="8"/>
  <c r="X136" i="8"/>
  <c r="BD135" i="8"/>
  <c r="BD140" i="8"/>
  <c r="BK114" i="8"/>
  <c r="G114" i="11" s="1"/>
  <c r="BD63" i="8"/>
  <c r="BD65" i="8" s="1"/>
  <c r="BD136" i="8" s="1"/>
  <c r="CC39" i="8"/>
  <c r="BV96" i="8"/>
  <c r="CC92" i="8"/>
  <c r="BV103" i="8"/>
  <c r="CC100" i="8"/>
  <c r="BZ121" i="8"/>
  <c r="BS133" i="8"/>
  <c r="Y133" i="8"/>
  <c r="K160" i="8"/>
  <c r="R160" i="8" s="1"/>
  <c r="K147" i="8"/>
  <c r="R147" i="8" s="1"/>
  <c r="K148" i="8"/>
  <c r="R148" i="8" s="1"/>
  <c r="K187" i="8"/>
  <c r="R187" i="8" s="1"/>
  <c r="K149" i="8"/>
  <c r="R149" i="8" s="1"/>
  <c r="M183" i="8"/>
  <c r="L157" i="8"/>
  <c r="K144" i="8"/>
  <c r="K153" i="8"/>
  <c r="R153" i="8" s="1"/>
  <c r="K150" i="8"/>
  <c r="R150" i="8" s="1"/>
  <c r="K164" i="8"/>
  <c r="R164" i="8" s="1"/>
  <c r="M84" i="8"/>
  <c r="AJ65" i="8"/>
  <c r="BK61" i="8"/>
  <c r="BK64" i="8" s="1"/>
  <c r="R4" i="8"/>
  <c r="CA36" i="8"/>
  <c r="CA63" i="8" s="1"/>
  <c r="CA65" i="8" s="1"/>
  <c r="BT61" i="8"/>
  <c r="BT64" i="8" s="1"/>
  <c r="E131" i="8"/>
  <c r="BY130" i="8"/>
  <c r="BY131" i="8" s="1"/>
  <c r="E140" i="8"/>
  <c r="B3" i="8"/>
  <c r="BD3" i="8"/>
  <c r="BT17" i="8"/>
  <c r="BB36" i="8"/>
  <c r="BB63" i="8" s="1"/>
  <c r="BB65" i="8" s="1"/>
  <c r="Y135" i="8"/>
  <c r="Y140" i="8"/>
  <c r="AN140" i="8"/>
  <c r="AN135" i="8"/>
  <c r="AN63" i="8"/>
  <c r="AN65" i="8" s="1"/>
  <c r="AN136" i="8" s="1"/>
  <c r="BV75" i="8"/>
  <c r="CC75" i="8" s="1"/>
  <c r="G75" i="10" s="1"/>
  <c r="BV77" i="8"/>
  <c r="CC77" i="8" s="1"/>
  <c r="R77" i="8"/>
  <c r="AV97" i="8"/>
  <c r="BW96" i="8"/>
  <c r="BT103" i="8"/>
  <c r="AR133" i="8"/>
  <c r="AD154" i="8"/>
  <c r="AJ151" i="8"/>
  <c r="BW151" i="8"/>
  <c r="BW154" i="8" s="1"/>
  <c r="AE121" i="8"/>
  <c r="AE132" i="8" s="1"/>
  <c r="AF140" i="8"/>
  <c r="AF131" i="8"/>
  <c r="AF132" i="8" s="1"/>
  <c r="BF183" i="8"/>
  <c r="BK183" i="8" s="1"/>
  <c r="BD144" i="8"/>
  <c r="BD147" i="8"/>
  <c r="BK147" i="8" s="1"/>
  <c r="BD164" i="8"/>
  <c r="BK164" i="8" s="1"/>
  <c r="BE157" i="8"/>
  <c r="BD150" i="8"/>
  <c r="BK150" i="8" s="1"/>
  <c r="BF182" i="8"/>
  <c r="BD149" i="8"/>
  <c r="BK149" i="8" s="1"/>
  <c r="BD148" i="8"/>
  <c r="BK148" i="8" s="1"/>
  <c r="BD153" i="8"/>
  <c r="BK153" i="8" s="1"/>
  <c r="BD160" i="8"/>
  <c r="BD187" i="8"/>
  <c r="BK187" i="8" s="1"/>
  <c r="BF83" i="8"/>
  <c r="BF84" i="8"/>
  <c r="BK84" i="8" s="1"/>
  <c r="F135" i="8"/>
  <c r="F140" i="8"/>
  <c r="U140" i="8"/>
  <c r="AZ135" i="8"/>
  <c r="AZ140" i="8"/>
  <c r="AS61" i="8"/>
  <c r="AS64" i="8" s="1"/>
  <c r="AS65" i="8" s="1"/>
  <c r="K121" i="8"/>
  <c r="K132" i="8" s="1"/>
  <c r="T131" i="8"/>
  <c r="AA128" i="8"/>
  <c r="BF133" i="8"/>
  <c r="BR133" i="8"/>
  <c r="BV4" i="8"/>
  <c r="BV10" i="8"/>
  <c r="CC10" i="8" s="1"/>
  <c r="R10" i="8"/>
  <c r="S10" i="8" s="1"/>
  <c r="BV12" i="8"/>
  <c r="CC12" i="8" s="1"/>
  <c r="CC35" i="8"/>
  <c r="CC36" i="8" s="1"/>
  <c r="CC63" i="8" s="1"/>
  <c r="K65" i="8"/>
  <c r="K136" i="8" s="1"/>
  <c r="BF140" i="8"/>
  <c r="BF135" i="8"/>
  <c r="BF63" i="8"/>
  <c r="BF65" i="8" s="1"/>
  <c r="BF136" i="8" s="1"/>
  <c r="CB135" i="8"/>
  <c r="CB63" i="8"/>
  <c r="CB65" i="8" s="1"/>
  <c r="CB140" i="8"/>
  <c r="CC49" i="8"/>
  <c r="CC59" i="8"/>
  <c r="BB100" i="8"/>
  <c r="AY103" i="8"/>
  <c r="BT131" i="8"/>
  <c r="BK130" i="8"/>
  <c r="BK131" i="8" s="1"/>
  <c r="BE131" i="8"/>
  <c r="U135" i="8"/>
  <c r="I8" i="8"/>
  <c r="J8" i="8" s="1"/>
  <c r="CD8" i="8" s="1"/>
  <c r="K3" i="8"/>
  <c r="AC17" i="8"/>
  <c r="BL27" i="8"/>
  <c r="BK36" i="8"/>
  <c r="BK63" i="8" s="1"/>
  <c r="L135" i="8"/>
  <c r="L140" i="8"/>
  <c r="BW115" i="8"/>
  <c r="AQ135" i="8"/>
  <c r="AQ140" i="8"/>
  <c r="BY61" i="8"/>
  <c r="BY64" i="8" s="1"/>
  <c r="BY65" i="8" s="1"/>
  <c r="CC101" i="8"/>
  <c r="G101" i="10" s="1"/>
  <c r="BX103" i="8"/>
  <c r="X121" i="8"/>
  <c r="X132" i="8" s="1"/>
  <c r="BJ133" i="8"/>
  <c r="BJ141" i="8" s="1"/>
  <c r="BJ142" i="8" s="1"/>
  <c r="Q133" i="8"/>
  <c r="CC123" i="8"/>
  <c r="G123" i="10" s="1"/>
  <c r="BT3" i="8"/>
  <c r="AJ4" i="8"/>
  <c r="AB5" i="8"/>
  <c r="AB17" i="8" s="1"/>
  <c r="AA10" i="8"/>
  <c r="AB10" i="8" s="1"/>
  <c r="BV16" i="8"/>
  <c r="CC16" i="8" s="1"/>
  <c r="J27" i="8"/>
  <c r="J17" i="8"/>
  <c r="BT36" i="8"/>
  <c r="BT63" i="8" s="1"/>
  <c r="BT65" i="8" s="1"/>
  <c r="CC31" i="8"/>
  <c r="AR65" i="8"/>
  <c r="BI140" i="8"/>
  <c r="BI135" i="8"/>
  <c r="I61" i="8"/>
  <c r="I64" i="8" s="1"/>
  <c r="BZ61" i="8"/>
  <c r="BZ64" i="8" s="1"/>
  <c r="BZ65" i="8" s="1"/>
  <c r="CC45" i="8"/>
  <c r="CC55" i="8"/>
  <c r="E65" i="8"/>
  <c r="AX65" i="8"/>
  <c r="BK79" i="8"/>
  <c r="G79" i="11" s="1"/>
  <c r="G80" i="11" s="1"/>
  <c r="G97" i="11" s="1"/>
  <c r="BE90" i="8"/>
  <c r="BE97" i="8" s="1"/>
  <c r="BK82" i="8"/>
  <c r="G82" i="11" s="1"/>
  <c r="G90" i="11" s="1"/>
  <c r="BV111" i="8"/>
  <c r="CC111" i="8" s="1"/>
  <c r="G111" i="10" s="1"/>
  <c r="D121" i="8"/>
  <c r="O135" i="8"/>
  <c r="O140" i="8"/>
  <c r="O63" i="8"/>
  <c r="O65" i="8" s="1"/>
  <c r="AD135" i="8"/>
  <c r="AD140" i="8"/>
  <c r="F63" i="8"/>
  <c r="F65" i="8" s="1"/>
  <c r="F161" i="8" s="1"/>
  <c r="AD63" i="8"/>
  <c r="AD65" i="8" s="1"/>
  <c r="AD136" i="8" s="1"/>
  <c r="AZ63" i="8"/>
  <c r="AZ65" i="8" s="1"/>
  <c r="BK109" i="8"/>
  <c r="G109" i="11" s="1"/>
  <c r="BD121" i="8"/>
  <c r="BD132" i="8" s="1"/>
  <c r="BD134" i="8" s="1"/>
  <c r="BK4" i="8"/>
  <c r="G161" i="8"/>
  <c r="G136" i="8"/>
  <c r="AL17" i="8"/>
  <c r="R22" i="8"/>
  <c r="K76" i="8"/>
  <c r="BM135" i="8"/>
  <c r="BM63" i="8"/>
  <c r="BM65" i="8" s="1"/>
  <c r="BM136" i="8" s="1"/>
  <c r="CC41" i="8"/>
  <c r="CC51" i="8"/>
  <c r="BZ103" i="8"/>
  <c r="BZ131" i="8"/>
  <c r="P135" i="8"/>
  <c r="P140" i="8"/>
  <c r="CA140" i="8" s="1"/>
  <c r="AE140" i="8"/>
  <c r="AE135" i="8"/>
  <c r="AU135" i="8"/>
  <c r="AU140" i="8"/>
  <c r="BJ135" i="8"/>
  <c r="BJ140" i="8"/>
  <c r="AE63" i="8"/>
  <c r="AE65" i="8" s="1"/>
  <c r="AE136" i="8" s="1"/>
  <c r="CC85" i="8"/>
  <c r="BB103" i="8"/>
  <c r="R112" i="8"/>
  <c r="AY133" i="8"/>
  <c r="AP132" i="8"/>
  <c r="BP141" i="8"/>
  <c r="BP142" i="8" s="1"/>
  <c r="BP211" i="8" s="1"/>
  <c r="BP219" i="8" s="1"/>
  <c r="BP220" i="8" s="1"/>
  <c r="CC138" i="8"/>
  <c r="CC199" i="8"/>
  <c r="G199" i="10" s="1"/>
  <c r="B135" i="8"/>
  <c r="B140" i="8"/>
  <c r="Q140" i="8"/>
  <c r="Q135" i="8"/>
  <c r="AG135" i="8"/>
  <c r="AG140" i="8"/>
  <c r="AV140" i="8"/>
  <c r="AV135" i="8"/>
  <c r="U80" i="8"/>
  <c r="U97" i="8" s="1"/>
  <c r="AM97" i="8"/>
  <c r="CC95" i="8"/>
  <c r="BK103" i="8"/>
  <c r="BM121" i="8"/>
  <c r="BM132" i="8" s="1"/>
  <c r="P133" i="8"/>
  <c r="AQ132" i="8"/>
  <c r="BQ133" i="8"/>
  <c r="AA131" i="8"/>
  <c r="I130" i="8"/>
  <c r="CC139" i="8"/>
  <c r="V135" i="8"/>
  <c r="V140" i="8"/>
  <c r="AL140" i="8"/>
  <c r="AS114" i="8"/>
  <c r="AL135" i="8"/>
  <c r="BA140" i="8"/>
  <c r="BA135" i="8"/>
  <c r="BQ140" i="8"/>
  <c r="BQ135" i="8"/>
  <c r="BW79" i="8"/>
  <c r="CC79" i="8" s="1"/>
  <c r="G79" i="10" s="1"/>
  <c r="BW82" i="8"/>
  <c r="BX96" i="8"/>
  <c r="AA100" i="8"/>
  <c r="AA103" i="8" s="1"/>
  <c r="X103" i="8"/>
  <c r="BJ103" i="8"/>
  <c r="BV109" i="8"/>
  <c r="CC109" i="8" s="1"/>
  <c r="G109" i="10" s="1"/>
  <c r="I109" i="8"/>
  <c r="BV116" i="8"/>
  <c r="CC116" i="8" s="1"/>
  <c r="G116" i="10" s="1"/>
  <c r="CC126" i="8"/>
  <c r="G126" i="10" s="1"/>
  <c r="V133" i="8"/>
  <c r="CC163" i="8"/>
  <c r="BX170" i="8"/>
  <c r="BM160" i="8"/>
  <c r="BM153" i="8"/>
  <c r="BT153" i="8" s="1"/>
  <c r="BM147" i="8"/>
  <c r="BT147" i="8" s="1"/>
  <c r="BM148" i="8"/>
  <c r="BT148" i="8" s="1"/>
  <c r="BM149" i="8"/>
  <c r="BT149" i="8" s="1"/>
  <c r="BM150" i="8"/>
  <c r="BT150" i="8" s="1"/>
  <c r="BN157" i="8"/>
  <c r="BO183" i="8"/>
  <c r="BM146" i="8"/>
  <c r="BT146" i="8" s="1"/>
  <c r="BO84" i="8"/>
  <c r="BM144" i="8"/>
  <c r="H135" i="8"/>
  <c r="H140" i="8"/>
  <c r="AM135" i="8"/>
  <c r="AM140" i="8"/>
  <c r="BR140" i="8"/>
  <c r="BR135" i="8"/>
  <c r="AL63" i="8"/>
  <c r="AL65" i="8" s="1"/>
  <c r="AL136" i="8" s="1"/>
  <c r="BY103" i="8"/>
  <c r="BY121" i="8"/>
  <c r="BY132" i="8" s="1"/>
  <c r="AU114" i="8"/>
  <c r="AC121" i="8"/>
  <c r="K140" i="8"/>
  <c r="R140" i="8" s="1"/>
  <c r="K135" i="8"/>
  <c r="R114" i="8"/>
  <c r="Z140" i="8"/>
  <c r="Z135" i="8"/>
  <c r="AP135" i="8"/>
  <c r="AP140" i="8"/>
  <c r="BE135" i="8"/>
  <c r="BE140" i="8"/>
  <c r="Z63" i="8"/>
  <c r="Z65" i="8" s="1"/>
  <c r="BA63" i="8"/>
  <c r="BA65" i="8" s="1"/>
  <c r="R103" i="8"/>
  <c r="CA121" i="8"/>
  <c r="E121" i="8"/>
  <c r="E132" i="8" s="1"/>
  <c r="AG132" i="8"/>
  <c r="BZ100" i="8"/>
  <c r="AL121" i="8"/>
  <c r="AL132" i="8" s="1"/>
  <c r="BV110" i="8"/>
  <c r="CC110" i="8" s="1"/>
  <c r="G110" i="10" s="1"/>
  <c r="BV112" i="8"/>
  <c r="CC112" i="8" s="1"/>
  <c r="G112" i="10" s="1"/>
  <c r="BE121" i="8"/>
  <c r="AO141" i="8"/>
  <c r="AO142" i="8" s="1"/>
  <c r="AO211" i="8" s="1"/>
  <c r="AO219" i="8" s="1"/>
  <c r="AO220" i="8" s="1"/>
  <c r="BA133" i="8"/>
  <c r="M140" i="8"/>
  <c r="M135" i="8"/>
  <c r="AC135" i="8"/>
  <c r="AC140" i="8"/>
  <c r="AJ114" i="8"/>
  <c r="AR140" i="8"/>
  <c r="AR135" i="8"/>
  <c r="B63" i="8"/>
  <c r="B65" i="8" s="1"/>
  <c r="B136" i="8" s="1"/>
  <c r="AC63" i="8"/>
  <c r="AC65" i="8" s="1"/>
  <c r="AC136" i="8" s="1"/>
  <c r="AP63" i="8"/>
  <c r="AP65" i="8" s="1"/>
  <c r="BQ63" i="8"/>
  <c r="BQ65" i="8" s="1"/>
  <c r="BV108" i="8"/>
  <c r="CC108" i="8" s="1"/>
  <c r="G108" i="10" s="1"/>
  <c r="I110" i="8"/>
  <c r="BH133" i="8"/>
  <c r="AM131" i="8"/>
  <c r="AS125" i="8"/>
  <c r="AS131" i="8" s="1"/>
  <c r="BG131" i="8"/>
  <c r="BG132" i="8" s="1"/>
  <c r="AW133" i="8"/>
  <c r="AS146" i="8"/>
  <c r="BY154" i="8"/>
  <c r="CC94" i="8"/>
  <c r="AS103" i="8"/>
  <c r="BO133" i="8"/>
  <c r="AN133" i="8"/>
  <c r="AC131" i="8"/>
  <c r="AJ130" i="8"/>
  <c r="AD131" i="8"/>
  <c r="G135" i="8"/>
  <c r="BX154" i="8"/>
  <c r="O132" i="8"/>
  <c r="L131" i="8"/>
  <c r="BX131" i="8"/>
  <c r="CC129" i="8"/>
  <c r="G129" i="10" s="1"/>
  <c r="CC176" i="8"/>
  <c r="G176" i="10" s="1"/>
  <c r="B121" i="8"/>
  <c r="R131" i="8"/>
  <c r="BT130" i="8"/>
  <c r="R172" i="8"/>
  <c r="BV172" i="8"/>
  <c r="BZ197" i="8"/>
  <c r="BZ130" i="8"/>
  <c r="AA130" i="8"/>
  <c r="BV145" i="8"/>
  <c r="CC145" i="8" s="1"/>
  <c r="BV161" i="8"/>
  <c r="R82" i="8"/>
  <c r="AJ94" i="8"/>
  <c r="I108" i="8"/>
  <c r="AA126" i="8"/>
  <c r="BV130" i="8"/>
  <c r="CC130" i="8" s="1"/>
  <c r="AX131" i="8"/>
  <c r="AX132" i="8" s="1"/>
  <c r="AJ79" i="8"/>
  <c r="G132" i="8"/>
  <c r="CA154" i="8"/>
  <c r="B209" i="8"/>
  <c r="BV200" i="8"/>
  <c r="CC200" i="8" s="1"/>
  <c r="G200" i="10" s="1"/>
  <c r="I200" i="8"/>
  <c r="H132" i="8"/>
  <c r="H134" i="8" s="1"/>
  <c r="AJ129" i="8"/>
  <c r="AJ131" i="8" s="1"/>
  <c r="BN131" i="8"/>
  <c r="BB130" i="8"/>
  <c r="BY170" i="8"/>
  <c r="CC125" i="8"/>
  <c r="G125" i="10" s="1"/>
  <c r="BV128" i="8"/>
  <c r="CC128" i="8" s="1"/>
  <c r="G128" i="10" s="1"/>
  <c r="I128" i="8"/>
  <c r="I131" i="8" s="1"/>
  <c r="B131" i="8"/>
  <c r="CA130" i="8"/>
  <c r="CA131" i="8" s="1"/>
  <c r="BZ154" i="8"/>
  <c r="CC162" i="8"/>
  <c r="G162" i="10" s="1"/>
  <c r="BP140" i="8"/>
  <c r="BW161" i="8"/>
  <c r="CC169" i="8"/>
  <c r="BD197" i="8"/>
  <c r="BW197" i="8"/>
  <c r="CC179" i="8"/>
  <c r="AA181" i="8"/>
  <c r="BV181" i="8"/>
  <c r="CC181" i="8" s="1"/>
  <c r="G181" i="10" s="1"/>
  <c r="CC185" i="8"/>
  <c r="CC193" i="8"/>
  <c r="BW127" i="8"/>
  <c r="CC127" i="8" s="1"/>
  <c r="G127" i="10" s="1"/>
  <c r="D131" i="8"/>
  <c r="AS209" i="8"/>
  <c r="BV156" i="8"/>
  <c r="I156" i="8"/>
  <c r="CC189" i="8"/>
  <c r="AA209" i="8"/>
  <c r="CC215" i="8"/>
  <c r="G215" i="10" s="1"/>
  <c r="F131" i="8"/>
  <c r="F132" i="8" s="1"/>
  <c r="BK209" i="8"/>
  <c r="CC208" i="8"/>
  <c r="G208" i="10" s="1"/>
  <c r="BV151" i="8"/>
  <c r="CC206" i="8"/>
  <c r="CC202" i="8"/>
  <c r="G202" i="10" s="1"/>
  <c r="AS156" i="8"/>
  <c r="CC174" i="8"/>
  <c r="CC178" i="8"/>
  <c r="G178" i="10" s="1"/>
  <c r="R209" i="8"/>
  <c r="BZ209" i="8"/>
  <c r="CA209" i="8"/>
  <c r="BV173" i="8"/>
  <c r="CC173" i="8" s="1"/>
  <c r="G173" i="10" s="1"/>
  <c r="CC175" i="8"/>
  <c r="BB176" i="8"/>
  <c r="G176" i="9" s="1"/>
  <c r="I177" i="8"/>
  <c r="AJ199" i="8"/>
  <c r="AJ209" i="8" s="1"/>
  <c r="I201" i="8"/>
  <c r="BK172" i="8"/>
  <c r="G172" i="11" s="1"/>
  <c r="G197" i="11" s="1"/>
  <c r="K209" i="8"/>
  <c r="R156" i="8"/>
  <c r="AA172" i="8"/>
  <c r="I207" i="8"/>
  <c r="I202" i="8"/>
  <c r="BD209" i="8"/>
  <c r="AL63" i="7"/>
  <c r="AL65" i="7" s="1"/>
  <c r="AL136" i="7" s="1"/>
  <c r="AS36" i="7"/>
  <c r="AS63" i="7" s="1"/>
  <c r="AS65" i="7" s="1"/>
  <c r="BD63" i="7"/>
  <c r="BD65" i="7" s="1"/>
  <c r="BD136" i="7" s="1"/>
  <c r="BK17" i="7"/>
  <c r="K65" i="7"/>
  <c r="K136" i="7" s="1"/>
  <c r="AP136" i="7"/>
  <c r="AP161" i="7"/>
  <c r="Y161" i="7"/>
  <c r="Y170" i="7" s="1"/>
  <c r="Y136" i="7"/>
  <c r="AQ136" i="7"/>
  <c r="AQ161" i="7"/>
  <c r="AQ170" i="7" s="1"/>
  <c r="AR65" i="7"/>
  <c r="CB161" i="7"/>
  <c r="CB136" i="7"/>
  <c r="CB134" i="7"/>
  <c r="BA161" i="7"/>
  <c r="BA136" i="7"/>
  <c r="CD7" i="7"/>
  <c r="J4" i="7"/>
  <c r="BX65" i="7"/>
  <c r="AC65" i="7"/>
  <c r="AC136" i="7" s="1"/>
  <c r="AY65" i="7"/>
  <c r="BB17" i="7"/>
  <c r="S4" i="7"/>
  <c r="CD10" i="7"/>
  <c r="AU74" i="7"/>
  <c r="BB3" i="7"/>
  <c r="AD65" i="7"/>
  <c r="AD136" i="7" s="1"/>
  <c r="H161" i="7"/>
  <c r="H136" i="7"/>
  <c r="AS3" i="7"/>
  <c r="AL74" i="7"/>
  <c r="BZ65" i="7"/>
  <c r="AB17" i="7"/>
  <c r="Z161" i="7"/>
  <c r="Z136" i="7"/>
  <c r="AP133" i="7"/>
  <c r="AP141" i="7" s="1"/>
  <c r="AP142" i="7" s="1"/>
  <c r="AC74" i="7"/>
  <c r="AJ3" i="7"/>
  <c r="X161" i="7"/>
  <c r="X136" i="7"/>
  <c r="AD97" i="7"/>
  <c r="BE65" i="7"/>
  <c r="BE136" i="7" s="1"/>
  <c r="AK17" i="7"/>
  <c r="CD11" i="7"/>
  <c r="BT84" i="7"/>
  <c r="BO90" i="7"/>
  <c r="CA65" i="7"/>
  <c r="AL187" i="7"/>
  <c r="AS187" i="7" s="1"/>
  <c r="AL164" i="7"/>
  <c r="AS164" i="7" s="1"/>
  <c r="AM157" i="7"/>
  <c r="AL160" i="7"/>
  <c r="AL153" i="7"/>
  <c r="AS153" i="7" s="1"/>
  <c r="AL148" i="7"/>
  <c r="AS148" i="7" s="1"/>
  <c r="AL147" i="7"/>
  <c r="AS147" i="7" s="1"/>
  <c r="AL144" i="7"/>
  <c r="AL149" i="7"/>
  <c r="AS149" i="7" s="1"/>
  <c r="AN183" i="7"/>
  <c r="AL150" i="7"/>
  <c r="AS150" i="7" s="1"/>
  <c r="AN84" i="7"/>
  <c r="BX136" i="7"/>
  <c r="BQ161" i="7"/>
  <c r="BQ136" i="7"/>
  <c r="BV15" i="7"/>
  <c r="CC15" i="7" s="1"/>
  <c r="K17" i="7"/>
  <c r="P140" i="7"/>
  <c r="P135" i="7"/>
  <c r="AG135" i="7"/>
  <c r="AG140" i="7"/>
  <c r="AG63" i="7"/>
  <c r="AG65" i="7" s="1"/>
  <c r="AV135" i="7"/>
  <c r="AV140" i="7"/>
  <c r="AV63" i="7"/>
  <c r="AV65" i="7" s="1"/>
  <c r="AV136" i="7" s="1"/>
  <c r="BM74" i="7"/>
  <c r="CC78" i="7"/>
  <c r="BE97" i="7"/>
  <c r="BO133" i="7"/>
  <c r="Q133" i="7"/>
  <c r="BW125" i="7"/>
  <c r="CC125" i="7" s="1"/>
  <c r="F125" i="10" s="1"/>
  <c r="B3" i="7"/>
  <c r="BD3" i="7"/>
  <c r="T17" i="7"/>
  <c r="BL4" i="7"/>
  <c r="BL17" i="7" s="1"/>
  <c r="R12" i="7"/>
  <c r="S12" i="7" s="1"/>
  <c r="CD12" i="7" s="1"/>
  <c r="BB12" i="7"/>
  <c r="AA17" i="7"/>
  <c r="R36" i="7"/>
  <c r="R63" i="7" s="1"/>
  <c r="R65" i="7" s="1"/>
  <c r="CC27" i="7"/>
  <c r="B135" i="7"/>
  <c r="Q140" i="7"/>
  <c r="Q135" i="7"/>
  <c r="BY61" i="7"/>
  <c r="BY64" i="7" s="1"/>
  <c r="BW79" i="7"/>
  <c r="BK79" i="7"/>
  <c r="F79" i="11" s="1"/>
  <c r="F80" i="11" s="1"/>
  <c r="F97" i="11" s="1"/>
  <c r="BB82" i="7"/>
  <c r="F82" i="9" s="1"/>
  <c r="V133" i="7"/>
  <c r="BV10" i="7"/>
  <c r="CC10" i="7" s="1"/>
  <c r="BN121" i="7"/>
  <c r="BN132" i="7" s="1"/>
  <c r="BT115" i="7"/>
  <c r="Y133" i="7"/>
  <c r="Y141" i="7" s="1"/>
  <c r="Y142" i="7" s="1"/>
  <c r="Y211" i="7" s="1"/>
  <c r="Y219" i="7" s="1"/>
  <c r="Y220" i="7" s="1"/>
  <c r="R8" i="7"/>
  <c r="S8" i="7" s="1"/>
  <c r="CD8" i="7" s="1"/>
  <c r="AJ10" i="7"/>
  <c r="AK10" i="7" s="1"/>
  <c r="BV11" i="7"/>
  <c r="CC11" i="7" s="1"/>
  <c r="U140" i="7"/>
  <c r="U135" i="7"/>
  <c r="U63" i="7"/>
  <c r="U65" i="7" s="1"/>
  <c r="U136" i="7" s="1"/>
  <c r="BO135" i="7"/>
  <c r="BO140" i="7"/>
  <c r="BO63" i="7"/>
  <c r="BO65" i="7" s="1"/>
  <c r="BO136" i="7" s="1"/>
  <c r="BK82" i="7"/>
  <c r="F82" i="11" s="1"/>
  <c r="F90" i="11" s="1"/>
  <c r="BQ133" i="7"/>
  <c r="BW17" i="7"/>
  <c r="I6" i="7"/>
  <c r="J6" i="7" s="1"/>
  <c r="CD6" i="7" s="1"/>
  <c r="AS6" i="7"/>
  <c r="AT6" i="7" s="1"/>
  <c r="I9" i="7"/>
  <c r="J9" i="7" s="1"/>
  <c r="CD9" i="7" s="1"/>
  <c r="B17" i="7"/>
  <c r="AB27" i="7"/>
  <c r="F140" i="7"/>
  <c r="F63" i="7"/>
  <c r="F65" i="7" s="1"/>
  <c r="F161" i="7" s="1"/>
  <c r="CC54" i="7"/>
  <c r="M63" i="7"/>
  <c r="M65" i="7" s="1"/>
  <c r="M136" i="7" s="1"/>
  <c r="AX65" i="7"/>
  <c r="R79" i="7"/>
  <c r="C90" i="7"/>
  <c r="BW82" i="7"/>
  <c r="BB103" i="7"/>
  <c r="AE133" i="7"/>
  <c r="BF182" i="7"/>
  <c r="BD160" i="7"/>
  <c r="BD153" i="7"/>
  <c r="BK153" i="7" s="1"/>
  <c r="BF183" i="7"/>
  <c r="BK183" i="7" s="1"/>
  <c r="BD144" i="7"/>
  <c r="BD147" i="7"/>
  <c r="BK147" i="7" s="1"/>
  <c r="BD148" i="7"/>
  <c r="BK148" i="7" s="1"/>
  <c r="BD164" i="7"/>
  <c r="BK164" i="7" s="1"/>
  <c r="BD187" i="7"/>
  <c r="BK187" i="7" s="1"/>
  <c r="BE157" i="7"/>
  <c r="BD149" i="7"/>
  <c r="BK149" i="7" s="1"/>
  <c r="BD150" i="7"/>
  <c r="BK150" i="7" s="1"/>
  <c r="BF83" i="7"/>
  <c r="BQ103" i="7"/>
  <c r="BT100" i="7"/>
  <c r="BT103" i="7" s="1"/>
  <c r="AY133" i="7"/>
  <c r="AA125" i="7"/>
  <c r="U131" i="7"/>
  <c r="I129" i="7"/>
  <c r="BV129" i="7"/>
  <c r="AC17" i="7"/>
  <c r="BT79" i="7"/>
  <c r="BV119" i="7"/>
  <c r="CC119" i="7" s="1"/>
  <c r="F119" i="10" s="1"/>
  <c r="AZ135" i="7"/>
  <c r="T3" i="7"/>
  <c r="BX17" i="7"/>
  <c r="G161" i="7"/>
  <c r="G136" i="7"/>
  <c r="I136" i="7" s="1"/>
  <c r="X135" i="7"/>
  <c r="X140" i="7"/>
  <c r="AM140" i="7"/>
  <c r="AM135" i="7"/>
  <c r="AJ61" i="7"/>
  <c r="AJ64" i="7" s="1"/>
  <c r="AJ65" i="7" s="1"/>
  <c r="CC50" i="7"/>
  <c r="F50" i="10" s="1"/>
  <c r="F61" i="10" s="1"/>
  <c r="F64" i="10" s="1"/>
  <c r="BV90" i="7"/>
  <c r="BF84" i="7"/>
  <c r="BK84" i="7" s="1"/>
  <c r="BK103" i="7"/>
  <c r="BV112" i="7"/>
  <c r="CC112" i="7" s="1"/>
  <c r="F112" i="10" s="1"/>
  <c r="B121" i="7"/>
  <c r="AA118" i="7"/>
  <c r="AS118" i="7"/>
  <c r="BF133" i="7"/>
  <c r="BS133" i="7"/>
  <c r="B140" i="7"/>
  <c r="K3" i="7"/>
  <c r="R5" i="7"/>
  <c r="S5" i="7" s="1"/>
  <c r="CD5" i="7" s="1"/>
  <c r="R22" i="7"/>
  <c r="BV22" i="7"/>
  <c r="CC22" i="7" s="1"/>
  <c r="F22" i="10" s="1"/>
  <c r="BV14" i="7"/>
  <c r="CC14" i="7" s="1"/>
  <c r="CC24" i="7"/>
  <c r="H135" i="7"/>
  <c r="H140" i="7"/>
  <c r="Y140" i="7"/>
  <c r="Y135" i="7"/>
  <c r="AN140" i="7"/>
  <c r="AN135" i="7"/>
  <c r="BD140" i="7"/>
  <c r="BK114" i="7"/>
  <c r="F114" i="11" s="1"/>
  <c r="BS135" i="7"/>
  <c r="BS140" i="7"/>
  <c r="CC46" i="7"/>
  <c r="O63" i="7"/>
  <c r="O65" i="7" s="1"/>
  <c r="AZ63" i="7"/>
  <c r="AZ65" i="7" s="1"/>
  <c r="BR63" i="7"/>
  <c r="BR65" i="7" s="1"/>
  <c r="P97" i="7"/>
  <c r="AV80" i="7"/>
  <c r="AV97" i="7" s="1"/>
  <c r="BO97" i="7"/>
  <c r="I112" i="7"/>
  <c r="I36" i="7"/>
  <c r="I63" i="7" s="1"/>
  <c r="I65" i="7" s="1"/>
  <c r="Z140" i="7"/>
  <c r="Z135" i="7"/>
  <c r="AP140" i="7"/>
  <c r="AP135" i="7"/>
  <c r="BE140" i="7"/>
  <c r="BE135" i="7"/>
  <c r="BK135" i="7" s="1"/>
  <c r="F135" i="11" s="1"/>
  <c r="CC42" i="7"/>
  <c r="P63" i="7"/>
  <c r="P65" i="7" s="1"/>
  <c r="BS63" i="7"/>
  <c r="BS65" i="7" s="1"/>
  <c r="AN141" i="7"/>
  <c r="AN142" i="7" s="1"/>
  <c r="BH133" i="7"/>
  <c r="BH141" i="7" s="1"/>
  <c r="BH142" i="7" s="1"/>
  <c r="BH211" i="7" s="1"/>
  <c r="BH219" i="7" s="1"/>
  <c r="BH220" i="7" s="1"/>
  <c r="F135" i="7"/>
  <c r="BF140" i="7"/>
  <c r="BW136" i="7"/>
  <c r="AS4" i="7"/>
  <c r="CA17" i="7"/>
  <c r="AU17" i="7"/>
  <c r="CC21" i="7"/>
  <c r="F21" i="10" s="1"/>
  <c r="K135" i="7"/>
  <c r="K140" i="7"/>
  <c r="R140" i="7" s="1"/>
  <c r="AQ140" i="7"/>
  <c r="AQ135" i="7"/>
  <c r="BV36" i="7"/>
  <c r="BV63" i="7" s="1"/>
  <c r="BK61" i="7"/>
  <c r="BK64" i="7" s="1"/>
  <c r="BK65" i="7" s="1"/>
  <c r="Q63" i="7"/>
  <c r="Q65" i="7" s="1"/>
  <c r="K76" i="7"/>
  <c r="R76" i="7" s="1"/>
  <c r="BZ90" i="7"/>
  <c r="BZ121" i="7"/>
  <c r="BZ132" i="7" s="1"/>
  <c r="R131" i="7"/>
  <c r="AO131" i="7"/>
  <c r="AO132" i="7" s="1"/>
  <c r="AO140" i="7"/>
  <c r="AS130" i="7"/>
  <c r="M135" i="7"/>
  <c r="BR140" i="7"/>
  <c r="AJ17" i="7"/>
  <c r="BO183" i="7"/>
  <c r="BM146" i="7"/>
  <c r="BT146" i="7" s="1"/>
  <c r="BM144" i="7"/>
  <c r="BM148" i="7"/>
  <c r="BT148" i="7" s="1"/>
  <c r="BM149" i="7"/>
  <c r="BT149" i="7" s="1"/>
  <c r="BM153" i="7"/>
  <c r="BT153" i="7" s="1"/>
  <c r="BN157" i="7"/>
  <c r="BM160" i="7"/>
  <c r="BM147" i="7"/>
  <c r="BT147" i="7" s="1"/>
  <c r="BM150" i="7"/>
  <c r="BT150" i="7" s="1"/>
  <c r="L140" i="7"/>
  <c r="L135" i="7"/>
  <c r="AC135" i="7"/>
  <c r="AJ114" i="7"/>
  <c r="AC140" i="7"/>
  <c r="AR135" i="7"/>
  <c r="AR140" i="7"/>
  <c r="BH140" i="7"/>
  <c r="BH63" i="7"/>
  <c r="BH65" i="7" s="1"/>
  <c r="BY65" i="7"/>
  <c r="CA90" i="7"/>
  <c r="CC85" i="7"/>
  <c r="CA121" i="7"/>
  <c r="I118" i="7"/>
  <c r="BW118" i="7"/>
  <c r="CC118" i="7" s="1"/>
  <c r="F118" i="10" s="1"/>
  <c r="X133" i="7"/>
  <c r="X141" i="7" s="1"/>
  <c r="X142" i="7" s="1"/>
  <c r="AR133" i="7"/>
  <c r="M133" i="7"/>
  <c r="BL27" i="7"/>
  <c r="CC32" i="7"/>
  <c r="AD140" i="7"/>
  <c r="AD135" i="7"/>
  <c r="BI140" i="7"/>
  <c r="BI135" i="7"/>
  <c r="BI63" i="7"/>
  <c r="BI65" i="7" s="1"/>
  <c r="BV61" i="7"/>
  <c r="BV64" i="7" s="1"/>
  <c r="AL121" i="7"/>
  <c r="AS107" i="7"/>
  <c r="AA110" i="7"/>
  <c r="BV110" i="7"/>
  <c r="CC110" i="7" s="1"/>
  <c r="F110" i="10" s="1"/>
  <c r="R130" i="7"/>
  <c r="N140" i="7"/>
  <c r="BV13" i="7"/>
  <c r="CC13" i="7" s="1"/>
  <c r="BV16" i="7"/>
  <c r="CC16" i="7" s="1"/>
  <c r="J17" i="7"/>
  <c r="CC28" i="7"/>
  <c r="AE140" i="7"/>
  <c r="AE135" i="7"/>
  <c r="AU135" i="7"/>
  <c r="AU114" i="7"/>
  <c r="BB114" i="7" s="1"/>
  <c r="AU63" i="7"/>
  <c r="AU65" i="7" s="1"/>
  <c r="AU136" i="7" s="1"/>
  <c r="AU140" i="7"/>
  <c r="BJ140" i="7"/>
  <c r="BJ135" i="7"/>
  <c r="BJ63" i="7"/>
  <c r="BJ65" i="7" s="1"/>
  <c r="BW61" i="7"/>
  <c r="BW64" i="7" s="1"/>
  <c r="BW65" i="7" s="1"/>
  <c r="W65" i="7"/>
  <c r="W136" i="7" s="1"/>
  <c r="BY136" i="7" s="1"/>
  <c r="BF63" i="7"/>
  <c r="BF65" i="7" s="1"/>
  <c r="BF136" i="7" s="1"/>
  <c r="C80" i="7"/>
  <c r="CC86" i="7"/>
  <c r="BW96" i="7"/>
  <c r="R108" i="7"/>
  <c r="BV108" i="7"/>
  <c r="CC108" i="7" s="1"/>
  <c r="F108" i="10" s="1"/>
  <c r="P133" i="7"/>
  <c r="AS129" i="7"/>
  <c r="BV96" i="7"/>
  <c r="CC92" i="7"/>
  <c r="O103" i="7"/>
  <c r="R100" i="7"/>
  <c r="R103" i="7" s="1"/>
  <c r="BY121" i="7"/>
  <c r="BT118" i="7"/>
  <c r="BM121" i="7"/>
  <c r="BM132" i="7" s="1"/>
  <c r="AA131" i="7"/>
  <c r="BW129" i="7"/>
  <c r="BN131" i="7"/>
  <c r="BV151" i="7"/>
  <c r="I151" i="7"/>
  <c r="AV154" i="7"/>
  <c r="BB151" i="7"/>
  <c r="F151" i="9" s="1"/>
  <c r="F154" i="9" s="1"/>
  <c r="AJ145" i="7"/>
  <c r="BV145" i="7"/>
  <c r="CC145" i="7" s="1"/>
  <c r="BK118" i="7"/>
  <c r="F118" i="11" s="1"/>
  <c r="BZ134" i="7"/>
  <c r="O133" i="7"/>
  <c r="AG133" i="7"/>
  <c r="CB141" i="7"/>
  <c r="CB142" i="7" s="1"/>
  <c r="C154" i="7"/>
  <c r="BW151" i="7"/>
  <c r="BW154" i="7" s="1"/>
  <c r="C135" i="7"/>
  <c r="AH135" i="7"/>
  <c r="AH140" i="7"/>
  <c r="AW135" i="7"/>
  <c r="AW140" i="7"/>
  <c r="CB135" i="7"/>
  <c r="CB140" i="7"/>
  <c r="BT90" i="7"/>
  <c r="CC94" i="7"/>
  <c r="CC113" i="7"/>
  <c r="F113" i="10" s="1"/>
  <c r="BV131" i="7"/>
  <c r="AL131" i="7"/>
  <c r="AS128" i="7"/>
  <c r="AJ130" i="7"/>
  <c r="H133" i="7"/>
  <c r="H141" i="7" s="1"/>
  <c r="H142" i="7" s="1"/>
  <c r="T209" i="7"/>
  <c r="AA202" i="7"/>
  <c r="AA209" i="7" s="1"/>
  <c r="D135" i="7"/>
  <c r="D140" i="7"/>
  <c r="T135" i="7"/>
  <c r="AA114" i="7"/>
  <c r="T140" i="7"/>
  <c r="AA140" i="7" s="1"/>
  <c r="AI135" i="7"/>
  <c r="AI140" i="7"/>
  <c r="AY135" i="7"/>
  <c r="AY140" i="7"/>
  <c r="BN140" i="7"/>
  <c r="BT140" i="7" s="1"/>
  <c r="BN135" i="7"/>
  <c r="BT135" i="7" s="1"/>
  <c r="AH63" i="7"/>
  <c r="AH65" i="7" s="1"/>
  <c r="R82" i="7"/>
  <c r="AA103" i="7"/>
  <c r="CC99" i="7"/>
  <c r="CC102" i="7"/>
  <c r="BI103" i="7"/>
  <c r="BV111" i="7"/>
  <c r="CC111" i="7" s="1"/>
  <c r="F111" i="10" s="1"/>
  <c r="I111" i="7"/>
  <c r="E132" i="7"/>
  <c r="Z132" i="7"/>
  <c r="BJ132" i="7"/>
  <c r="AM131" i="7"/>
  <c r="BW126" i="7"/>
  <c r="CC126" i="7" s="1"/>
  <c r="F126" i="10" s="1"/>
  <c r="BW130" i="7"/>
  <c r="I130" i="7"/>
  <c r="B209" i="7"/>
  <c r="BV200" i="7"/>
  <c r="CC200" i="7" s="1"/>
  <c r="F200" i="10" s="1"/>
  <c r="I200" i="7"/>
  <c r="AI63" i="7"/>
  <c r="AI65" i="7" s="1"/>
  <c r="AW63" i="7"/>
  <c r="AW65" i="7" s="1"/>
  <c r="AW136" i="7" s="1"/>
  <c r="U90" i="7"/>
  <c r="U97" i="7" s="1"/>
  <c r="CC95" i="7"/>
  <c r="R118" i="7"/>
  <c r="BB118" i="7"/>
  <c r="F118" i="9" s="1"/>
  <c r="F121" i="9" s="1"/>
  <c r="F132" i="9" s="1"/>
  <c r="BA133" i="7"/>
  <c r="BW127" i="7"/>
  <c r="CC127" i="7" s="1"/>
  <c r="F127" i="10" s="1"/>
  <c r="BK129" i="7"/>
  <c r="BK131" i="7" s="1"/>
  <c r="BX130" i="7"/>
  <c r="BX131" i="7" s="1"/>
  <c r="AF131" i="7"/>
  <c r="AF132" i="7" s="1"/>
  <c r="AF140" i="7"/>
  <c r="BB130" i="7"/>
  <c r="BP140" i="7"/>
  <c r="BP131" i="7"/>
  <c r="BP132" i="7" s="1"/>
  <c r="AZ133" i="7"/>
  <c r="G140" i="7"/>
  <c r="CA140" i="7" s="1"/>
  <c r="G135" i="7"/>
  <c r="V135" i="7"/>
  <c r="V140" i="7"/>
  <c r="AL135" i="7"/>
  <c r="AS135" i="7" s="1"/>
  <c r="AL140" i="7"/>
  <c r="BA140" i="7"/>
  <c r="BA135" i="7"/>
  <c r="BQ140" i="7"/>
  <c r="BQ135" i="7"/>
  <c r="AQ97" i="7"/>
  <c r="K121" i="7"/>
  <c r="K132" i="7" s="1"/>
  <c r="AV132" i="7"/>
  <c r="BV117" i="7"/>
  <c r="CC117" i="7" s="1"/>
  <c r="F117" i="10" s="1"/>
  <c r="AJ118" i="7"/>
  <c r="BW123" i="7"/>
  <c r="I123" i="7"/>
  <c r="I131" i="7" s="1"/>
  <c r="BZ131" i="7"/>
  <c r="CC124" i="7"/>
  <c r="F124" i="10" s="1"/>
  <c r="BY130" i="7"/>
  <c r="BY131" i="7" s="1"/>
  <c r="E140" i="7"/>
  <c r="CC130" i="7"/>
  <c r="BV109" i="7"/>
  <c r="CC109" i="7" s="1"/>
  <c r="F109" i="10" s="1"/>
  <c r="AW141" i="7"/>
  <c r="AW142" i="7" s="1"/>
  <c r="AH133" i="7"/>
  <c r="B131" i="7"/>
  <c r="AP103" i="7"/>
  <c r="AS100" i="7"/>
  <c r="AS103" i="7" s="1"/>
  <c r="T121" i="7"/>
  <c r="T132" i="7" s="1"/>
  <c r="BX121" i="7"/>
  <c r="AX132" i="7"/>
  <c r="AI132" i="7"/>
  <c r="CA130" i="7"/>
  <c r="CA131" i="7" s="1"/>
  <c r="G131" i="7"/>
  <c r="G132" i="7" s="1"/>
  <c r="BI133" i="7"/>
  <c r="BY197" i="7"/>
  <c r="CC189" i="7"/>
  <c r="K209" i="7"/>
  <c r="AQ132" i="7"/>
  <c r="CC156" i="7"/>
  <c r="F156" i="10" s="1"/>
  <c r="BV173" i="7"/>
  <c r="CC173" i="7" s="1"/>
  <c r="F173" i="10" s="1"/>
  <c r="AS191" i="7"/>
  <c r="CA209" i="7"/>
  <c r="CA154" i="7"/>
  <c r="BW161" i="7"/>
  <c r="BV162" i="7"/>
  <c r="CC162" i="7" s="1"/>
  <c r="F162" i="10" s="1"/>
  <c r="AL209" i="7"/>
  <c r="AS199" i="7"/>
  <c r="AS209" i="7" s="1"/>
  <c r="CC169" i="7"/>
  <c r="AS172" i="7"/>
  <c r="AJ94" i="7"/>
  <c r="AC96" i="7"/>
  <c r="AJ123" i="7"/>
  <c r="BB129" i="7"/>
  <c r="BY135" i="7"/>
  <c r="R158" i="7"/>
  <c r="CC192" i="7"/>
  <c r="BV204" i="7"/>
  <c r="CC204" i="7" s="1"/>
  <c r="F204" i="10" s="1"/>
  <c r="I204" i="7"/>
  <c r="CA197" i="7"/>
  <c r="R201" i="7"/>
  <c r="R209" i="7" s="1"/>
  <c r="BV201" i="7"/>
  <c r="CC201" i="7" s="1"/>
  <c r="F201" i="10" s="1"/>
  <c r="BZ100" i="7"/>
  <c r="BZ103" i="7" s="1"/>
  <c r="BB131" i="7"/>
  <c r="BG131" i="7"/>
  <c r="BG132" i="7" s="1"/>
  <c r="BV146" i="7"/>
  <c r="CC146" i="7" s="1"/>
  <c r="W211" i="7"/>
  <c r="W219" i="7" s="1"/>
  <c r="W220" i="7" s="1"/>
  <c r="CC177" i="7"/>
  <c r="F177" i="10" s="1"/>
  <c r="BV107" i="7"/>
  <c r="AJ146" i="7"/>
  <c r="BV181" i="7"/>
  <c r="CC181" i="7" s="1"/>
  <c r="F181" i="10" s="1"/>
  <c r="CC214" i="7"/>
  <c r="F214" i="10" s="1"/>
  <c r="CC184" i="7"/>
  <c r="BV203" i="7"/>
  <c r="CC203" i="7" s="1"/>
  <c r="F203" i="10" s="1"/>
  <c r="AA173" i="7"/>
  <c r="AC209" i="7"/>
  <c r="AJ202" i="7"/>
  <c r="AJ209" i="7" s="1"/>
  <c r="CC215" i="7"/>
  <c r="F215" i="10" s="1"/>
  <c r="U154" i="7"/>
  <c r="BV161" i="7"/>
  <c r="I162" i="7"/>
  <c r="BK172" i="7"/>
  <c r="F172" i="11" s="1"/>
  <c r="F197" i="11" s="1"/>
  <c r="BK209" i="7"/>
  <c r="CC152" i="7"/>
  <c r="BV172" i="7"/>
  <c r="CC180" i="7"/>
  <c r="BV199" i="7"/>
  <c r="CC163" i="7"/>
  <c r="BB181" i="7"/>
  <c r="F181" i="9" s="1"/>
  <c r="F197" i="9" s="1"/>
  <c r="CC193" i="7"/>
  <c r="CC194" i="7"/>
  <c r="BX209" i="7"/>
  <c r="BD209" i="7"/>
  <c r="I156" i="7"/>
  <c r="BV216" i="7"/>
  <c r="CC216" i="7" s="1"/>
  <c r="I181" i="7"/>
  <c r="BV207" i="7"/>
  <c r="CC207" i="7" s="1"/>
  <c r="F207" i="10" s="1"/>
  <c r="BV202" i="7"/>
  <c r="CC202" i="7" s="1"/>
  <c r="F202" i="10" s="1"/>
  <c r="BK36" i="6"/>
  <c r="BK63" i="6" s="1"/>
  <c r="BF84" i="6"/>
  <c r="BK84" i="6" s="1"/>
  <c r="AJ36" i="6"/>
  <c r="AJ63" i="6" s="1"/>
  <c r="AJ65" i="6" s="1"/>
  <c r="AY161" i="6"/>
  <c r="AY136" i="6"/>
  <c r="BI136" i="6"/>
  <c r="BI161" i="6"/>
  <c r="BI170" i="6" s="1"/>
  <c r="BJ136" i="6"/>
  <c r="BJ134" i="6"/>
  <c r="BJ161" i="6"/>
  <c r="R65" i="6"/>
  <c r="AI65" i="6"/>
  <c r="AG65" i="6"/>
  <c r="AV133" i="6"/>
  <c r="K187" i="6"/>
  <c r="R187" i="6" s="1"/>
  <c r="K149" i="6"/>
  <c r="R149" i="6" s="1"/>
  <c r="K150" i="6"/>
  <c r="R150" i="6" s="1"/>
  <c r="K164" i="6"/>
  <c r="R164" i="6" s="1"/>
  <c r="L157" i="6"/>
  <c r="M183" i="6"/>
  <c r="M84" i="6"/>
  <c r="K148" i="6"/>
  <c r="R148" i="6" s="1"/>
  <c r="K147" i="6"/>
  <c r="R147" i="6" s="1"/>
  <c r="K144" i="6"/>
  <c r="K153" i="6"/>
  <c r="R153" i="6" s="1"/>
  <c r="K160" i="6"/>
  <c r="R160" i="6" s="1"/>
  <c r="Z161" i="6"/>
  <c r="Z136" i="6"/>
  <c r="AH65" i="6"/>
  <c r="AF65" i="6"/>
  <c r="BX131" i="6"/>
  <c r="CD6" i="6"/>
  <c r="BK65" i="6"/>
  <c r="BY65" i="6"/>
  <c r="CD9" i="6"/>
  <c r="AA65" i="6"/>
  <c r="G161" i="6"/>
  <c r="G136" i="6"/>
  <c r="AN65" i="6"/>
  <c r="AN136" i="6" s="1"/>
  <c r="CC107" i="6"/>
  <c r="E107" i="10" s="1"/>
  <c r="H136" i="6"/>
  <c r="H161" i="6"/>
  <c r="T167" i="6"/>
  <c r="AA167" i="6" s="1"/>
  <c r="T168" i="6"/>
  <c r="AA168" i="6" s="1"/>
  <c r="T166" i="6"/>
  <c r="AA166" i="6" s="1"/>
  <c r="AA74" i="6"/>
  <c r="CD10" i="6"/>
  <c r="BZ65" i="6"/>
  <c r="BB65" i="6"/>
  <c r="BG65" i="6"/>
  <c r="AB17" i="6"/>
  <c r="CD7" i="6"/>
  <c r="AZ135" i="6"/>
  <c r="AZ140" i="6"/>
  <c r="AZ63" i="6"/>
  <c r="AZ65" i="6" s="1"/>
  <c r="V133" i="6"/>
  <c r="BT3" i="6"/>
  <c r="I5" i="6"/>
  <c r="J5" i="6" s="1"/>
  <c r="CD5" i="6" s="1"/>
  <c r="BV8" i="6"/>
  <c r="CC8" i="6" s="1"/>
  <c r="S17" i="6"/>
  <c r="AS36" i="6"/>
  <c r="AS63" i="6" s="1"/>
  <c r="AS65" i="6" s="1"/>
  <c r="D135" i="6"/>
  <c r="D63" i="6"/>
  <c r="D65" i="6" s="1"/>
  <c r="D136" i="6" s="1"/>
  <c r="D140" i="6"/>
  <c r="U140" i="6"/>
  <c r="U135" i="6"/>
  <c r="BA140" i="6"/>
  <c r="BA135" i="6"/>
  <c r="BQ140" i="6"/>
  <c r="BQ135" i="6"/>
  <c r="BQ63" i="6"/>
  <c r="BQ65" i="6" s="1"/>
  <c r="AA77" i="6"/>
  <c r="BV77" i="6"/>
  <c r="CC77" i="6" s="1"/>
  <c r="AA107" i="6"/>
  <c r="BY132" i="6"/>
  <c r="BB118" i="6"/>
  <c r="E118" i="9" s="1"/>
  <c r="E121" i="9" s="1"/>
  <c r="E132" i="9" s="1"/>
  <c r="E68" i="9" s="1"/>
  <c r="BX120" i="6"/>
  <c r="CC120" i="6" s="1"/>
  <c r="E120" i="10" s="1"/>
  <c r="I120" i="6"/>
  <c r="D121" i="6"/>
  <c r="X133" i="6"/>
  <c r="AJ129" i="6"/>
  <c r="AC131" i="6"/>
  <c r="T140" i="6"/>
  <c r="T135" i="6"/>
  <c r="AA114" i="6"/>
  <c r="AC74" i="6"/>
  <c r="B3" i="6"/>
  <c r="T17" i="6"/>
  <c r="BW82" i="6"/>
  <c r="BW90" i="6" s="1"/>
  <c r="L90" i="6"/>
  <c r="L97" i="6" s="1"/>
  <c r="BV90" i="6"/>
  <c r="AW133" i="6"/>
  <c r="AW141" i="6" s="1"/>
  <c r="AW142" i="6"/>
  <c r="AZ133" i="6"/>
  <c r="BQ133" i="6"/>
  <c r="BB156" i="6"/>
  <c r="E156" i="9" s="1"/>
  <c r="E170" i="9" s="1"/>
  <c r="B17" i="6"/>
  <c r="I4" i="6"/>
  <c r="BK4" i="6"/>
  <c r="AJ13" i="6"/>
  <c r="AK13" i="6" s="1"/>
  <c r="CD13" i="6" s="1"/>
  <c r="AJ15" i="6"/>
  <c r="AK15" i="6" s="1"/>
  <c r="CD15" i="6" s="1"/>
  <c r="BV15" i="6"/>
  <c r="CC15" i="6" s="1"/>
  <c r="BM149" i="6"/>
  <c r="BT149" i="6" s="1"/>
  <c r="BN157" i="6"/>
  <c r="BM150" i="6"/>
  <c r="BT150" i="6" s="1"/>
  <c r="BM160" i="6"/>
  <c r="BM146" i="6"/>
  <c r="BT146" i="6" s="1"/>
  <c r="BM144" i="6"/>
  <c r="BM148" i="6"/>
  <c r="BT148" i="6" s="1"/>
  <c r="BM153" i="6"/>
  <c r="BT153" i="6" s="1"/>
  <c r="BO84" i="6"/>
  <c r="G135" i="6"/>
  <c r="G140" i="6"/>
  <c r="X135" i="6"/>
  <c r="X140" i="6"/>
  <c r="AM135" i="6"/>
  <c r="AM140" i="6"/>
  <c r="AM63" i="6"/>
  <c r="AM65" i="6" s="1"/>
  <c r="AM136" i="6" s="1"/>
  <c r="BA63" i="6"/>
  <c r="BA65" i="6" s="1"/>
  <c r="AU74" i="6"/>
  <c r="R82" i="6"/>
  <c r="M133" i="6"/>
  <c r="AE133" i="6"/>
  <c r="AX141" i="6"/>
  <c r="AX142" i="6" s="1"/>
  <c r="AX211" i="6" s="1"/>
  <c r="AX219" i="6" s="1"/>
  <c r="AX220" i="6" s="1"/>
  <c r="CC123" i="6"/>
  <c r="E123" i="10" s="1"/>
  <c r="BY131" i="6"/>
  <c r="BT130" i="6"/>
  <c r="AL3" i="6"/>
  <c r="AS4" i="6"/>
  <c r="R8" i="6"/>
  <c r="S8" i="6" s="1"/>
  <c r="CD8" i="6" s="1"/>
  <c r="AW183" i="6"/>
  <c r="AU144" i="6"/>
  <c r="AU147" i="6"/>
  <c r="BB147" i="6" s="1"/>
  <c r="AU187" i="6"/>
  <c r="AU158" i="6"/>
  <c r="AU149" i="6"/>
  <c r="BB149" i="6" s="1"/>
  <c r="AU137" i="6"/>
  <c r="AV157" i="6"/>
  <c r="AU164" i="6"/>
  <c r="BB164" i="6" s="1"/>
  <c r="AW84" i="6"/>
  <c r="AU159" i="6"/>
  <c r="AU148" i="6"/>
  <c r="BB148" i="6" s="1"/>
  <c r="AU160" i="6"/>
  <c r="BB160" i="6" s="1"/>
  <c r="T76" i="6"/>
  <c r="AA76" i="6" s="1"/>
  <c r="AA22" i="6"/>
  <c r="C135" i="6"/>
  <c r="C140" i="6"/>
  <c r="I140" i="6" s="1"/>
  <c r="C63" i="6"/>
  <c r="C65" i="6" s="1"/>
  <c r="C136" i="6" s="1"/>
  <c r="BO140" i="6"/>
  <c r="BO135" i="6"/>
  <c r="BV7" i="6"/>
  <c r="CC7" i="6" s="1"/>
  <c r="CC27" i="6"/>
  <c r="AL135" i="6"/>
  <c r="AS114" i="6"/>
  <c r="AL140" i="6"/>
  <c r="K3" i="6"/>
  <c r="BV16" i="6"/>
  <c r="CC16" i="6" s="1"/>
  <c r="H135" i="6"/>
  <c r="H140" i="6"/>
  <c r="BE140" i="6"/>
  <c r="BK140" i="6" s="1"/>
  <c r="E140" i="11" s="1"/>
  <c r="BE63" i="6"/>
  <c r="BE65" i="6" s="1"/>
  <c r="BE136" i="6" s="1"/>
  <c r="BT36" i="6"/>
  <c r="BT63" i="6" s="1"/>
  <c r="BT65" i="6" s="1"/>
  <c r="BB79" i="6"/>
  <c r="E79" i="9" s="1"/>
  <c r="E80" i="9" s="1"/>
  <c r="CA100" i="6"/>
  <c r="CA103" i="6" s="1"/>
  <c r="AL121" i="6"/>
  <c r="BG133" i="6"/>
  <c r="BM166" i="6"/>
  <c r="BT166" i="6" s="1"/>
  <c r="BM167" i="6"/>
  <c r="BT167" i="6" s="1"/>
  <c r="BM168" i="6"/>
  <c r="BT168" i="6" s="1"/>
  <c r="BM80" i="6"/>
  <c r="BM97" i="6" s="1"/>
  <c r="BT74" i="6"/>
  <c r="AI135" i="6"/>
  <c r="AI140" i="6"/>
  <c r="BD147" i="6"/>
  <c r="BK147" i="6" s="1"/>
  <c r="BD148" i="6"/>
  <c r="BK148" i="6" s="1"/>
  <c r="BD187" i="6"/>
  <c r="BK187" i="6" s="1"/>
  <c r="BD149" i="6"/>
  <c r="BK149" i="6" s="1"/>
  <c r="BD164" i="6"/>
  <c r="BK164" i="6" s="1"/>
  <c r="BF183" i="6"/>
  <c r="BK183" i="6" s="1"/>
  <c r="BF182" i="6"/>
  <c r="BD153" i="6"/>
  <c r="BK153" i="6" s="1"/>
  <c r="BD144" i="6"/>
  <c r="BD160" i="6"/>
  <c r="BF83" i="6"/>
  <c r="BE157" i="6"/>
  <c r="V135" i="6"/>
  <c r="V140" i="6"/>
  <c r="BR140" i="6"/>
  <c r="BR135" i="6"/>
  <c r="BR63" i="6"/>
  <c r="BR65" i="6" s="1"/>
  <c r="CC40" i="6"/>
  <c r="CC61" i="6" s="1"/>
  <c r="CC64" i="6" s="1"/>
  <c r="BK161" i="6"/>
  <c r="E161" i="11" s="1"/>
  <c r="E170" i="11" s="1"/>
  <c r="R17" i="6"/>
  <c r="BT17" i="6"/>
  <c r="AL17" i="6"/>
  <c r="CC35" i="6"/>
  <c r="K135" i="6"/>
  <c r="K140" i="6"/>
  <c r="Z140" i="6"/>
  <c r="Z135" i="6"/>
  <c r="AP135" i="6"/>
  <c r="AP63" i="6"/>
  <c r="AP65" i="6" s="1"/>
  <c r="BF140" i="6"/>
  <c r="BF63" i="6"/>
  <c r="BF65" i="6" s="1"/>
  <c r="BF136" i="6" s="1"/>
  <c r="BZ90" i="6"/>
  <c r="CC108" i="6"/>
  <c r="E108" i="10" s="1"/>
  <c r="BV112" i="6"/>
  <c r="CC112" i="6" s="1"/>
  <c r="E112" i="10" s="1"/>
  <c r="BV118" i="6"/>
  <c r="AG133" i="6"/>
  <c r="BH133" i="6"/>
  <c r="D131" i="6"/>
  <c r="I130" i="6"/>
  <c r="AH133" i="6"/>
  <c r="AA3" i="6"/>
  <c r="BV4" i="6"/>
  <c r="CD12" i="6"/>
  <c r="CC31" i="6"/>
  <c r="L135" i="6"/>
  <c r="L140" i="6"/>
  <c r="L63" i="6"/>
  <c r="L65" i="6" s="1"/>
  <c r="L136" i="6" s="1"/>
  <c r="AQ140" i="6"/>
  <c r="AQ135" i="6"/>
  <c r="AQ63" i="6"/>
  <c r="AQ65" i="6" s="1"/>
  <c r="T63" i="6"/>
  <c r="T65" i="6" s="1"/>
  <c r="T136" i="6" s="1"/>
  <c r="I76" i="6"/>
  <c r="BT79" i="6"/>
  <c r="BN80" i="6"/>
  <c r="BN97" i="6" s="1"/>
  <c r="CC100" i="6"/>
  <c r="AA117" i="6"/>
  <c r="BV117" i="6"/>
  <c r="CC117" i="6" s="1"/>
  <c r="E117" i="10" s="1"/>
  <c r="K131" i="6"/>
  <c r="R128" i="6"/>
  <c r="R131" i="6" s="1"/>
  <c r="BV128" i="6"/>
  <c r="CC128" i="6" s="1"/>
  <c r="E128" i="10" s="1"/>
  <c r="BJ133" i="6"/>
  <c r="BV22" i="6"/>
  <c r="CC22" i="6" s="1"/>
  <c r="E22" i="10" s="1"/>
  <c r="I36" i="6"/>
  <c r="I63" i="6" s="1"/>
  <c r="I65" i="6" s="1"/>
  <c r="AR65" i="6"/>
  <c r="CB140" i="6"/>
  <c r="CB135" i="6"/>
  <c r="CB63" i="6"/>
  <c r="CB65" i="6" s="1"/>
  <c r="BX80" i="6"/>
  <c r="AJ82" i="6"/>
  <c r="I103" i="6"/>
  <c r="AA131" i="6"/>
  <c r="BK130" i="6"/>
  <c r="O141" i="6"/>
  <c r="O142" i="6" s="1"/>
  <c r="AA17" i="6"/>
  <c r="O161" i="6"/>
  <c r="O136" i="6"/>
  <c r="CC53" i="6"/>
  <c r="BV96" i="6"/>
  <c r="CC92" i="6"/>
  <c r="BK100" i="6"/>
  <c r="BK103" i="6" s="1"/>
  <c r="AN133" i="6"/>
  <c r="BW125" i="6"/>
  <c r="CC125" i="6" s="1"/>
  <c r="E125" i="10" s="1"/>
  <c r="BE131" i="6"/>
  <c r="BW129" i="6"/>
  <c r="CC129" i="6" s="1"/>
  <c r="E129" i="10" s="1"/>
  <c r="AS130" i="6"/>
  <c r="BV130" i="6"/>
  <c r="CC130" i="6" s="1"/>
  <c r="AO141" i="6"/>
  <c r="AO142" i="6" s="1"/>
  <c r="AO211" i="6" s="1"/>
  <c r="AO219" i="6" s="1"/>
  <c r="AO220" i="6" s="1"/>
  <c r="BV156" i="6"/>
  <c r="BO197" i="6"/>
  <c r="BT183" i="6"/>
  <c r="AG103" i="6"/>
  <c r="BP132" i="6"/>
  <c r="AJ124" i="6"/>
  <c r="BW124" i="6"/>
  <c r="CC124" i="6" s="1"/>
  <c r="E124" i="10" s="1"/>
  <c r="BP131" i="6"/>
  <c r="AQ133" i="6"/>
  <c r="R156" i="6"/>
  <c r="CD11" i="6"/>
  <c r="BV14" i="6"/>
  <c r="CC14" i="6" s="1"/>
  <c r="BV10" i="6"/>
  <c r="CC10" i="6" s="1"/>
  <c r="BW36" i="6"/>
  <c r="BW63" i="6" s="1"/>
  <c r="AV140" i="6"/>
  <c r="AV135" i="6"/>
  <c r="CC49" i="6"/>
  <c r="F103" i="6"/>
  <c r="BZ100" i="6"/>
  <c r="BZ103" i="6" s="1"/>
  <c r="BD3" i="6"/>
  <c r="AC17" i="6"/>
  <c r="AJ4" i="6"/>
  <c r="CC23" i="6"/>
  <c r="E23" i="10" s="1"/>
  <c r="BX36" i="6"/>
  <c r="BX63" i="6" s="1"/>
  <c r="BX65" i="6" s="1"/>
  <c r="Q135" i="6"/>
  <c r="Q63" i="6"/>
  <c r="Q65" i="6" s="1"/>
  <c r="AG140" i="6"/>
  <c r="AG135" i="6"/>
  <c r="AW135" i="6"/>
  <c r="AW140" i="6"/>
  <c r="CA61" i="6"/>
  <c r="CA64" i="6" s="1"/>
  <c r="CA65" i="6" s="1"/>
  <c r="CC45" i="6"/>
  <c r="F63" i="6"/>
  <c r="F65" i="6" s="1"/>
  <c r="F161" i="6" s="1"/>
  <c r="X63" i="6"/>
  <c r="X65" i="6" s="1"/>
  <c r="BM63" i="6"/>
  <c r="BM65" i="6" s="1"/>
  <c r="BM136" i="6" s="1"/>
  <c r="CA80" i="6"/>
  <c r="P97" i="6"/>
  <c r="CC87" i="6"/>
  <c r="AC145" i="6"/>
  <c r="BV94" i="6"/>
  <c r="CC94" i="6" s="1"/>
  <c r="AJ103" i="6"/>
  <c r="AR133" i="6"/>
  <c r="AL131" i="6"/>
  <c r="B135" i="6"/>
  <c r="B121" i="6"/>
  <c r="B132" i="6" s="1"/>
  <c r="B63" i="6"/>
  <c r="B65" i="6" s="1"/>
  <c r="B136" i="6" s="1"/>
  <c r="AH135" i="6"/>
  <c r="AH140" i="6"/>
  <c r="AY135" i="6"/>
  <c r="AY140" i="6"/>
  <c r="BN135" i="6"/>
  <c r="BT135" i="6" s="1"/>
  <c r="BN140" i="6"/>
  <c r="BN115" i="6"/>
  <c r="BN63" i="6"/>
  <c r="BN65" i="6" s="1"/>
  <c r="BN136" i="6" s="1"/>
  <c r="BO63" i="6"/>
  <c r="BO65" i="6" s="1"/>
  <c r="BO136" i="6" s="1"/>
  <c r="BV75" i="6"/>
  <c r="CC75" i="6" s="1"/>
  <c r="E75" i="10" s="1"/>
  <c r="K121" i="6"/>
  <c r="K132" i="6" s="1"/>
  <c r="BV109" i="6"/>
  <c r="CC109" i="6" s="1"/>
  <c r="E109" i="10" s="1"/>
  <c r="I109" i="6"/>
  <c r="BW130" i="6"/>
  <c r="L131" i="6"/>
  <c r="F135" i="6"/>
  <c r="Y135" i="6"/>
  <c r="Y140" i="6"/>
  <c r="AN140" i="6"/>
  <c r="AN135" i="6"/>
  <c r="BD135" i="6"/>
  <c r="Y63" i="6"/>
  <c r="Y65" i="6" s="1"/>
  <c r="Y97" i="6"/>
  <c r="AS103" i="6"/>
  <c r="BZ118" i="6"/>
  <c r="BZ121" i="6" s="1"/>
  <c r="BZ132" i="6" s="1"/>
  <c r="AA151" i="6"/>
  <c r="BX170" i="6"/>
  <c r="CC163" i="6"/>
  <c r="E163" i="10" s="1"/>
  <c r="M140" i="6"/>
  <c r="M135" i="6"/>
  <c r="AC135" i="6"/>
  <c r="AJ114" i="6"/>
  <c r="AC140" i="6"/>
  <c r="AC63" i="6"/>
  <c r="AC65" i="6" s="1"/>
  <c r="AC136" i="6" s="1"/>
  <c r="BD63" i="6"/>
  <c r="BD65" i="6" s="1"/>
  <c r="BD136" i="6" s="1"/>
  <c r="BW79" i="6"/>
  <c r="CC79" i="6" s="1"/>
  <c r="E79" i="10" s="1"/>
  <c r="BI97" i="6"/>
  <c r="BB100" i="6"/>
  <c r="BB103" i="6" s="1"/>
  <c r="AY103" i="6"/>
  <c r="BV110" i="6"/>
  <c r="CC110" i="6" s="1"/>
  <c r="E110" i="10" s="1"/>
  <c r="BW118" i="6"/>
  <c r="G133" i="6"/>
  <c r="O140" i="6"/>
  <c r="BZ140" i="6" s="1"/>
  <c r="O135" i="6"/>
  <c r="AD140" i="6"/>
  <c r="AD135" i="6"/>
  <c r="BI135" i="6"/>
  <c r="BI140" i="6"/>
  <c r="P63" i="6"/>
  <c r="P65" i="6" s="1"/>
  <c r="AD63" i="6"/>
  <c r="AD65" i="6" s="1"/>
  <c r="AD136" i="6" s="1"/>
  <c r="BV116" i="6"/>
  <c r="CC116" i="6" s="1"/>
  <c r="E116" i="10" s="1"/>
  <c r="H132" i="6"/>
  <c r="H134" i="6" s="1"/>
  <c r="AS129" i="6"/>
  <c r="BY140" i="6"/>
  <c r="P135" i="6"/>
  <c r="BS135" i="6"/>
  <c r="AU114" i="6"/>
  <c r="BB114" i="6" s="1"/>
  <c r="AU140" i="6"/>
  <c r="AU135" i="6"/>
  <c r="BJ135" i="6"/>
  <c r="BJ140" i="6"/>
  <c r="AE63" i="6"/>
  <c r="AE65" i="6" s="1"/>
  <c r="AE136" i="6" s="1"/>
  <c r="BS63" i="6"/>
  <c r="BS65" i="6" s="1"/>
  <c r="CC99" i="6"/>
  <c r="AA100" i="6"/>
  <c r="AA103" i="6" s="1"/>
  <c r="X103" i="6"/>
  <c r="CC101" i="6"/>
  <c r="E101" i="10" s="1"/>
  <c r="E103" i="10" s="1"/>
  <c r="BT107" i="6"/>
  <c r="R116" i="6"/>
  <c r="Z132" i="6"/>
  <c r="Z134" i="6" s="1"/>
  <c r="BV204" i="6"/>
  <c r="CC204" i="6" s="1"/>
  <c r="E204" i="10" s="1"/>
  <c r="CC217" i="6"/>
  <c r="BV181" i="6"/>
  <c r="CC181" i="6" s="1"/>
  <c r="E181" i="10" s="1"/>
  <c r="R181" i="6"/>
  <c r="BV111" i="6"/>
  <c r="CC111" i="6" s="1"/>
  <c r="E111" i="10" s="1"/>
  <c r="I111" i="6"/>
  <c r="AY133" i="6"/>
  <c r="BT129" i="6"/>
  <c r="BM131" i="6"/>
  <c r="BM132" i="6" s="1"/>
  <c r="F133" i="6"/>
  <c r="BI133" i="6"/>
  <c r="BV146" i="6"/>
  <c r="CC146" i="6" s="1"/>
  <c r="BT197" i="6"/>
  <c r="R130" i="6"/>
  <c r="CA130" i="6"/>
  <c r="CA131" i="6" s="1"/>
  <c r="CA132" i="6" s="1"/>
  <c r="BY154" i="6"/>
  <c r="C80" i="6"/>
  <c r="C97" i="6" s="1"/>
  <c r="W219" i="6"/>
  <c r="W220" i="6" s="1"/>
  <c r="BX118" i="6"/>
  <c r="BX121" i="6" s="1"/>
  <c r="BX132" i="6" s="1"/>
  <c r="BG140" i="6"/>
  <c r="AP132" i="6"/>
  <c r="Q132" i="6"/>
  <c r="AI132" i="6"/>
  <c r="BB129" i="6"/>
  <c r="AU131" i="6"/>
  <c r="BW151" i="6"/>
  <c r="BW154" i="6" s="1"/>
  <c r="C154" i="6"/>
  <c r="AM154" i="6"/>
  <c r="BZ197" i="6"/>
  <c r="BW197" i="6"/>
  <c r="CC199" i="6"/>
  <c r="E199" i="10" s="1"/>
  <c r="I202" i="6"/>
  <c r="I209" i="6" s="1"/>
  <c r="BV202" i="6"/>
  <c r="CC202" i="6" s="1"/>
  <c r="E202" i="10" s="1"/>
  <c r="R118" i="6"/>
  <c r="I119" i="6"/>
  <c r="BV119" i="6"/>
  <c r="CC119" i="6" s="1"/>
  <c r="E119" i="10" s="1"/>
  <c r="AJ123" i="6"/>
  <c r="AD131" i="6"/>
  <c r="BW127" i="6"/>
  <c r="CC127" i="6" s="1"/>
  <c r="E127" i="10" s="1"/>
  <c r="BW161" i="6"/>
  <c r="I161" i="6"/>
  <c r="BX103" i="6"/>
  <c r="R100" i="6"/>
  <c r="R103" i="6" s="1"/>
  <c r="I107" i="6"/>
  <c r="BK107" i="6"/>
  <c r="E107" i="11" s="1"/>
  <c r="BF121" i="6"/>
  <c r="BF132" i="6" s="1"/>
  <c r="I129" i="6"/>
  <c r="BK129" i="6"/>
  <c r="BK131" i="6" s="1"/>
  <c r="BA133" i="6"/>
  <c r="BK151" i="6"/>
  <c r="E151" i="11" s="1"/>
  <c r="E154" i="11" s="1"/>
  <c r="AA209" i="6"/>
  <c r="E133" i="6"/>
  <c r="Y132" i="6"/>
  <c r="BT131" i="6"/>
  <c r="BO121" i="6"/>
  <c r="BO132" i="6" s="1"/>
  <c r="BD131" i="6"/>
  <c r="CC152" i="6"/>
  <c r="I162" i="6"/>
  <c r="BD197" i="6"/>
  <c r="BV177" i="6"/>
  <c r="CC177" i="6" s="1"/>
  <c r="E177" i="10" s="1"/>
  <c r="I177" i="6"/>
  <c r="BV216" i="6"/>
  <c r="CC216" i="6" s="1"/>
  <c r="I216" i="6"/>
  <c r="BV151" i="6"/>
  <c r="AC209" i="6"/>
  <c r="AJ200" i="6"/>
  <c r="AJ209" i="6" s="1"/>
  <c r="K209" i="6"/>
  <c r="BW209" i="6"/>
  <c r="AS200" i="6"/>
  <c r="AS209" i="6" s="1"/>
  <c r="AL209" i="6"/>
  <c r="C131" i="6"/>
  <c r="AF131" i="6"/>
  <c r="AF132" i="6" s="1"/>
  <c r="I151" i="6"/>
  <c r="CC186" i="6"/>
  <c r="R199" i="6"/>
  <c r="BX209" i="6"/>
  <c r="CC207" i="6"/>
  <c r="E207" i="10" s="1"/>
  <c r="BR132" i="6"/>
  <c r="I123" i="6"/>
  <c r="I131" i="6" s="1"/>
  <c r="BV176" i="6"/>
  <c r="CC176" i="6" s="1"/>
  <c r="E176" i="10" s="1"/>
  <c r="BY209" i="6"/>
  <c r="R207" i="6"/>
  <c r="CC174" i="6"/>
  <c r="CC175" i="6"/>
  <c r="CC179" i="6"/>
  <c r="CA209" i="6"/>
  <c r="BV161" i="6"/>
  <c r="BY197" i="6"/>
  <c r="CC192" i="6"/>
  <c r="CC205" i="6"/>
  <c r="CA197" i="6"/>
  <c r="AJ172" i="6"/>
  <c r="CC180" i="6"/>
  <c r="CC188" i="6"/>
  <c r="BZ209" i="6"/>
  <c r="BK201" i="6"/>
  <c r="BD209" i="6"/>
  <c r="BV201" i="6"/>
  <c r="CC201" i="6" s="1"/>
  <c r="E201" i="10" s="1"/>
  <c r="I172" i="6"/>
  <c r="I176" i="6"/>
  <c r="I208" i="6"/>
  <c r="BV172" i="6"/>
  <c r="G197" i="9" l="1"/>
  <c r="CD196" i="7"/>
  <c r="F196" i="10"/>
  <c r="G65" i="10"/>
  <c r="BW65" i="8"/>
  <c r="BK136" i="8"/>
  <c r="G136" i="11" s="1"/>
  <c r="BW136" i="8"/>
  <c r="BK135" i="8"/>
  <c r="G135" i="11" s="1"/>
  <c r="CC61" i="7"/>
  <c r="CC64" i="7" s="1"/>
  <c r="BV65" i="7"/>
  <c r="F65" i="10"/>
  <c r="F65" i="11"/>
  <c r="BW65" i="6"/>
  <c r="BV65" i="6"/>
  <c r="BW80" i="8"/>
  <c r="CC151" i="8"/>
  <c r="G151" i="10" s="1"/>
  <c r="G154" i="10" s="1"/>
  <c r="C97" i="7"/>
  <c r="CC151" i="7"/>
  <c r="F151" i="10" s="1"/>
  <c r="F154" i="10" s="1"/>
  <c r="E97" i="9"/>
  <c r="E70" i="9" s="1"/>
  <c r="CC151" i="6"/>
  <c r="E151" i="10" s="1"/>
  <c r="E154" i="10" s="1"/>
  <c r="E65" i="10"/>
  <c r="E78" i="4"/>
  <c r="F61" i="4"/>
  <c r="E70" i="4"/>
  <c r="F59" i="4" s="1"/>
  <c r="F60" i="4"/>
  <c r="E66" i="4"/>
  <c r="F58" i="4" s="1"/>
  <c r="G209" i="10"/>
  <c r="BV209" i="8"/>
  <c r="I209" i="8"/>
  <c r="AC132" i="8"/>
  <c r="BW131" i="8"/>
  <c r="M133" i="8"/>
  <c r="M141" i="8" s="1"/>
  <c r="M142" i="8" s="1"/>
  <c r="BX121" i="8"/>
  <c r="BX132" i="8" s="1"/>
  <c r="CC118" i="8"/>
  <c r="G118" i="10" s="1"/>
  <c r="G131" i="10"/>
  <c r="AN141" i="8"/>
  <c r="AN142" i="8" s="1"/>
  <c r="BK121" i="8"/>
  <c r="BK132" i="8" s="1"/>
  <c r="BK69" i="8" s="1"/>
  <c r="G121" i="11"/>
  <c r="G132" i="11" s="1"/>
  <c r="G69" i="11" s="1"/>
  <c r="I209" i="7"/>
  <c r="D141" i="7"/>
  <c r="D142" i="7" s="1"/>
  <c r="BX134" i="7"/>
  <c r="AS131" i="7"/>
  <c r="BK209" i="6"/>
  <c r="E201" i="11"/>
  <c r="E209" i="11" s="1"/>
  <c r="M141" i="6"/>
  <c r="M142" i="6" s="1"/>
  <c r="E131" i="10"/>
  <c r="AL132" i="6"/>
  <c r="BB121" i="6"/>
  <c r="E65" i="11"/>
  <c r="D68" i="11"/>
  <c r="D142" i="11"/>
  <c r="B211" i="11"/>
  <c r="B219" i="11" s="1"/>
  <c r="B223" i="11" s="1"/>
  <c r="C142" i="11"/>
  <c r="C68" i="11"/>
  <c r="CC103" i="8"/>
  <c r="F205" i="10"/>
  <c r="F209" i="9"/>
  <c r="E205" i="10"/>
  <c r="E209" i="10" s="1"/>
  <c r="E209" i="9"/>
  <c r="CC209" i="6"/>
  <c r="B65" i="9"/>
  <c r="E69" i="9"/>
  <c r="G68" i="9"/>
  <c r="G69" i="9"/>
  <c r="D142" i="9"/>
  <c r="D69" i="9"/>
  <c r="D68" i="9"/>
  <c r="F68" i="9"/>
  <c r="C142" i="9"/>
  <c r="C68" i="9"/>
  <c r="C69" i="9"/>
  <c r="F69" i="9"/>
  <c r="B3" i="9"/>
  <c r="B17" i="9"/>
  <c r="B209" i="9"/>
  <c r="B121" i="9"/>
  <c r="B132" i="9" s="1"/>
  <c r="B96" i="9"/>
  <c r="CC115" i="8"/>
  <c r="G115" i="10" s="1"/>
  <c r="BW121" i="8"/>
  <c r="BW132" i="8" s="1"/>
  <c r="AX141" i="8"/>
  <c r="AX142" i="8" s="1"/>
  <c r="AX211" i="8" s="1"/>
  <c r="AX219" i="8" s="1"/>
  <c r="AX220" i="8" s="1"/>
  <c r="F133" i="8"/>
  <c r="BG133" i="8"/>
  <c r="AF141" i="8"/>
  <c r="AF142" i="8" s="1"/>
  <c r="AF211" i="8" s="1"/>
  <c r="AF219" i="8" s="1"/>
  <c r="AF220" i="8" s="1"/>
  <c r="AI211" i="8"/>
  <c r="CB161" i="8"/>
  <c r="CB136" i="8"/>
  <c r="CB134" i="8"/>
  <c r="AV141" i="8"/>
  <c r="AV142" i="8" s="1"/>
  <c r="BQ161" i="8"/>
  <c r="BQ136" i="8"/>
  <c r="BT136" i="8" s="1"/>
  <c r="BT183" i="8"/>
  <c r="BT197" i="8" s="1"/>
  <c r="BO197" i="8"/>
  <c r="BQ141" i="8"/>
  <c r="BQ142" i="8" s="1"/>
  <c r="BT135" i="8"/>
  <c r="F170" i="8"/>
  <c r="BZ161" i="8"/>
  <c r="BZ170" i="8" s="1"/>
  <c r="F93" i="8"/>
  <c r="AR161" i="8"/>
  <c r="AR136" i="8"/>
  <c r="AR134" i="8"/>
  <c r="CC4" i="8"/>
  <c r="CC17" i="8" s="1"/>
  <c r="BV3" i="8"/>
  <c r="CC3" i="8" s="1"/>
  <c r="BV17" i="8"/>
  <c r="BK83" i="8"/>
  <c r="BK90" i="8" s="1"/>
  <c r="BF90" i="8"/>
  <c r="BF97" i="8" s="1"/>
  <c r="BX83" i="8"/>
  <c r="BK144" i="8"/>
  <c r="BK154" i="8" s="1"/>
  <c r="BD154" i="8"/>
  <c r="D183" i="8"/>
  <c r="B144" i="8"/>
  <c r="B147" i="8"/>
  <c r="B150" i="8"/>
  <c r="B164" i="8"/>
  <c r="C157" i="8"/>
  <c r="B149" i="8"/>
  <c r="B153" i="8"/>
  <c r="B148" i="8"/>
  <c r="B160" i="8"/>
  <c r="B187" i="8"/>
  <c r="D84" i="8"/>
  <c r="AT17" i="8"/>
  <c r="I17" i="8"/>
  <c r="AP161" i="8"/>
  <c r="AP136" i="8"/>
  <c r="AS136" i="8"/>
  <c r="BN170" i="8"/>
  <c r="BT157" i="8"/>
  <c r="R76" i="8"/>
  <c r="BV76" i="8"/>
  <c r="CC76" i="8" s="1"/>
  <c r="G76" i="10" s="1"/>
  <c r="G80" i="10" s="1"/>
  <c r="AJ115" i="8"/>
  <c r="AJ121" i="8" s="1"/>
  <c r="AJ132" i="8" s="1"/>
  <c r="AJ69" i="8" s="1"/>
  <c r="AD121" i="8"/>
  <c r="AD132" i="8" s="1"/>
  <c r="BR141" i="8"/>
  <c r="BR142" i="8" s="1"/>
  <c r="AU74" i="8"/>
  <c r="BB3" i="8"/>
  <c r="AS17" i="8"/>
  <c r="H93" i="8"/>
  <c r="H96" i="8" s="1"/>
  <c r="H97" i="8" s="1"/>
  <c r="H170" i="8"/>
  <c r="AQ161" i="8"/>
  <c r="AQ170" i="8" s="1"/>
  <c r="AQ136" i="8"/>
  <c r="CC172" i="8"/>
  <c r="G172" i="10" s="1"/>
  <c r="G197" i="10" s="1"/>
  <c r="BV136" i="8"/>
  <c r="I136" i="8"/>
  <c r="Z161" i="8"/>
  <c r="AA161" i="8" s="1"/>
  <c r="Z134" i="8"/>
  <c r="Z141" i="8" s="1"/>
  <c r="Z142" i="8" s="1"/>
  <c r="Z136" i="8"/>
  <c r="AA136" i="8" s="1"/>
  <c r="AC133" i="8"/>
  <c r="AQ133" i="8"/>
  <c r="AL187" i="8"/>
  <c r="AL160" i="8"/>
  <c r="AL153" i="8"/>
  <c r="AS153" i="8" s="1"/>
  <c r="AL144" i="8"/>
  <c r="AL147" i="8"/>
  <c r="AS147" i="8" s="1"/>
  <c r="AN183" i="8"/>
  <c r="AL149" i="8"/>
  <c r="AS149" i="8" s="1"/>
  <c r="AL150" i="8"/>
  <c r="AS150" i="8" s="1"/>
  <c r="AL164" i="8"/>
  <c r="AS164" i="8" s="1"/>
  <c r="AM157" i="8"/>
  <c r="AN84" i="8"/>
  <c r="AL148" i="8"/>
  <c r="AS148" i="8" s="1"/>
  <c r="V183" i="8"/>
  <c r="T187" i="8"/>
  <c r="T149" i="8"/>
  <c r="AA149" i="8" s="1"/>
  <c r="T150" i="8"/>
  <c r="AA150" i="8" s="1"/>
  <c r="T164" i="8"/>
  <c r="AA164" i="8" s="1"/>
  <c r="U157" i="8"/>
  <c r="T160" i="8"/>
  <c r="T153" i="8"/>
  <c r="AA153" i="8" s="1"/>
  <c r="T147" i="8"/>
  <c r="AA147" i="8" s="1"/>
  <c r="T144" i="8"/>
  <c r="V84" i="8"/>
  <c r="T148" i="8"/>
  <c r="AA148" i="8" s="1"/>
  <c r="BW140" i="8"/>
  <c r="BJ170" i="8"/>
  <c r="BJ211" i="8" s="1"/>
  <c r="BJ93" i="8"/>
  <c r="AG133" i="8"/>
  <c r="AM121" i="8"/>
  <c r="AM132" i="8" s="1"/>
  <c r="AS115" i="8"/>
  <c r="AS121" i="8" s="1"/>
  <c r="AS132" i="8" s="1"/>
  <c r="AS68" i="8" s="1"/>
  <c r="AS135" i="8"/>
  <c r="AP133" i="8"/>
  <c r="O161" i="8"/>
  <c r="O136" i="8"/>
  <c r="BZ136" i="8" s="1"/>
  <c r="BF141" i="8"/>
  <c r="BF142" i="8" s="1"/>
  <c r="BW135" i="8"/>
  <c r="CD5" i="8"/>
  <c r="AG170" i="8"/>
  <c r="AG93" i="8"/>
  <c r="BT80" i="8"/>
  <c r="CA135" i="8"/>
  <c r="BO141" i="8"/>
  <c r="BO142" i="8" s="1"/>
  <c r="G170" i="8"/>
  <c r="X133" i="8"/>
  <c r="BK65" i="8"/>
  <c r="AE133" i="8"/>
  <c r="BD74" i="8"/>
  <c r="BK3" i="8"/>
  <c r="R84" i="8"/>
  <c r="R90" i="8" s="1"/>
  <c r="M90" i="8"/>
  <c r="M97" i="8" s="1"/>
  <c r="BN121" i="8"/>
  <c r="BN132" i="8" s="1"/>
  <c r="BT115" i="8"/>
  <c r="AA140" i="8"/>
  <c r="G133" i="8"/>
  <c r="I161" i="8"/>
  <c r="BV146" i="8"/>
  <c r="CC146" i="8" s="1"/>
  <c r="BE132" i="8"/>
  <c r="BE134" i="8" s="1"/>
  <c r="AU121" i="8"/>
  <c r="AU132" i="8" s="1"/>
  <c r="BB114" i="8"/>
  <c r="AS140" i="8"/>
  <c r="BL4" i="8"/>
  <c r="BL17" i="8" s="1"/>
  <c r="BK17" i="8"/>
  <c r="U121" i="8"/>
  <c r="U132" i="8" s="1"/>
  <c r="AA115" i="8"/>
  <c r="AA121" i="8" s="1"/>
  <c r="AA132" i="8" s="1"/>
  <c r="AA68" i="8" s="1"/>
  <c r="BK182" i="8"/>
  <c r="BK197" i="8" s="1"/>
  <c r="BF197" i="8"/>
  <c r="BX182" i="8"/>
  <c r="I3" i="8"/>
  <c r="B74" i="8"/>
  <c r="AH161" i="8"/>
  <c r="AH136" i="8"/>
  <c r="AH141" i="8" s="1"/>
  <c r="AH142" i="8" s="1"/>
  <c r="AA17" i="8"/>
  <c r="C133" i="8"/>
  <c r="AA135" i="8"/>
  <c r="AR141" i="8"/>
  <c r="AR142" i="8" s="1"/>
  <c r="AW141" i="8"/>
  <c r="AW142" i="8" s="1"/>
  <c r="AJ140" i="8"/>
  <c r="E133" i="8"/>
  <c r="BT160" i="8"/>
  <c r="BM170" i="8"/>
  <c r="BM133" i="8"/>
  <c r="BB140" i="8"/>
  <c r="BD133" i="8"/>
  <c r="BV213" i="8"/>
  <c r="CC213" i="8" s="1"/>
  <c r="G213" i="10" s="1"/>
  <c r="BK213" i="8"/>
  <c r="G213" i="11" s="1"/>
  <c r="G70" i="11" s="1"/>
  <c r="BY140" i="8"/>
  <c r="Y141" i="8"/>
  <c r="Y142" i="8" s="1"/>
  <c r="Y211" i="8" s="1"/>
  <c r="Y219" i="8" s="1"/>
  <c r="Y220" i="8" s="1"/>
  <c r="AU164" i="8"/>
  <c r="BB164" i="8" s="1"/>
  <c r="AU159" i="8"/>
  <c r="AU160" i="8"/>
  <c r="BB160" i="8" s="1"/>
  <c r="AU158" i="8"/>
  <c r="AW183" i="8"/>
  <c r="AU148" i="8"/>
  <c r="BB148" i="8" s="1"/>
  <c r="AU187" i="8"/>
  <c r="AU149" i="8"/>
  <c r="BB149" i="8" s="1"/>
  <c r="AU137" i="8"/>
  <c r="AU147" i="8"/>
  <c r="BB147" i="8" s="1"/>
  <c r="AV157" i="8"/>
  <c r="AU144" i="8"/>
  <c r="AW84" i="8"/>
  <c r="BT140" i="8"/>
  <c r="BK160" i="8"/>
  <c r="R17" i="8"/>
  <c r="S4" i="8"/>
  <c r="X170" i="8"/>
  <c r="X93" i="8"/>
  <c r="CC156" i="8"/>
  <c r="G156" i="10" s="1"/>
  <c r="BV114" i="8"/>
  <c r="CC114" i="8" s="1"/>
  <c r="I114" i="8"/>
  <c r="AJ135" i="8"/>
  <c r="CA132" i="8"/>
  <c r="T121" i="8"/>
  <c r="T132" i="8" s="1"/>
  <c r="BW90" i="8"/>
  <c r="CC82" i="8"/>
  <c r="G82" i="10" s="1"/>
  <c r="G90" i="10" s="1"/>
  <c r="I140" i="8"/>
  <c r="BV140" i="8"/>
  <c r="BB135" i="8"/>
  <c r="D132" i="8"/>
  <c r="AK4" i="8"/>
  <c r="AK17" i="8" s="1"/>
  <c r="AJ17" i="8"/>
  <c r="AC164" i="8"/>
  <c r="AJ164" i="8" s="1"/>
  <c r="AD157" i="8"/>
  <c r="AE183" i="8"/>
  <c r="AC187" i="8"/>
  <c r="AC153" i="8"/>
  <c r="AJ153" i="8" s="1"/>
  <c r="AC144" i="8"/>
  <c r="AC160" i="8"/>
  <c r="AC149" i="8"/>
  <c r="AJ149" i="8" s="1"/>
  <c r="AC150" i="8"/>
  <c r="AJ150" i="8" s="1"/>
  <c r="AC148" i="8"/>
  <c r="AJ148" i="8" s="1"/>
  <c r="AC147" i="8"/>
  <c r="AJ147" i="8" s="1"/>
  <c r="AE84" i="8"/>
  <c r="BZ140" i="8"/>
  <c r="CC61" i="8"/>
  <c r="CC64" i="8" s="1"/>
  <c r="CC65" i="8" s="1"/>
  <c r="BI141" i="8"/>
  <c r="BI142" i="8" s="1"/>
  <c r="BI211" i="8" s="1"/>
  <c r="BI219" i="8" s="1"/>
  <c r="BI220" i="8" s="1"/>
  <c r="BS161" i="8"/>
  <c r="BS134" i="8"/>
  <c r="BS141" i="8" s="1"/>
  <c r="BS142" i="8" s="1"/>
  <c r="BS136" i="8"/>
  <c r="Q161" i="8"/>
  <c r="Q136" i="8"/>
  <c r="Q134" i="8"/>
  <c r="Q141" i="8" s="1"/>
  <c r="Q142" i="8" s="1"/>
  <c r="AC167" i="8"/>
  <c r="AJ167" i="8" s="1"/>
  <c r="AC168" i="8"/>
  <c r="AJ168" i="8" s="1"/>
  <c r="AC166" i="8"/>
  <c r="AJ166" i="8" s="1"/>
  <c r="AC80" i="8"/>
  <c r="AC97" i="8" s="1"/>
  <c r="AJ74" i="8"/>
  <c r="AJ80" i="8" s="1"/>
  <c r="B132" i="8"/>
  <c r="AL133" i="8"/>
  <c r="BT144" i="8"/>
  <c r="BT154" i="8" s="1"/>
  <c r="BM154" i="8"/>
  <c r="BV135" i="8"/>
  <c r="I135" i="8"/>
  <c r="K74" i="8"/>
  <c r="R3" i="8"/>
  <c r="BZ135" i="8"/>
  <c r="BK157" i="8"/>
  <c r="BE170" i="8"/>
  <c r="R144" i="8"/>
  <c r="R154" i="8" s="1"/>
  <c r="K154" i="8"/>
  <c r="BX136" i="8"/>
  <c r="AI170" i="8"/>
  <c r="AI93" i="8"/>
  <c r="AI96" i="8" s="1"/>
  <c r="AI97" i="8" s="1"/>
  <c r="P161" i="8"/>
  <c r="P170" i="8" s="1"/>
  <c r="P136" i="8"/>
  <c r="P141" i="8" s="1"/>
  <c r="P142" i="8" s="1"/>
  <c r="P211" i="8" s="1"/>
  <c r="P219" i="8" s="1"/>
  <c r="P220" i="8" s="1"/>
  <c r="O133" i="8"/>
  <c r="L121" i="8"/>
  <c r="L132" i="8" s="1"/>
  <c r="R115" i="8"/>
  <c r="R121" i="8" s="1"/>
  <c r="R132" i="8" s="1"/>
  <c r="BK161" i="8"/>
  <c r="G161" i="11" s="1"/>
  <c r="G170" i="11" s="1"/>
  <c r="BB131" i="8"/>
  <c r="BT84" i="8"/>
  <c r="BT90" i="8" s="1"/>
  <c r="BO90" i="8"/>
  <c r="BO97" i="8" s="1"/>
  <c r="V141" i="8"/>
  <c r="V142" i="8" s="1"/>
  <c r="CC209" i="8"/>
  <c r="AZ161" i="8"/>
  <c r="AZ136" i="8"/>
  <c r="AZ141" i="8" s="1"/>
  <c r="AZ142" i="8" s="1"/>
  <c r="CC131" i="8"/>
  <c r="CD10" i="8"/>
  <c r="L170" i="8"/>
  <c r="R157" i="8"/>
  <c r="BX135" i="8"/>
  <c r="AY136" i="8"/>
  <c r="BB136" i="8" s="1"/>
  <c r="AY161" i="8"/>
  <c r="BR170" i="8"/>
  <c r="BR93" i="8"/>
  <c r="BR96" i="8" s="1"/>
  <c r="BR97" i="8" s="1"/>
  <c r="BA161" i="8"/>
  <c r="BA136" i="8"/>
  <c r="BA134" i="8"/>
  <c r="BA141" i="8" s="1"/>
  <c r="BA142" i="8" s="1"/>
  <c r="H142" i="8"/>
  <c r="H211" i="8" s="1"/>
  <c r="H133" i="8"/>
  <c r="H141" i="8" s="1"/>
  <c r="BH141" i="8"/>
  <c r="BH142" i="8" s="1"/>
  <c r="BH211" i="8" s="1"/>
  <c r="BH219" i="8" s="1"/>
  <c r="BH220" i="8" s="1"/>
  <c r="R135" i="8"/>
  <c r="BV131" i="8"/>
  <c r="K133" i="8"/>
  <c r="R183" i="8"/>
  <c r="M197" i="8"/>
  <c r="BZ132" i="8"/>
  <c r="BK140" i="8"/>
  <c r="G140" i="11" s="1"/>
  <c r="BX140" i="8"/>
  <c r="T166" i="8"/>
  <c r="AA166" i="8" s="1"/>
  <c r="T167" i="8"/>
  <c r="AA167" i="8" s="1"/>
  <c r="T168" i="8"/>
  <c r="AA168" i="8" s="1"/>
  <c r="T80" i="8"/>
  <c r="T97" i="8" s="1"/>
  <c r="AA74" i="8"/>
  <c r="AA80" i="8" s="1"/>
  <c r="AL74" i="8"/>
  <c r="AS3" i="8"/>
  <c r="CC17" i="7"/>
  <c r="BV136" i="7"/>
  <c r="AS136" i="7"/>
  <c r="BG133" i="7"/>
  <c r="G133" i="7"/>
  <c r="CA134" i="7"/>
  <c r="BP141" i="7"/>
  <c r="BP142" i="7" s="1"/>
  <c r="BP211" i="7" s="1"/>
  <c r="BP219" i="7" s="1"/>
  <c r="BP220" i="7" s="1"/>
  <c r="BM154" i="7"/>
  <c r="BT144" i="7"/>
  <c r="BT154" i="7" s="1"/>
  <c r="T133" i="7"/>
  <c r="AV133" i="7"/>
  <c r="AI161" i="7"/>
  <c r="AI136" i="7"/>
  <c r="E133" i="7"/>
  <c r="AH161" i="7"/>
  <c r="AH170" i="7" s="1"/>
  <c r="AH136" i="7"/>
  <c r="CA136" i="7" s="1"/>
  <c r="AU121" i="7"/>
  <c r="AU132" i="7" s="1"/>
  <c r="BB140" i="7"/>
  <c r="AR141" i="7"/>
  <c r="AR142" i="7" s="1"/>
  <c r="AT4" i="7"/>
  <c r="AT17" i="7" s="1"/>
  <c r="AS17" i="7"/>
  <c r="O161" i="7"/>
  <c r="BZ161" i="7" s="1"/>
  <c r="O136" i="7"/>
  <c r="F170" i="7"/>
  <c r="I161" i="7"/>
  <c r="F93" i="7"/>
  <c r="V141" i="7"/>
  <c r="V142" i="7" s="1"/>
  <c r="BV114" i="7"/>
  <c r="CC114" i="7" s="1"/>
  <c r="F114" i="10" s="1"/>
  <c r="I114" i="7"/>
  <c r="BM166" i="7"/>
  <c r="BT166" i="7" s="1"/>
  <c r="BM167" i="7"/>
  <c r="BT167" i="7" s="1"/>
  <c r="BM168" i="7"/>
  <c r="BT168" i="7" s="1"/>
  <c r="BM80" i="7"/>
  <c r="BM97" i="7" s="1"/>
  <c r="BT74" i="7"/>
  <c r="CB170" i="7"/>
  <c r="CB211" i="7" s="1"/>
  <c r="CB93" i="7"/>
  <c r="CB96" i="7" s="1"/>
  <c r="CB97" i="7" s="1"/>
  <c r="K133" i="7"/>
  <c r="CA135" i="7"/>
  <c r="BV3" i="7"/>
  <c r="CC3" i="7" s="1"/>
  <c r="BE170" i="7"/>
  <c r="BK157" i="7"/>
  <c r="AE141" i="7"/>
  <c r="AE142" i="7" s="1"/>
  <c r="BZ140" i="7"/>
  <c r="I135" i="7"/>
  <c r="BV135" i="7"/>
  <c r="AS144" i="7"/>
  <c r="AS154" i="7" s="1"/>
  <c r="AL154" i="7"/>
  <c r="BV76" i="7"/>
  <c r="CC76" i="7" s="1"/>
  <c r="F76" i="10" s="1"/>
  <c r="X170" i="7"/>
  <c r="X211" i="7" s="1"/>
  <c r="AA161" i="7"/>
  <c r="X93" i="7"/>
  <c r="AR161" i="7"/>
  <c r="AR136" i="7"/>
  <c r="BT160" i="7"/>
  <c r="BM170" i="7"/>
  <c r="Q161" i="7"/>
  <c r="Q136" i="7"/>
  <c r="Q141" i="7"/>
  <c r="Q142" i="7" s="1"/>
  <c r="BW140" i="7"/>
  <c r="BF141" i="7"/>
  <c r="BF142" i="7" s="1"/>
  <c r="T74" i="7"/>
  <c r="AA3" i="7"/>
  <c r="CC36" i="7"/>
  <c r="CC63" i="7" s="1"/>
  <c r="CC65" i="7" s="1"/>
  <c r="CD27" i="7"/>
  <c r="CD17" i="7"/>
  <c r="BQ170" i="7"/>
  <c r="BQ93" i="7"/>
  <c r="CD4" i="7"/>
  <c r="BY140" i="7"/>
  <c r="BB135" i="7"/>
  <c r="BT157" i="7"/>
  <c r="BN170" i="7"/>
  <c r="AO142" i="7"/>
  <c r="AO211" i="7" s="1"/>
  <c r="AO219" i="7" s="1"/>
  <c r="AO220" i="7" s="1"/>
  <c r="AO141" i="7"/>
  <c r="BZ135" i="7"/>
  <c r="BS134" i="7"/>
  <c r="BS141" i="7" s="1"/>
  <c r="BS142" i="7" s="1"/>
  <c r="BS161" i="7"/>
  <c r="BS136" i="7"/>
  <c r="BT121" i="7"/>
  <c r="BT132" i="7" s="1"/>
  <c r="BT68" i="7" s="1"/>
  <c r="BV17" i="7"/>
  <c r="BO141" i="7"/>
  <c r="BO142" i="7" s="1"/>
  <c r="AC166" i="7"/>
  <c r="AJ166" i="7" s="1"/>
  <c r="AC168" i="7"/>
  <c r="AJ168" i="7" s="1"/>
  <c r="AC167" i="7"/>
  <c r="AJ167" i="7" s="1"/>
  <c r="AC80" i="7"/>
  <c r="AC97" i="7" s="1"/>
  <c r="AJ74" i="7"/>
  <c r="AJ80" i="7" s="1"/>
  <c r="AL167" i="7"/>
  <c r="AS167" i="7" s="1"/>
  <c r="AL168" i="7"/>
  <c r="AS168" i="7" s="1"/>
  <c r="AL166" i="7"/>
  <c r="AS166" i="7" s="1"/>
  <c r="AL80" i="7"/>
  <c r="AL97" i="7" s="1"/>
  <c r="AS74" i="7"/>
  <c r="AS80" i="7" s="1"/>
  <c r="AU166" i="7"/>
  <c r="BB166" i="7" s="1"/>
  <c r="AU168" i="7"/>
  <c r="BB168" i="7" s="1"/>
  <c r="AU167" i="7"/>
  <c r="BB167" i="7" s="1"/>
  <c r="BB74" i="7"/>
  <c r="BB80" i="7" s="1"/>
  <c r="AU80" i="7"/>
  <c r="AU97" i="7" s="1"/>
  <c r="I17" i="7"/>
  <c r="AD121" i="7"/>
  <c r="AD132" i="7" s="1"/>
  <c r="AJ115" i="7"/>
  <c r="P161" i="7"/>
  <c r="P170" i="7" s="1"/>
  <c r="P136" i="7"/>
  <c r="P141" i="7" s="1"/>
  <c r="P142" i="7" s="1"/>
  <c r="P211" i="7" s="1"/>
  <c r="P219" i="7" s="1"/>
  <c r="P220" i="7" s="1"/>
  <c r="B160" i="7"/>
  <c r="B153" i="7"/>
  <c r="D183" i="7"/>
  <c r="B144" i="7"/>
  <c r="B147" i="7"/>
  <c r="B148" i="7"/>
  <c r="C157" i="7"/>
  <c r="B149" i="7"/>
  <c r="B187" i="7"/>
  <c r="B164" i="7"/>
  <c r="B150" i="7"/>
  <c r="D84" i="7"/>
  <c r="AG161" i="7"/>
  <c r="AG136" i="7"/>
  <c r="AG141" i="7" s="1"/>
  <c r="AG142" i="7" s="1"/>
  <c r="AZ141" i="7"/>
  <c r="AZ142" i="7" s="1"/>
  <c r="BK140" i="7"/>
  <c r="F140" i="11" s="1"/>
  <c r="BV213" i="7"/>
  <c r="CC213" i="7" s="1"/>
  <c r="F213" i="10" s="1"/>
  <c r="BK213" i="7"/>
  <c r="F213" i="11" s="1"/>
  <c r="F70" i="11" s="1"/>
  <c r="BW90" i="7"/>
  <c r="CC82" i="7"/>
  <c r="F82" i="10" s="1"/>
  <c r="F90" i="10" s="1"/>
  <c r="BB121" i="7"/>
  <c r="BB132" i="7" s="1"/>
  <c r="BB68" i="7" s="1"/>
  <c r="AS160" i="7"/>
  <c r="S17" i="7"/>
  <c r="BA141" i="7"/>
  <c r="BA142" i="7" s="1"/>
  <c r="BA211" i="7" s="1"/>
  <c r="O141" i="7"/>
  <c r="O142" i="7" s="1"/>
  <c r="AY141" i="7"/>
  <c r="AY142" i="7" s="1"/>
  <c r="AJ140" i="7"/>
  <c r="BE121" i="7"/>
  <c r="BE132" i="7" s="1"/>
  <c r="BE134" i="7" s="1"/>
  <c r="BK115" i="7"/>
  <c r="F115" i="11" s="1"/>
  <c r="F121" i="11" s="1"/>
  <c r="F132" i="11" s="1"/>
  <c r="F69" i="11" s="1"/>
  <c r="B132" i="7"/>
  <c r="AS115" i="7"/>
  <c r="AS121" i="7" s="1"/>
  <c r="AS132" i="7" s="1"/>
  <c r="AS69" i="7" s="1"/>
  <c r="AM121" i="7"/>
  <c r="AM132" i="7" s="1"/>
  <c r="AM170" i="7"/>
  <c r="AS157" i="7"/>
  <c r="R17" i="7"/>
  <c r="K74" i="7"/>
  <c r="R3" i="7"/>
  <c r="BV209" i="7"/>
  <c r="CC199" i="7"/>
  <c r="BD154" i="7"/>
  <c r="BK144" i="7"/>
  <c r="BK154" i="7" s="1"/>
  <c r="AQ133" i="7"/>
  <c r="AQ141" i="7" s="1"/>
  <c r="AQ142" i="7" s="1"/>
  <c r="AQ211" i="7" s="1"/>
  <c r="AQ219" i="7" s="1"/>
  <c r="AQ220" i="7" s="1"/>
  <c r="BW131" i="7"/>
  <c r="CC123" i="7"/>
  <c r="AC121" i="7"/>
  <c r="AC132" i="7" s="1"/>
  <c r="AC134" i="7" s="1"/>
  <c r="BT134" i="7"/>
  <c r="BM133" i="7"/>
  <c r="AJ121" i="7"/>
  <c r="AJ135" i="7"/>
  <c r="CC100" i="7"/>
  <c r="CC103" i="7" s="1"/>
  <c r="R135" i="7"/>
  <c r="AA136" i="7"/>
  <c r="T147" i="7"/>
  <c r="AA147" i="7" s="1"/>
  <c r="T148" i="7"/>
  <c r="AA148" i="7" s="1"/>
  <c r="T187" i="7"/>
  <c r="T150" i="7"/>
  <c r="AA150" i="7" s="1"/>
  <c r="T164" i="7"/>
  <c r="AA164" i="7" s="1"/>
  <c r="U157" i="7"/>
  <c r="V183" i="7"/>
  <c r="T160" i="7"/>
  <c r="T153" i="7"/>
  <c r="AA153" i="7" s="1"/>
  <c r="T149" i="7"/>
  <c r="AA149" i="7" s="1"/>
  <c r="V84" i="7"/>
  <c r="T144" i="7"/>
  <c r="AY161" i="7"/>
  <c r="AY136" i="7"/>
  <c r="BB136" i="7" s="1"/>
  <c r="AJ131" i="7"/>
  <c r="AH141" i="7"/>
  <c r="AH142" i="7" s="1"/>
  <c r="AH211" i="7" s="1"/>
  <c r="AH219" i="7" s="1"/>
  <c r="AH220" i="7" s="1"/>
  <c r="AL132" i="7"/>
  <c r="U121" i="7"/>
  <c r="U132" i="7" s="1"/>
  <c r="AA115" i="7"/>
  <c r="AA121" i="7" s="1"/>
  <c r="AA132" i="7" s="1"/>
  <c r="BW80" i="7"/>
  <c r="CC79" i="7"/>
  <c r="F79" i="10" s="1"/>
  <c r="CC172" i="7"/>
  <c r="F172" i="10" s="1"/>
  <c r="AI133" i="7"/>
  <c r="AI141" i="7" s="1"/>
  <c r="AI142" i="7" s="1"/>
  <c r="BD121" i="7"/>
  <c r="BD132" i="7" s="1"/>
  <c r="BD134" i="7" s="1"/>
  <c r="AS140" i="7"/>
  <c r="AA135" i="7"/>
  <c r="BW115" i="7"/>
  <c r="C121" i="7"/>
  <c r="C132" i="7" s="1"/>
  <c r="I115" i="7"/>
  <c r="BJ161" i="7"/>
  <c r="BJ136" i="7"/>
  <c r="M141" i="7"/>
  <c r="M142" i="7" s="1"/>
  <c r="R115" i="7"/>
  <c r="L121" i="7"/>
  <c r="L132" i="7" s="1"/>
  <c r="BO197" i="7"/>
  <c r="BT183" i="7"/>
  <c r="BT197" i="7" s="1"/>
  <c r="I140" i="7"/>
  <c r="BV140" i="7"/>
  <c r="AC187" i="7"/>
  <c r="AC149" i="7"/>
  <c r="AJ149" i="7" s="1"/>
  <c r="AC150" i="7"/>
  <c r="AJ150" i="7" s="1"/>
  <c r="AD157" i="7"/>
  <c r="AC164" i="7"/>
  <c r="AJ164" i="7" s="1"/>
  <c r="AC144" i="7"/>
  <c r="AC147" i="7"/>
  <c r="AJ147" i="7" s="1"/>
  <c r="AC148" i="7"/>
  <c r="AJ148" i="7" s="1"/>
  <c r="AC153" i="7"/>
  <c r="AJ153" i="7" s="1"/>
  <c r="AE84" i="7"/>
  <c r="AC160" i="7"/>
  <c r="AE183" i="7"/>
  <c r="BZ133" i="7"/>
  <c r="BD74" i="7"/>
  <c r="BK3" i="7"/>
  <c r="M183" i="7"/>
  <c r="K144" i="7"/>
  <c r="K148" i="7"/>
  <c r="R148" i="7" s="1"/>
  <c r="K187" i="7"/>
  <c r="K149" i="7"/>
  <c r="R149" i="7" s="1"/>
  <c r="K150" i="7"/>
  <c r="R150" i="7" s="1"/>
  <c r="L157" i="7"/>
  <c r="K164" i="7"/>
  <c r="R164" i="7" s="1"/>
  <c r="K160" i="7"/>
  <c r="K147" i="7"/>
  <c r="R147" i="7" s="1"/>
  <c r="K153" i="7"/>
  <c r="R153" i="7" s="1"/>
  <c r="M84" i="7"/>
  <c r="AS84" i="7"/>
  <c r="AS90" i="7" s="1"/>
  <c r="AN90" i="7"/>
  <c r="AN97" i="7" s="1"/>
  <c r="BA170" i="7"/>
  <c r="BA93" i="7"/>
  <c r="BA96" i="7" s="1"/>
  <c r="BA97" i="7" s="1"/>
  <c r="AP170" i="7"/>
  <c r="AP211" i="7" s="1"/>
  <c r="AS161" i="7"/>
  <c r="AP93" i="7"/>
  <c r="CC107" i="7"/>
  <c r="F107" i="10" s="1"/>
  <c r="BN133" i="7"/>
  <c r="BN141" i="7" s="1"/>
  <c r="BN142" i="7" s="1"/>
  <c r="AX141" i="7"/>
  <c r="AX142" i="7" s="1"/>
  <c r="AX211" i="7" s="1"/>
  <c r="AX219" i="7" s="1"/>
  <c r="AX220" i="7" s="1"/>
  <c r="BJ133" i="7"/>
  <c r="BJ141" i="7" s="1"/>
  <c r="BJ142" i="7" s="1"/>
  <c r="BX140" i="7"/>
  <c r="BW135" i="7"/>
  <c r="BY132" i="7"/>
  <c r="AU158" i="7"/>
  <c r="AW183" i="7"/>
  <c r="AU144" i="7"/>
  <c r="AU149" i="7"/>
  <c r="BB149" i="7" s="1"/>
  <c r="AU160" i="7"/>
  <c r="BB160" i="7" s="1"/>
  <c r="AU147" i="7"/>
  <c r="BB147" i="7" s="1"/>
  <c r="AU137" i="7"/>
  <c r="AU159" i="7"/>
  <c r="AU187" i="7"/>
  <c r="AU148" i="7"/>
  <c r="BB148" i="7" s="1"/>
  <c r="AW84" i="7"/>
  <c r="AV157" i="7"/>
  <c r="AU164" i="7"/>
  <c r="BB164" i="7" s="1"/>
  <c r="BR161" i="7"/>
  <c r="BT161" i="7" s="1"/>
  <c r="BR136" i="7"/>
  <c r="BR141" i="7" s="1"/>
  <c r="BR142" i="7" s="1"/>
  <c r="CC129" i="7"/>
  <c r="F129" i="10" s="1"/>
  <c r="BK83" i="7"/>
  <c r="BK90" i="7" s="1"/>
  <c r="BX83" i="7"/>
  <c r="BF90" i="7"/>
  <c r="BF97" i="7" s="1"/>
  <c r="BK160" i="7"/>
  <c r="BQ141" i="7"/>
  <c r="BQ142" i="7" s="1"/>
  <c r="BQ211" i="7" s="1"/>
  <c r="F141" i="7"/>
  <c r="F142" i="7" s="1"/>
  <c r="F211" i="7" s="1"/>
  <c r="B74" i="7"/>
  <c r="I3" i="7"/>
  <c r="Z170" i="7"/>
  <c r="Z93" i="7"/>
  <c r="Z96" i="7" s="1"/>
  <c r="Z97" i="7" s="1"/>
  <c r="H170" i="7"/>
  <c r="H211" i="7" s="1"/>
  <c r="H93" i="7"/>
  <c r="H96" i="7" s="1"/>
  <c r="H97" i="7" s="1"/>
  <c r="CA132" i="7"/>
  <c r="BD197" i="7"/>
  <c r="BX132" i="7"/>
  <c r="AF141" i="7"/>
  <c r="AF142" i="7" s="1"/>
  <c r="AF211" i="7" s="1"/>
  <c r="AF219" i="7" s="1"/>
  <c r="AF220" i="7" s="1"/>
  <c r="Z133" i="7"/>
  <c r="Z141" i="7" s="1"/>
  <c r="Z142" i="7" s="1"/>
  <c r="Z211" i="7" s="1"/>
  <c r="BX135" i="7"/>
  <c r="BX133" i="7"/>
  <c r="BI161" i="7"/>
  <c r="BI136" i="7"/>
  <c r="BK136" i="7" s="1"/>
  <c r="F136" i="11" s="1"/>
  <c r="AZ161" i="7"/>
  <c r="CA161" i="7" s="1"/>
  <c r="CA170" i="7" s="1"/>
  <c r="AZ136" i="7"/>
  <c r="G170" i="7"/>
  <c r="BF197" i="7"/>
  <c r="BX182" i="7"/>
  <c r="BK182" i="7"/>
  <c r="BK197" i="7" s="1"/>
  <c r="AN197" i="7"/>
  <c r="AN211" i="7" s="1"/>
  <c r="AS183" i="7"/>
  <c r="R136" i="7"/>
  <c r="BD121" i="6"/>
  <c r="BD132" i="6" s="1"/>
  <c r="BD134" i="6" s="1"/>
  <c r="AF141" i="6"/>
  <c r="AF142" i="6" s="1"/>
  <c r="AF211" i="6" s="1"/>
  <c r="AF219" i="6" s="1"/>
  <c r="AF220" i="6" s="1"/>
  <c r="B133" i="6"/>
  <c r="BM133" i="6"/>
  <c r="CC172" i="6"/>
  <c r="E172" i="10" s="1"/>
  <c r="E197" i="10" s="1"/>
  <c r="AC160" i="6"/>
  <c r="AC153" i="6"/>
  <c r="AJ153" i="6" s="1"/>
  <c r="AE183" i="6"/>
  <c r="AC150" i="6"/>
  <c r="AJ150" i="6" s="1"/>
  <c r="AC147" i="6"/>
  <c r="AJ147" i="6" s="1"/>
  <c r="AC187" i="6"/>
  <c r="AC164" i="6"/>
  <c r="AJ164" i="6" s="1"/>
  <c r="AC148" i="6"/>
  <c r="AJ148" i="6" s="1"/>
  <c r="AD157" i="6"/>
  <c r="AC149" i="6"/>
  <c r="AJ149" i="6" s="1"/>
  <c r="AC144" i="6"/>
  <c r="AE84" i="6"/>
  <c r="BB135" i="6"/>
  <c r="AJ135" i="6"/>
  <c r="BD74" i="6"/>
  <c r="BK3" i="6"/>
  <c r="CC156" i="6"/>
  <c r="E156" i="10" s="1"/>
  <c r="AQ136" i="6"/>
  <c r="AQ141" i="6" s="1"/>
  <c r="AQ142" i="6" s="1"/>
  <c r="AQ211" i="6" s="1"/>
  <c r="AQ219" i="6" s="1"/>
  <c r="AQ220" i="6" s="1"/>
  <c r="AQ161" i="6"/>
  <c r="AQ170" i="6" s="1"/>
  <c r="R140" i="6"/>
  <c r="BX140" i="6"/>
  <c r="BV140" i="6"/>
  <c r="BF133" i="6"/>
  <c r="Y136" i="6"/>
  <c r="Y161" i="6"/>
  <c r="Y170" i="6" s="1"/>
  <c r="O170" i="6"/>
  <c r="O211" i="6" s="1"/>
  <c r="O93" i="6"/>
  <c r="AW90" i="6"/>
  <c r="AW97" i="6" s="1"/>
  <c r="BB84" i="6"/>
  <c r="BB90" i="6" s="1"/>
  <c r="AS3" i="6"/>
  <c r="AL74" i="6"/>
  <c r="Y133" i="6"/>
  <c r="Y141" i="6" s="1"/>
  <c r="Y142" i="6" s="1"/>
  <c r="Y211" i="6" s="1"/>
  <c r="Y219" i="6" s="1"/>
  <c r="Y220" i="6" s="1"/>
  <c r="BT121" i="6"/>
  <c r="BT132" i="6" s="1"/>
  <c r="BB140" i="6"/>
  <c r="BK135" i="6"/>
  <c r="E135" i="11" s="1"/>
  <c r="CB134" i="6"/>
  <c r="CB136" i="6"/>
  <c r="CB161" i="6"/>
  <c r="R135" i="6"/>
  <c r="BG141" i="6"/>
  <c r="BG142" i="6" s="1"/>
  <c r="BG211" i="6" s="1"/>
  <c r="BG219" i="6" s="1"/>
  <c r="BG220" i="6" s="1"/>
  <c r="BB157" i="6"/>
  <c r="AV170" i="6"/>
  <c r="BX136" i="6"/>
  <c r="G170" i="6"/>
  <c r="AH161" i="6"/>
  <c r="AH170" i="6" s="1"/>
  <c r="AH136" i="6"/>
  <c r="AH141" i="6" s="1"/>
  <c r="AH142" i="6" s="1"/>
  <c r="AH211" i="6" s="1"/>
  <c r="AH219" i="6" s="1"/>
  <c r="AH220" i="6" s="1"/>
  <c r="E141" i="6"/>
  <c r="E142" i="6" s="1"/>
  <c r="E211" i="6" s="1"/>
  <c r="E219" i="6" s="1"/>
  <c r="E220" i="6" s="1"/>
  <c r="BY133" i="6"/>
  <c r="P161" i="6"/>
  <c r="P170" i="6" s="1"/>
  <c r="P136" i="6"/>
  <c r="P141" i="6" s="1"/>
  <c r="P142" i="6" s="1"/>
  <c r="P211" i="6" s="1"/>
  <c r="P219" i="6" s="1"/>
  <c r="P220" i="6" s="1"/>
  <c r="BV213" i="6"/>
  <c r="CC213" i="6" s="1"/>
  <c r="E213" i="10" s="1"/>
  <c r="BK213" i="6"/>
  <c r="E213" i="11" s="1"/>
  <c r="E70" i="11" s="1"/>
  <c r="K74" i="6"/>
  <c r="R3" i="6"/>
  <c r="BW136" i="6"/>
  <c r="BV137" i="6"/>
  <c r="CC137" i="6" s="1"/>
  <c r="BB137" i="6"/>
  <c r="CA140" i="6"/>
  <c r="T187" i="6"/>
  <c r="T164" i="6"/>
  <c r="AA164" i="6" s="1"/>
  <c r="U157" i="6"/>
  <c r="T153" i="6"/>
  <c r="AA153" i="6" s="1"/>
  <c r="T148" i="6"/>
  <c r="AA148" i="6" s="1"/>
  <c r="V183" i="6"/>
  <c r="T144" i="6"/>
  <c r="T150" i="6"/>
  <c r="AA150" i="6" s="1"/>
  <c r="T147" i="6"/>
  <c r="AA147" i="6" s="1"/>
  <c r="T160" i="6"/>
  <c r="V84" i="6"/>
  <c r="T149" i="6"/>
  <c r="AA149" i="6" s="1"/>
  <c r="D132" i="6"/>
  <c r="BX135" i="6"/>
  <c r="BT157" i="6"/>
  <c r="BN170" i="6"/>
  <c r="R157" i="6"/>
  <c r="L170" i="6"/>
  <c r="BI141" i="6"/>
  <c r="BI142" i="6" s="1"/>
  <c r="BI211" i="6" s="1"/>
  <c r="BI219" i="6" s="1"/>
  <c r="BI220" i="6" s="1"/>
  <c r="K133" i="6"/>
  <c r="BV145" i="6"/>
  <c r="CC145" i="6" s="1"/>
  <c r="AJ145" i="6"/>
  <c r="BH141" i="6"/>
  <c r="BH142" i="6" s="1"/>
  <c r="BH211" i="6" s="1"/>
  <c r="BH219" i="6" s="1"/>
  <c r="BH220" i="6" s="1"/>
  <c r="AL160" i="6"/>
  <c r="AL153" i="6"/>
  <c r="AS153" i="6" s="1"/>
  <c r="AN183" i="6"/>
  <c r="AL147" i="6"/>
  <c r="AS147" i="6" s="1"/>
  <c r="AL149" i="6"/>
  <c r="AS149" i="6" s="1"/>
  <c r="AL150" i="6"/>
  <c r="AS150" i="6" s="1"/>
  <c r="AM157" i="6"/>
  <c r="AL144" i="6"/>
  <c r="AL164" i="6"/>
  <c r="AS164" i="6" s="1"/>
  <c r="AN84" i="6"/>
  <c r="AL187" i="6"/>
  <c r="AL148" i="6"/>
  <c r="AS148" i="6" s="1"/>
  <c r="BE170" i="6"/>
  <c r="BK157" i="6"/>
  <c r="BW140" i="6"/>
  <c r="CC131" i="6"/>
  <c r="R90" i="6"/>
  <c r="CA135" i="6"/>
  <c r="B74" i="6"/>
  <c r="I3" i="6"/>
  <c r="AZ161" i="6"/>
  <c r="AZ136" i="6"/>
  <c r="AA80" i="6"/>
  <c r="Z93" i="6"/>
  <c r="Z96" i="6" s="1"/>
  <c r="Z97" i="6" s="1"/>
  <c r="Z170" i="6"/>
  <c r="BJ170" i="6"/>
  <c r="BJ93" i="6"/>
  <c r="AR161" i="6"/>
  <c r="AR134" i="6"/>
  <c r="AR141" i="6" s="1"/>
  <c r="AR142" i="6" s="1"/>
  <c r="AR136" i="6"/>
  <c r="L121" i="6"/>
  <c r="L132" i="6" s="1"/>
  <c r="R115" i="6"/>
  <c r="BF90" i="6"/>
  <c r="BF97" i="6" s="1"/>
  <c r="BX83" i="6"/>
  <c r="BK83" i="6"/>
  <c r="BK90" i="6" s="1"/>
  <c r="BW135" i="6"/>
  <c r="BB158" i="6"/>
  <c r="BV158" i="6"/>
  <c r="CC158" i="6" s="1"/>
  <c r="BO90" i="6"/>
  <c r="BO97" i="6" s="1"/>
  <c r="BT84" i="6"/>
  <c r="BT90" i="6" s="1"/>
  <c r="BL4" i="6"/>
  <c r="BL17" i="6" s="1"/>
  <c r="BK17" i="6"/>
  <c r="AC167" i="6"/>
  <c r="AJ167" i="6" s="1"/>
  <c r="AC166" i="6"/>
  <c r="AJ166" i="6" s="1"/>
  <c r="AC168" i="6"/>
  <c r="AJ168" i="6" s="1"/>
  <c r="AC80" i="6"/>
  <c r="AC97" i="6" s="1"/>
  <c r="AJ74" i="6"/>
  <c r="AJ80" i="6" s="1"/>
  <c r="BQ161" i="6"/>
  <c r="BQ136" i="6"/>
  <c r="BQ141" i="6" s="1"/>
  <c r="BQ142" i="6" s="1"/>
  <c r="BW131" i="6"/>
  <c r="I114" i="6"/>
  <c r="BV114" i="6"/>
  <c r="CC114" i="6" s="1"/>
  <c r="E114" i="10" s="1"/>
  <c r="BP141" i="6"/>
  <c r="BP142" i="6" s="1"/>
  <c r="BP211" i="6" s="1"/>
  <c r="BP219" i="6" s="1"/>
  <c r="BP220" i="6" s="1"/>
  <c r="BB132" i="6"/>
  <c r="BB69" i="6" s="1"/>
  <c r="J4" i="6"/>
  <c r="I17" i="6"/>
  <c r="BK160" i="6"/>
  <c r="BW115" i="6"/>
  <c r="I115" i="6"/>
  <c r="C121" i="6"/>
  <c r="C132" i="6" s="1"/>
  <c r="BB187" i="6"/>
  <c r="AW211" i="6"/>
  <c r="T80" i="6"/>
  <c r="T97" i="6" s="1"/>
  <c r="H170" i="6"/>
  <c r="H93" i="6"/>
  <c r="H96" i="6" s="1"/>
  <c r="H97" i="6" s="1"/>
  <c r="BA141" i="6"/>
  <c r="BA142" i="6" s="1"/>
  <c r="BV209" i="6"/>
  <c r="AI133" i="6"/>
  <c r="AI141" i="6" s="1"/>
  <c r="AI142" i="6"/>
  <c r="CC103" i="6"/>
  <c r="I135" i="6"/>
  <c r="BV135" i="6"/>
  <c r="Q136" i="6"/>
  <c r="Q161" i="6"/>
  <c r="Q134" i="6"/>
  <c r="BD154" i="6"/>
  <c r="BK144" i="6"/>
  <c r="BK154" i="6" s="1"/>
  <c r="AS140" i="6"/>
  <c r="AU167" i="6"/>
  <c r="BB167" i="6" s="1"/>
  <c r="AU166" i="6"/>
  <c r="BB166" i="6" s="1"/>
  <c r="AU168" i="6"/>
  <c r="BB168" i="6" s="1"/>
  <c r="AU80" i="6"/>
  <c r="AU97" i="6" s="1"/>
  <c r="BB74" i="6"/>
  <c r="BB80" i="6" s="1"/>
  <c r="B147" i="6"/>
  <c r="B148" i="6"/>
  <c r="B187" i="6"/>
  <c r="B149" i="6"/>
  <c r="C157" i="6"/>
  <c r="B144" i="6"/>
  <c r="B150" i="6"/>
  <c r="D183" i="6"/>
  <c r="B164" i="6"/>
  <c r="B153" i="6"/>
  <c r="D84" i="6"/>
  <c r="B160" i="6"/>
  <c r="AA135" i="6"/>
  <c r="K154" i="6"/>
  <c r="R144" i="6"/>
  <c r="R154" i="6" s="1"/>
  <c r="BV136" i="6"/>
  <c r="I136" i="6"/>
  <c r="BV131" i="6"/>
  <c r="F141" i="6"/>
  <c r="F142" i="6" s="1"/>
  <c r="R209" i="6"/>
  <c r="Q133" i="6"/>
  <c r="Q141" i="6" s="1"/>
  <c r="Q142" i="6" s="1"/>
  <c r="AJ115" i="6"/>
  <c r="AJ121" i="6" s="1"/>
  <c r="AD121" i="6"/>
  <c r="AD132" i="6" s="1"/>
  <c r="BB144" i="6"/>
  <c r="BB154" i="6" s="1"/>
  <c r="AU154" i="6"/>
  <c r="BO133" i="6"/>
  <c r="BO141" i="6" s="1"/>
  <c r="BO142" i="6" s="1"/>
  <c r="BO211" i="6" s="1"/>
  <c r="AP133" i="6"/>
  <c r="BS161" i="6"/>
  <c r="BS136" i="6"/>
  <c r="BS134" i="6"/>
  <c r="BS141" i="6" s="1"/>
  <c r="BS142" i="6" s="1"/>
  <c r="BK136" i="6"/>
  <c r="E136" i="11" s="1"/>
  <c r="AS121" i="6"/>
  <c r="AG141" i="6"/>
  <c r="AG142" i="6" s="1"/>
  <c r="AP136" i="6"/>
  <c r="AS136" i="6" s="1"/>
  <c r="AP161" i="6"/>
  <c r="BX182" i="6"/>
  <c r="BF197" i="6"/>
  <c r="BK182" i="6"/>
  <c r="BK197" i="6" s="1"/>
  <c r="BT80" i="6"/>
  <c r="AS135" i="6"/>
  <c r="AW197" i="6"/>
  <c r="BB183" i="6"/>
  <c r="AE141" i="6"/>
  <c r="AE142" i="6" s="1"/>
  <c r="AC121" i="6"/>
  <c r="AC132" i="6" s="1"/>
  <c r="BZ134" i="6"/>
  <c r="T121" i="6"/>
  <c r="T132" i="6" s="1"/>
  <c r="AV141" i="6"/>
  <c r="AV142" i="6" s="1"/>
  <c r="AJ131" i="6"/>
  <c r="AY141" i="6"/>
  <c r="AY142" i="6" s="1"/>
  <c r="AY211" i="6" s="1"/>
  <c r="R161" i="6"/>
  <c r="AJ136" i="6"/>
  <c r="BN121" i="6"/>
  <c r="BN132" i="6" s="1"/>
  <c r="BT115" i="6"/>
  <c r="BB131" i="6"/>
  <c r="X161" i="6"/>
  <c r="X136" i="6"/>
  <c r="X141" i="6" s="1"/>
  <c r="X142" i="6" s="1"/>
  <c r="BJ141" i="6"/>
  <c r="BJ142" i="6" s="1"/>
  <c r="BJ211" i="6" s="1"/>
  <c r="CC4" i="6"/>
  <c r="CC17" i="6" s="1"/>
  <c r="BV3" i="6"/>
  <c r="CC3" i="6" s="1"/>
  <c r="BV17" i="6"/>
  <c r="CC36" i="6"/>
  <c r="CC63" i="6" s="1"/>
  <c r="CC65" i="6" s="1"/>
  <c r="CD27" i="6"/>
  <c r="AM121" i="6"/>
  <c r="AM132" i="6" s="1"/>
  <c r="AS115" i="6"/>
  <c r="BM170" i="6"/>
  <c r="BT160" i="6"/>
  <c r="CC82" i="6"/>
  <c r="E82" i="10" s="1"/>
  <c r="E90" i="10" s="1"/>
  <c r="U121" i="6"/>
  <c r="U132" i="6" s="1"/>
  <c r="AA115" i="6"/>
  <c r="V141" i="6"/>
  <c r="V142" i="6" s="1"/>
  <c r="BW80" i="6"/>
  <c r="BW97" i="6" s="1"/>
  <c r="M90" i="6"/>
  <c r="M97" i="6" s="1"/>
  <c r="R84" i="6"/>
  <c r="AG161" i="6"/>
  <c r="AG136" i="6"/>
  <c r="AY170" i="6"/>
  <c r="BB161" i="6"/>
  <c r="AY93" i="6"/>
  <c r="BR133" i="6"/>
  <c r="CA134" i="6"/>
  <c r="BZ135" i="6"/>
  <c r="BA136" i="6"/>
  <c r="BA161" i="6"/>
  <c r="BA134" i="6"/>
  <c r="BT144" i="6"/>
  <c r="BT154" i="6" s="1"/>
  <c r="BM154" i="6"/>
  <c r="AA140" i="6"/>
  <c r="AS131" i="6"/>
  <c r="Z142" i="6"/>
  <c r="Z211" i="6" s="1"/>
  <c r="Z133" i="6"/>
  <c r="Z141" i="6" s="1"/>
  <c r="H133" i="6"/>
  <c r="H141" i="6" s="1"/>
  <c r="H142" i="6" s="1"/>
  <c r="H211" i="6" s="1"/>
  <c r="G141" i="6"/>
  <c r="G142" i="6" s="1"/>
  <c r="G211" i="6" s="1"/>
  <c r="G219" i="6" s="1"/>
  <c r="G220" i="6" s="1"/>
  <c r="AJ140" i="6"/>
  <c r="AU121" i="6"/>
  <c r="AU132" i="6" s="1"/>
  <c r="BT140" i="6"/>
  <c r="F170" i="6"/>
  <c r="BZ161" i="6"/>
  <c r="BZ170" i="6" s="1"/>
  <c r="F93" i="6"/>
  <c r="AK4" i="6"/>
  <c r="AK17" i="6" s="1"/>
  <c r="AJ17" i="6"/>
  <c r="AN141" i="6"/>
  <c r="AN142" i="6" s="1"/>
  <c r="BV76" i="6"/>
  <c r="CC76" i="6" s="1"/>
  <c r="E76" i="10" s="1"/>
  <c r="E80" i="10" s="1"/>
  <c r="CC118" i="6"/>
  <c r="E118" i="10" s="1"/>
  <c r="BR161" i="6"/>
  <c r="BR136" i="6"/>
  <c r="BE121" i="6"/>
  <c r="BE132" i="6" s="1"/>
  <c r="BE134" i="6" s="1"/>
  <c r="BK115" i="6"/>
  <c r="E115" i="11" s="1"/>
  <c r="E121" i="11" s="1"/>
  <c r="E132" i="11" s="1"/>
  <c r="BB159" i="6"/>
  <c r="BV159" i="6"/>
  <c r="CC159" i="6" s="1"/>
  <c r="AS17" i="6"/>
  <c r="AT4" i="6"/>
  <c r="AT17" i="6" s="1"/>
  <c r="M197" i="6"/>
  <c r="M211" i="6" s="1"/>
  <c r="R183" i="6"/>
  <c r="AI134" i="6"/>
  <c r="AI161" i="6"/>
  <c r="AI136" i="6"/>
  <c r="F197" i="10" l="1"/>
  <c r="BW97" i="8"/>
  <c r="G97" i="10"/>
  <c r="G70" i="10" s="1"/>
  <c r="BW97" i="7"/>
  <c r="F80" i="10"/>
  <c r="F97" i="10" s="1"/>
  <c r="F70" i="10" s="1"/>
  <c r="E97" i="10"/>
  <c r="E70" i="10" s="1"/>
  <c r="M211" i="8"/>
  <c r="M219" i="8" s="1"/>
  <c r="M220" i="8" s="1"/>
  <c r="BK68" i="8"/>
  <c r="AJ68" i="8"/>
  <c r="BY134" i="8"/>
  <c r="BG141" i="8"/>
  <c r="BG142" i="8" s="1"/>
  <c r="BG211" i="8" s="1"/>
  <c r="BG219" i="8" s="1"/>
  <c r="BG220" i="8" s="1"/>
  <c r="AI219" i="8"/>
  <c r="AI220" i="8" s="1"/>
  <c r="G68" i="11"/>
  <c r="CC121" i="8"/>
  <c r="CC132" i="8" s="1"/>
  <c r="CC68" i="8" s="1"/>
  <c r="G114" i="10"/>
  <c r="CC209" i="7"/>
  <c r="F199" i="10"/>
  <c r="F209" i="10" s="1"/>
  <c r="F68" i="11"/>
  <c r="BK121" i="7"/>
  <c r="BK132" i="7" s="1"/>
  <c r="BK69" i="7" s="1"/>
  <c r="AV141" i="7"/>
  <c r="AV142" i="7" s="1"/>
  <c r="CC131" i="7"/>
  <c r="F123" i="10"/>
  <c r="F131" i="10" s="1"/>
  <c r="AJ132" i="6"/>
  <c r="AJ69" i="6" s="1"/>
  <c r="AL133" i="6"/>
  <c r="I121" i="6"/>
  <c r="I132" i="6" s="1"/>
  <c r="I69" i="6" s="1"/>
  <c r="E68" i="11"/>
  <c r="E69" i="11"/>
  <c r="C211" i="11"/>
  <c r="C219" i="11" s="1"/>
  <c r="C223" i="11" s="1"/>
  <c r="B67" i="11"/>
  <c r="B220" i="11"/>
  <c r="B68" i="9"/>
  <c r="B69" i="9"/>
  <c r="C211" i="9"/>
  <c r="C219" i="9" s="1"/>
  <c r="C220" i="9" s="1"/>
  <c r="R69" i="8"/>
  <c r="R68" i="8"/>
  <c r="Q211" i="8"/>
  <c r="BB144" i="8"/>
  <c r="BB154" i="8" s="1"/>
  <c r="AU154" i="8"/>
  <c r="D133" i="8"/>
  <c r="BX134" i="8"/>
  <c r="CA134" i="8"/>
  <c r="CA136" i="8"/>
  <c r="CC136" i="8" s="1"/>
  <c r="G136" i="10" s="1"/>
  <c r="BT170" i="8"/>
  <c r="I153" i="8"/>
  <c r="BV153" i="8"/>
  <c r="CC153" i="8" s="1"/>
  <c r="CC83" i="8"/>
  <c r="AA69" i="8"/>
  <c r="BD168" i="8"/>
  <c r="BK168" i="8" s="1"/>
  <c r="BD166" i="8"/>
  <c r="BD167" i="8"/>
  <c r="BK167" i="8" s="1"/>
  <c r="BD80" i="8"/>
  <c r="BD97" i="8" s="1"/>
  <c r="BK74" i="8"/>
  <c r="AA160" i="8"/>
  <c r="T170" i="8"/>
  <c r="CA133" i="8"/>
  <c r="G141" i="8"/>
  <c r="G142" i="8" s="1"/>
  <c r="G211" i="8" s="1"/>
  <c r="G219" i="8" s="1"/>
  <c r="G220" i="8" s="1"/>
  <c r="AL166" i="8"/>
  <c r="AS166" i="8" s="1"/>
  <c r="AL167" i="8"/>
  <c r="AS167" i="8" s="1"/>
  <c r="AL168" i="8"/>
  <c r="AS168" i="8" s="1"/>
  <c r="AS74" i="8"/>
  <c r="AS80" i="8" s="1"/>
  <c r="AL80" i="8"/>
  <c r="AL97" i="8" s="1"/>
  <c r="BV137" i="8"/>
  <c r="CC137" i="8" s="1"/>
  <c r="BB137" i="8"/>
  <c r="C141" i="8"/>
  <c r="C142" i="8" s="1"/>
  <c r="C211" i="8" s="1"/>
  <c r="C219" i="8" s="1"/>
  <c r="C220" i="8" s="1"/>
  <c r="U133" i="8"/>
  <c r="AE141" i="8"/>
  <c r="AE142" i="8" s="1"/>
  <c r="AP141" i="8"/>
  <c r="AP142" i="8" s="1"/>
  <c r="BJ96" i="8"/>
  <c r="BJ97" i="8" s="1"/>
  <c r="BJ219" i="8" s="1"/>
  <c r="BJ220" i="8" s="1"/>
  <c r="BK93" i="8"/>
  <c r="BK96" i="8" s="1"/>
  <c r="AL154" i="8"/>
  <c r="AS144" i="8"/>
  <c r="AS154" i="8" s="1"/>
  <c r="BV149" i="8"/>
  <c r="CC149" i="8" s="1"/>
  <c r="I149" i="8"/>
  <c r="BA170" i="8"/>
  <c r="BA211" i="8" s="1"/>
  <c r="BA93" i="8"/>
  <c r="BA96" i="8" s="1"/>
  <c r="BA97" i="8" s="1"/>
  <c r="Q93" i="8"/>
  <c r="Q96" i="8" s="1"/>
  <c r="Q97" i="8" s="1"/>
  <c r="Q170" i="8"/>
  <c r="E141" i="8"/>
  <c r="E142" i="8" s="1"/>
  <c r="E211" i="8" s="1"/>
  <c r="E219" i="8" s="1"/>
  <c r="E220" i="8" s="1"/>
  <c r="BY133" i="8"/>
  <c r="F141" i="8"/>
  <c r="F142" i="8" s="1"/>
  <c r="F211" i="8" s="1"/>
  <c r="BZ133" i="8"/>
  <c r="B133" i="8"/>
  <c r="AJ160" i="8"/>
  <c r="AC170" i="8"/>
  <c r="BB187" i="8"/>
  <c r="AU197" i="8"/>
  <c r="AA187" i="8"/>
  <c r="T197" i="8"/>
  <c r="AU166" i="8"/>
  <c r="BB166" i="8" s="1"/>
  <c r="AU167" i="8"/>
  <c r="BB167" i="8" s="1"/>
  <c r="AU168" i="8"/>
  <c r="BB168" i="8" s="1"/>
  <c r="BB74" i="8"/>
  <c r="BB80" i="8" s="1"/>
  <c r="AU80" i="8"/>
  <c r="AU97" i="8" s="1"/>
  <c r="I164" i="8"/>
  <c r="BV164" i="8"/>
  <c r="CC164" i="8" s="1"/>
  <c r="AZ170" i="8"/>
  <c r="AZ211" i="8" s="1"/>
  <c r="AZ93" i="8"/>
  <c r="L133" i="8"/>
  <c r="AC154" i="8"/>
  <c r="AJ144" i="8"/>
  <c r="AJ154" i="8" s="1"/>
  <c r="S17" i="8"/>
  <c r="CD4" i="8"/>
  <c r="CD17" i="8" s="1"/>
  <c r="BD141" i="8"/>
  <c r="BD142" i="8" s="1"/>
  <c r="BT121" i="8"/>
  <c r="BT132" i="8" s="1"/>
  <c r="V197" i="8"/>
  <c r="V211" i="8" s="1"/>
  <c r="AA183" i="8"/>
  <c r="AS187" i="8"/>
  <c r="BR211" i="8"/>
  <c r="BR219" i="8" s="1"/>
  <c r="BR220" i="8" s="1"/>
  <c r="AP170" i="8"/>
  <c r="AP93" i="8"/>
  <c r="AS161" i="8"/>
  <c r="BV150" i="8"/>
  <c r="CC150" i="8" s="1"/>
  <c r="I150" i="8"/>
  <c r="BZ134" i="8"/>
  <c r="AA97" i="8"/>
  <c r="K141" i="8"/>
  <c r="K142" i="8" s="1"/>
  <c r="AL141" i="8"/>
  <c r="AL142" i="8" s="1"/>
  <c r="X96" i="8"/>
  <c r="X97" i="8" s="1"/>
  <c r="AA93" i="8"/>
  <c r="AA96" i="8" s="1"/>
  <c r="R136" i="8"/>
  <c r="AJ93" i="8"/>
  <c r="AJ96" i="8" s="1"/>
  <c r="AG96" i="8"/>
  <c r="AG97" i="8" s="1"/>
  <c r="Z170" i="8"/>
  <c r="Z211" i="8" s="1"/>
  <c r="Z93" i="8"/>
  <c r="Z96" i="8" s="1"/>
  <c r="Z97" i="8" s="1"/>
  <c r="BW157" i="8"/>
  <c r="I157" i="8"/>
  <c r="C170" i="8"/>
  <c r="CC140" i="8"/>
  <c r="G140" i="10" s="1"/>
  <c r="AS160" i="8"/>
  <c r="AY170" i="8"/>
  <c r="AY93" i="8"/>
  <c r="BB161" i="8"/>
  <c r="G161" i="9" s="1"/>
  <c r="G170" i="9" s="1"/>
  <c r="BS170" i="8"/>
  <c r="BS211" i="8" s="1"/>
  <c r="BS93" i="8"/>
  <c r="BS96" i="8" s="1"/>
  <c r="BS97" i="8" s="1"/>
  <c r="AW197" i="8"/>
  <c r="BB183" i="8"/>
  <c r="BB197" i="8" s="1"/>
  <c r="AH170" i="8"/>
  <c r="AH211" i="8" s="1"/>
  <c r="AH219" i="8" s="1"/>
  <c r="AH220" i="8" s="1"/>
  <c r="AJ161" i="8"/>
  <c r="BB121" i="8"/>
  <c r="BB132" i="8" s="1"/>
  <c r="BT134" i="8"/>
  <c r="BN133" i="8"/>
  <c r="BN141" i="8" s="1"/>
  <c r="BN142" i="8" s="1"/>
  <c r="BN211" i="8" s="1"/>
  <c r="BN219" i="8" s="1"/>
  <c r="BN220" i="8" s="1"/>
  <c r="X141" i="8"/>
  <c r="X142" i="8" s="1"/>
  <c r="X211" i="8" s="1"/>
  <c r="AQ141" i="8"/>
  <c r="AQ142" i="8" s="1"/>
  <c r="AQ211" i="8" s="1"/>
  <c r="AQ219" i="8" s="1"/>
  <c r="AQ220" i="8" s="1"/>
  <c r="I147" i="8"/>
  <c r="BV147" i="8"/>
  <c r="CC147" i="8" s="1"/>
  <c r="O141" i="8"/>
  <c r="O142" i="8" s="1"/>
  <c r="O211" i="8" s="1"/>
  <c r="AJ187" i="8"/>
  <c r="AC197" i="8"/>
  <c r="BV158" i="8"/>
  <c r="BB158" i="8"/>
  <c r="AW211" i="8"/>
  <c r="B168" i="8"/>
  <c r="B166" i="8"/>
  <c r="B167" i="8"/>
  <c r="BV74" i="8"/>
  <c r="I74" i="8"/>
  <c r="I80" i="8" s="1"/>
  <c r="B80" i="8"/>
  <c r="B97" i="8" s="1"/>
  <c r="AU133" i="8"/>
  <c r="BB134" i="8"/>
  <c r="G134" i="9" s="1"/>
  <c r="V90" i="8"/>
  <c r="V97" i="8" s="1"/>
  <c r="AA84" i="8"/>
  <c r="AA90" i="8" s="1"/>
  <c r="AN90" i="8"/>
  <c r="AN97" i="8" s="1"/>
  <c r="AS84" i="8"/>
  <c r="AS90" i="8" s="1"/>
  <c r="B154" i="8"/>
  <c r="I144" i="8"/>
  <c r="I154" i="8" s="1"/>
  <c r="BV144" i="8"/>
  <c r="K168" i="8"/>
  <c r="R168" i="8" s="1"/>
  <c r="K166" i="8"/>
  <c r="K80" i="8"/>
  <c r="K97" i="8" s="1"/>
  <c r="K167" i="8"/>
  <c r="R167" i="8" s="1"/>
  <c r="R74" i="8"/>
  <c r="R80" i="8" s="1"/>
  <c r="AE197" i="8"/>
  <c r="AJ183" i="8"/>
  <c r="AJ197" i="8" s="1"/>
  <c r="T133" i="8"/>
  <c r="AY141" i="8"/>
  <c r="AY142" i="8" s="1"/>
  <c r="AY211" i="8" s="1"/>
  <c r="CC161" i="8"/>
  <c r="G161" i="10" s="1"/>
  <c r="G170" i="10" s="1"/>
  <c r="BK134" i="8"/>
  <c r="G134" i="11" s="1"/>
  <c r="BE133" i="8"/>
  <c r="CA161" i="8"/>
  <c r="CA170" i="8" s="1"/>
  <c r="AM133" i="8"/>
  <c r="AS134" i="8"/>
  <c r="T154" i="8"/>
  <c r="AA144" i="8"/>
  <c r="AA154" i="8" s="1"/>
  <c r="AM170" i="8"/>
  <c r="AS157" i="8"/>
  <c r="AJ134" i="8"/>
  <c r="AD133" i="8"/>
  <c r="D197" i="8"/>
  <c r="I183" i="8"/>
  <c r="BX183" i="8"/>
  <c r="CC183" i="8" s="1"/>
  <c r="BQ170" i="8"/>
  <c r="BQ211" i="8" s="1"/>
  <c r="BT161" i="8"/>
  <c r="BQ93" i="8"/>
  <c r="AD170" i="8"/>
  <c r="AJ157" i="8"/>
  <c r="BB159" i="8"/>
  <c r="BV159" i="8"/>
  <c r="CC159" i="8" s="1"/>
  <c r="BF211" i="8"/>
  <c r="BF219" i="8" s="1"/>
  <c r="BF220" i="8" s="1"/>
  <c r="AG141" i="8"/>
  <c r="AG142" i="8" s="1"/>
  <c r="AG211" i="8" s="1"/>
  <c r="I84" i="8"/>
  <c r="I90" i="8" s="1"/>
  <c r="BX84" i="8"/>
  <c r="CC84" i="8" s="1"/>
  <c r="CC90" i="8" s="1"/>
  <c r="D90" i="8"/>
  <c r="D97" i="8" s="1"/>
  <c r="I121" i="8"/>
  <c r="I132" i="8" s="1"/>
  <c r="I68" i="8" s="1"/>
  <c r="AR170" i="8"/>
  <c r="AR93" i="8"/>
  <c r="AR96" i="8" s="1"/>
  <c r="AR97" i="8" s="1"/>
  <c r="AV211" i="8"/>
  <c r="AV219" i="8" s="1"/>
  <c r="AV220" i="8" s="1"/>
  <c r="CC135" i="8"/>
  <c r="G135" i="10" s="1"/>
  <c r="BB84" i="8"/>
  <c r="BB90" i="8" s="1"/>
  <c r="AW90" i="8"/>
  <c r="AW97" i="8" s="1"/>
  <c r="BM141" i="8"/>
  <c r="BM142" i="8" s="1"/>
  <c r="BM211" i="8" s="1"/>
  <c r="BM219" i="8" s="1"/>
  <c r="BM220" i="8" s="1"/>
  <c r="CC182" i="8"/>
  <c r="BO211" i="8"/>
  <c r="BO219" i="8" s="1"/>
  <c r="BO220" i="8" s="1"/>
  <c r="AS69" i="8"/>
  <c r="AJ136" i="8"/>
  <c r="BV187" i="8"/>
  <c r="I187" i="8"/>
  <c r="BV121" i="8"/>
  <c r="BV132" i="8" s="1"/>
  <c r="I93" i="8"/>
  <c r="I96" i="8" s="1"/>
  <c r="F96" i="8"/>
  <c r="F97" i="8" s="1"/>
  <c r="BZ93" i="8"/>
  <c r="CB141" i="8"/>
  <c r="CB142" i="8" s="1"/>
  <c r="AE90" i="8"/>
  <c r="AE97" i="8" s="1"/>
  <c r="AJ84" i="8"/>
  <c r="AJ90" i="8" s="1"/>
  <c r="AJ97" i="8" s="1"/>
  <c r="AR211" i="8"/>
  <c r="AC141" i="8"/>
  <c r="AC142" i="8" s="1"/>
  <c r="I160" i="8"/>
  <c r="BV160" i="8"/>
  <c r="CC160" i="8" s="1"/>
  <c r="AV170" i="8"/>
  <c r="BB157" i="8"/>
  <c r="O170" i="8"/>
  <c r="O93" i="8"/>
  <c r="R161" i="8"/>
  <c r="U170" i="8"/>
  <c r="AA157" i="8"/>
  <c r="AS183" i="8"/>
  <c r="AN197" i="8"/>
  <c r="AN211" i="8" s="1"/>
  <c r="H219" i="8"/>
  <c r="H220" i="8" s="1"/>
  <c r="I148" i="8"/>
  <c r="BV148" i="8"/>
  <c r="CC148" i="8" s="1"/>
  <c r="CB170" i="8"/>
  <c r="CB93" i="8"/>
  <c r="CB96" i="8" s="1"/>
  <c r="CB97" i="8" s="1"/>
  <c r="BV121" i="7"/>
  <c r="BV132" i="7" s="1"/>
  <c r="AL170" i="7"/>
  <c r="AI211" i="7"/>
  <c r="AA69" i="7"/>
  <c r="Q211" i="7"/>
  <c r="BZ170" i="7"/>
  <c r="CC161" i="7"/>
  <c r="F161" i="10" s="1"/>
  <c r="F170" i="10" s="1"/>
  <c r="BB84" i="7"/>
  <c r="BB90" i="7" s="1"/>
  <c r="AW90" i="7"/>
  <c r="AW97" i="7" s="1"/>
  <c r="AP96" i="7"/>
  <c r="AP97" i="7" s="1"/>
  <c r="AP219" i="7" s="1"/>
  <c r="AP220" i="7" s="1"/>
  <c r="R157" i="7"/>
  <c r="L170" i="7"/>
  <c r="AJ84" i="7"/>
  <c r="AJ90" i="7" s="1"/>
  <c r="AE90" i="7"/>
  <c r="AE97" i="7" s="1"/>
  <c r="V197" i="7"/>
  <c r="AA183" i="7"/>
  <c r="BM141" i="7"/>
  <c r="BM142" i="7" s="1"/>
  <c r="BM211" i="7" s="1"/>
  <c r="BM219" i="7" s="1"/>
  <c r="BM220" i="7" s="1"/>
  <c r="BT133" i="7"/>
  <c r="BT141" i="7" s="1"/>
  <c r="BT142" i="7" s="1"/>
  <c r="B154" i="7"/>
  <c r="BV144" i="7"/>
  <c r="I144" i="7"/>
  <c r="AL133" i="7"/>
  <c r="AA157" i="7"/>
  <c r="U170" i="7"/>
  <c r="BI141" i="7"/>
  <c r="BI142" i="7" s="1"/>
  <c r="D197" i="7"/>
  <c r="D211" i="7" s="1"/>
  <c r="I183" i="7"/>
  <c r="BX183" i="7"/>
  <c r="CC183" i="7" s="1"/>
  <c r="K141" i="7"/>
  <c r="K142" i="7" s="1"/>
  <c r="I93" i="7"/>
  <c r="I96" i="7" s="1"/>
  <c r="F96" i="7"/>
  <c r="F97" i="7" s="1"/>
  <c r="F219" i="7" s="1"/>
  <c r="F220" i="7" s="1"/>
  <c r="H219" i="7"/>
  <c r="H220" i="7" s="1"/>
  <c r="CC83" i="7"/>
  <c r="BB137" i="7"/>
  <c r="BV137" i="7"/>
  <c r="CC137" i="7" s="1"/>
  <c r="AC154" i="7"/>
  <c r="AJ144" i="7"/>
  <c r="AJ154" i="7" s="1"/>
  <c r="R121" i="7"/>
  <c r="R132" i="7" s="1"/>
  <c r="R68" i="7" s="1"/>
  <c r="AA187" i="7"/>
  <c r="D90" i="7"/>
  <c r="D97" i="7" s="1"/>
  <c r="BX84" i="7"/>
  <c r="CC84" i="7" s="1"/>
  <c r="I84" i="7"/>
  <c r="I90" i="7" s="1"/>
  <c r="BT170" i="7"/>
  <c r="T141" i="7"/>
  <c r="T142" i="7" s="1"/>
  <c r="BE133" i="7"/>
  <c r="BE141" i="7" s="1"/>
  <c r="BE142" i="7" s="1"/>
  <c r="BE211" i="7" s="1"/>
  <c r="BE219" i="7" s="1"/>
  <c r="BE220" i="7" s="1"/>
  <c r="CC135" i="7"/>
  <c r="F135" i="10" s="1"/>
  <c r="BV159" i="7"/>
  <c r="CC159" i="7" s="1"/>
  <c r="BB159" i="7"/>
  <c r="R187" i="7"/>
  <c r="R134" i="7"/>
  <c r="L133" i="7"/>
  <c r="BX141" i="7"/>
  <c r="BX142" i="7" s="1"/>
  <c r="AN219" i="7"/>
  <c r="AN220" i="7" s="1"/>
  <c r="K154" i="7"/>
  <c r="R144" i="7"/>
  <c r="R154" i="7" s="1"/>
  <c r="M211" i="7"/>
  <c r="AA68" i="7"/>
  <c r="K166" i="7"/>
  <c r="R166" i="7" s="1"/>
  <c r="K168" i="7"/>
  <c r="R168" i="7" s="1"/>
  <c r="K167" i="7"/>
  <c r="R167" i="7" s="1"/>
  <c r="K80" i="7"/>
  <c r="K97" i="7" s="1"/>
  <c r="R74" i="7"/>
  <c r="R80" i="7" s="1"/>
  <c r="BV150" i="7"/>
  <c r="CC150" i="7" s="1"/>
  <c r="I150" i="7"/>
  <c r="BO211" i="7"/>
  <c r="BO219" i="7" s="1"/>
  <c r="BO220" i="7" s="1"/>
  <c r="CB219" i="7"/>
  <c r="CB220" i="7" s="1"/>
  <c r="BY134" i="7"/>
  <c r="AZ170" i="7"/>
  <c r="AZ211" i="7" s="1"/>
  <c r="AZ93" i="7"/>
  <c r="BK134" i="7"/>
  <c r="F134" i="11" s="1"/>
  <c r="BD133" i="7"/>
  <c r="BV153" i="7"/>
  <c r="CC153" i="7" s="1"/>
  <c r="I153" i="7"/>
  <c r="AU133" i="7"/>
  <c r="BB134" i="7"/>
  <c r="F134" i="9" s="1"/>
  <c r="AJ136" i="7"/>
  <c r="AC133" i="7"/>
  <c r="BV160" i="7"/>
  <c r="CC160" i="7" s="1"/>
  <c r="I160" i="7"/>
  <c r="G141" i="7"/>
  <c r="G142" i="7" s="1"/>
  <c r="G211" i="7" s="1"/>
  <c r="G219" i="7" s="1"/>
  <c r="G220" i="7" s="1"/>
  <c r="CA133" i="7"/>
  <c r="CA141" i="7" s="1"/>
  <c r="CA142" i="7" s="1"/>
  <c r="CA211" i="7" s="1"/>
  <c r="BK161" i="7"/>
  <c r="F161" i="11" s="1"/>
  <c r="F170" i="11" s="1"/>
  <c r="BI170" i="7"/>
  <c r="Z219" i="7"/>
  <c r="Z220" i="7" s="1"/>
  <c r="M197" i="7"/>
  <c r="R183" i="7"/>
  <c r="R197" i="7" s="1"/>
  <c r="AJ157" i="7"/>
  <c r="AD170" i="7"/>
  <c r="AY170" i="7"/>
  <c r="AY211" i="7" s="1"/>
  <c r="AY93" i="7"/>
  <c r="BB161" i="7"/>
  <c r="F161" i="9" s="1"/>
  <c r="F170" i="9" s="1"/>
  <c r="BV164" i="7"/>
  <c r="CC164" i="7" s="1"/>
  <c r="I164" i="7"/>
  <c r="T166" i="7"/>
  <c r="AA166" i="7" s="1"/>
  <c r="T167" i="7"/>
  <c r="AA167" i="7" s="1"/>
  <c r="T168" i="7"/>
  <c r="AA168" i="7" s="1"/>
  <c r="AA74" i="7"/>
  <c r="AA80" i="7" s="1"/>
  <c r="T80" i="7"/>
  <c r="T97" i="7" s="1"/>
  <c r="AR170" i="7"/>
  <c r="AR211" i="7" s="1"/>
  <c r="AR93" i="7"/>
  <c r="AR96" i="7" s="1"/>
  <c r="AR97" i="7" s="1"/>
  <c r="BG141" i="7"/>
  <c r="BG142" i="7" s="1"/>
  <c r="BG211" i="7" s="1"/>
  <c r="BG219" i="7" s="1"/>
  <c r="BG220" i="7" s="1"/>
  <c r="V211" i="7"/>
  <c r="AG170" i="7"/>
  <c r="AG211" i="7" s="1"/>
  <c r="AG93" i="7"/>
  <c r="AJ161" i="7"/>
  <c r="R84" i="7"/>
  <c r="R90" i="7" s="1"/>
  <c r="M90" i="7"/>
  <c r="M97" i="7" s="1"/>
  <c r="T154" i="7"/>
  <c r="AA144" i="7"/>
  <c r="AA154" i="7" s="1"/>
  <c r="AS170" i="7"/>
  <c r="BV187" i="7"/>
  <c r="I187" i="7"/>
  <c r="BF211" i="7"/>
  <c r="BF219" i="7" s="1"/>
  <c r="BF220" i="7" s="1"/>
  <c r="X96" i="7"/>
  <c r="X97" i="7" s="1"/>
  <c r="X219" i="7" s="1"/>
  <c r="X220" i="7" s="1"/>
  <c r="AA93" i="7"/>
  <c r="AA96" i="7" s="1"/>
  <c r="BT80" i="7"/>
  <c r="BY133" i="7"/>
  <c r="E141" i="7"/>
  <c r="E142" i="7" s="1"/>
  <c r="E211" i="7" s="1"/>
  <c r="E219" i="7" s="1"/>
  <c r="E220" i="7" s="1"/>
  <c r="BT136" i="7"/>
  <c r="BB187" i="7"/>
  <c r="AU197" i="7"/>
  <c r="BA219" i="7"/>
  <c r="BA220" i="7" s="1"/>
  <c r="AU154" i="7"/>
  <c r="BB144" i="7"/>
  <c r="BB154" i="7" s="1"/>
  <c r="BN211" i="7"/>
  <c r="BN219" i="7" s="1"/>
  <c r="BN220" i="7" s="1"/>
  <c r="BD168" i="7"/>
  <c r="BK168" i="7" s="1"/>
  <c r="BD167" i="7"/>
  <c r="BK167" i="7" s="1"/>
  <c r="BD166" i="7"/>
  <c r="BD80" i="7"/>
  <c r="BD97" i="7" s="1"/>
  <c r="BK74" i="7"/>
  <c r="BJ170" i="7"/>
  <c r="BJ211" i="7" s="1"/>
  <c r="BJ93" i="7"/>
  <c r="V90" i="7"/>
  <c r="V97" i="7" s="1"/>
  <c r="AA84" i="7"/>
  <c r="AA90" i="7" s="1"/>
  <c r="I149" i="7"/>
  <c r="BV149" i="7"/>
  <c r="CC149" i="7" s="1"/>
  <c r="AD133" i="7"/>
  <c r="BT69" i="7"/>
  <c r="BZ136" i="7"/>
  <c r="CC136" i="7" s="1"/>
  <c r="F136" i="10" s="1"/>
  <c r="AW197" i="7"/>
  <c r="AW211" i="7" s="1"/>
  <c r="BB183" i="7"/>
  <c r="BB197" i="7" s="1"/>
  <c r="AM133" i="7"/>
  <c r="BW157" i="7"/>
  <c r="I157" i="7"/>
  <c r="C170" i="7"/>
  <c r="AL197" i="7"/>
  <c r="B168" i="7"/>
  <c r="B167" i="7"/>
  <c r="B166" i="7"/>
  <c r="BV74" i="7"/>
  <c r="B80" i="7"/>
  <c r="B97" i="7" s="1"/>
  <c r="I74" i="7"/>
  <c r="I80" i="7" s="1"/>
  <c r="BB158" i="7"/>
  <c r="BV158" i="7"/>
  <c r="AU170" i="7"/>
  <c r="R160" i="7"/>
  <c r="K170" i="7"/>
  <c r="AE197" i="7"/>
  <c r="AE211" i="7" s="1"/>
  <c r="AJ183" i="7"/>
  <c r="CC140" i="7"/>
  <c r="F140" i="10" s="1"/>
  <c r="C133" i="7"/>
  <c r="U133" i="7"/>
  <c r="AA134" i="7"/>
  <c r="AS68" i="7"/>
  <c r="BV148" i="7"/>
  <c r="CC148" i="7" s="1"/>
  <c r="I148" i="7"/>
  <c r="BS170" i="7"/>
  <c r="BS211" i="7" s="1"/>
  <c r="BS93" i="7"/>
  <c r="BS96" i="7" s="1"/>
  <c r="BS97" i="7" s="1"/>
  <c r="AI170" i="7"/>
  <c r="AI93" i="7"/>
  <c r="AI96" i="7" s="1"/>
  <c r="AI97" i="7" s="1"/>
  <c r="AI219" i="7" s="1"/>
  <c r="AI220" i="7" s="1"/>
  <c r="I121" i="7"/>
  <c r="I132" i="7" s="1"/>
  <c r="I68" i="7" s="1"/>
  <c r="CC182" i="7"/>
  <c r="BR170" i="7"/>
  <c r="BR211" i="7" s="1"/>
  <c r="BR93" i="7"/>
  <c r="BR96" i="7" s="1"/>
  <c r="BR97" i="7" s="1"/>
  <c r="AJ187" i="7"/>
  <c r="AC197" i="7"/>
  <c r="O170" i="7"/>
  <c r="O211" i="7" s="1"/>
  <c r="O93" i="7"/>
  <c r="BZ93" i="7" s="1"/>
  <c r="R161" i="7"/>
  <c r="BB157" i="7"/>
  <c r="AV170" i="7"/>
  <c r="AJ160" i="7"/>
  <c r="AC170" i="7"/>
  <c r="CC115" i="7"/>
  <c r="F115" i="10" s="1"/>
  <c r="F121" i="10" s="1"/>
  <c r="BW121" i="7"/>
  <c r="BW132" i="7" s="1"/>
  <c r="AA160" i="7"/>
  <c r="AJ132" i="7"/>
  <c r="B133" i="7"/>
  <c r="BV147" i="7"/>
  <c r="CC147" i="7" s="1"/>
  <c r="I147" i="7"/>
  <c r="BQ96" i="7"/>
  <c r="BQ97" i="7" s="1"/>
  <c r="BQ219" i="7" s="1"/>
  <c r="BQ220" i="7" s="1"/>
  <c r="BT93" i="7"/>
  <c r="BT96" i="7" s="1"/>
  <c r="Q170" i="7"/>
  <c r="Q93" i="7"/>
  <c r="Q96" i="7" s="1"/>
  <c r="Q97" i="7" s="1"/>
  <c r="BB69" i="7"/>
  <c r="BV121" i="6"/>
  <c r="BV132" i="6" s="1"/>
  <c r="AU170" i="6"/>
  <c r="BB170" i="6"/>
  <c r="B166" i="6"/>
  <c r="B168" i="6"/>
  <c r="B167" i="6"/>
  <c r="I74" i="6"/>
  <c r="I80" i="6" s="1"/>
  <c r="BV74" i="6"/>
  <c r="B80" i="6"/>
  <c r="B97" i="6" s="1"/>
  <c r="BT136" i="6"/>
  <c r="C170" i="6"/>
  <c r="I157" i="6"/>
  <c r="BW157" i="6"/>
  <c r="BT161" i="6"/>
  <c r="BT170" i="6" s="1"/>
  <c r="BQ93" i="6"/>
  <c r="BQ170" i="6"/>
  <c r="BQ211" i="6" s="1"/>
  <c r="AR170" i="6"/>
  <c r="AR211" i="6" s="1"/>
  <c r="AR93" i="6"/>
  <c r="AR96" i="6" s="1"/>
  <c r="AR97" i="6" s="1"/>
  <c r="CB141" i="6"/>
  <c r="CB142" i="6" s="1"/>
  <c r="BK121" i="6"/>
  <c r="BK132" i="6" s="1"/>
  <c r="BK68" i="6" s="1"/>
  <c r="AJ84" i="6"/>
  <c r="AJ90" i="6" s="1"/>
  <c r="AE90" i="6"/>
  <c r="AE97" i="6" s="1"/>
  <c r="BO219" i="6"/>
  <c r="BO220" i="6" s="1"/>
  <c r="AM170" i="6"/>
  <c r="AS157" i="6"/>
  <c r="V90" i="6"/>
  <c r="V97" i="6" s="1"/>
  <c r="AA84" i="6"/>
  <c r="AA90" i="6" s="1"/>
  <c r="BV144" i="6"/>
  <c r="I144" i="6"/>
  <c r="B154" i="6"/>
  <c r="CC115" i="6"/>
  <c r="BW121" i="6"/>
  <c r="BW132" i="6" s="1"/>
  <c r="U133" i="6"/>
  <c r="AS132" i="6"/>
  <c r="I149" i="6"/>
  <c r="BV149" i="6"/>
  <c r="CC149" i="6" s="1"/>
  <c r="BA211" i="6"/>
  <c r="AA136" i="6"/>
  <c r="AC154" i="6"/>
  <c r="AJ144" i="6"/>
  <c r="AJ154" i="6" s="1"/>
  <c r="AJ160" i="6"/>
  <c r="AC170" i="6"/>
  <c r="BR170" i="6"/>
  <c r="BR93" i="6"/>
  <c r="BR96" i="6" s="1"/>
  <c r="BR97" i="6" s="1"/>
  <c r="AU133" i="6"/>
  <c r="BB134" i="6"/>
  <c r="E134" i="9" s="1"/>
  <c r="AY96" i="6"/>
  <c r="AY97" i="6" s="1"/>
  <c r="AY219" i="6" s="1"/>
  <c r="AY220" i="6" s="1"/>
  <c r="BB197" i="6"/>
  <c r="BV187" i="6"/>
  <c r="I187" i="6"/>
  <c r="B197" i="6"/>
  <c r="H219" i="6"/>
  <c r="H220" i="6" s="1"/>
  <c r="BK93" i="6"/>
  <c r="BK96" i="6" s="1"/>
  <c r="BJ96" i="6"/>
  <c r="BJ97" i="6" s="1"/>
  <c r="BJ219" i="6" s="1"/>
  <c r="BJ220" i="6" s="1"/>
  <c r="AN197" i="6"/>
  <c r="AN211" i="6" s="1"/>
  <c r="AS183" i="6"/>
  <c r="T154" i="6"/>
  <c r="AA144" i="6"/>
  <c r="AA154" i="6" s="1"/>
  <c r="CB170" i="6"/>
  <c r="CB93" i="6"/>
  <c r="CB96" i="6" s="1"/>
  <c r="CB97" i="6" s="1"/>
  <c r="AA160" i="6"/>
  <c r="T170" i="6"/>
  <c r="AI93" i="6"/>
  <c r="AI96" i="6" s="1"/>
  <c r="AI97" i="6" s="1"/>
  <c r="AI170" i="6"/>
  <c r="AI211" i="6" s="1"/>
  <c r="AA121" i="6"/>
  <c r="AA132" i="6" s="1"/>
  <c r="AV211" i="6"/>
  <c r="AV219" i="6" s="1"/>
  <c r="AV220" i="6" s="1"/>
  <c r="AD133" i="6"/>
  <c r="I148" i="6"/>
  <c r="BV148" i="6"/>
  <c r="CC148" i="6" s="1"/>
  <c r="Q170" i="6"/>
  <c r="Q211" i="6" s="1"/>
  <c r="Q93" i="6"/>
  <c r="Q96" i="6" s="1"/>
  <c r="Q97" i="6" s="1"/>
  <c r="AL141" i="6"/>
  <c r="AL142" i="6" s="1"/>
  <c r="V197" i="6"/>
  <c r="V211" i="6" s="1"/>
  <c r="AA183" i="6"/>
  <c r="K166" i="6"/>
  <c r="K167" i="6"/>
  <c r="R167" i="6" s="1"/>
  <c r="K168" i="6"/>
  <c r="R168" i="6" s="1"/>
  <c r="K80" i="6"/>
  <c r="K97" i="6" s="1"/>
  <c r="R74" i="6"/>
  <c r="R80" i="6" s="1"/>
  <c r="CA161" i="6"/>
  <c r="CA170" i="6" s="1"/>
  <c r="BF141" i="6"/>
  <c r="BF142" i="6" s="1"/>
  <c r="BF211" i="6" s="1"/>
  <c r="BF219" i="6" s="1"/>
  <c r="BF220" i="6" s="1"/>
  <c r="AD170" i="6"/>
  <c r="AJ157" i="6"/>
  <c r="BE133" i="6"/>
  <c r="BE141" i="6" s="1"/>
  <c r="BE142" i="6" s="1"/>
  <c r="BE211" i="6" s="1"/>
  <c r="BE219" i="6" s="1"/>
  <c r="BE220" i="6" s="1"/>
  <c r="BV147" i="6"/>
  <c r="CC147" i="6" s="1"/>
  <c r="I147" i="6"/>
  <c r="CD4" i="6"/>
  <c r="CD17" i="6" s="1"/>
  <c r="J17" i="6"/>
  <c r="AS160" i="6"/>
  <c r="BN133" i="6"/>
  <c r="BN141" i="6" s="1"/>
  <c r="BN142" i="6" s="1"/>
  <c r="BN211" i="6" s="1"/>
  <c r="BN219" i="6" s="1"/>
  <c r="BN220" i="6" s="1"/>
  <c r="BV150" i="6"/>
  <c r="CC150" i="6" s="1"/>
  <c r="I150" i="6"/>
  <c r="AC133" i="6"/>
  <c r="BR141" i="6"/>
  <c r="BR142" i="6" s="1"/>
  <c r="BR211" i="6" s="1"/>
  <c r="BZ136" i="6"/>
  <c r="CC136" i="6" s="1"/>
  <c r="E136" i="10" s="1"/>
  <c r="CA133" i="6"/>
  <c r="BS170" i="6"/>
  <c r="BS211" i="6" s="1"/>
  <c r="BS93" i="6"/>
  <c r="BS96" i="6" s="1"/>
  <c r="BS97" i="6" s="1"/>
  <c r="BV160" i="6"/>
  <c r="CC160" i="6" s="1"/>
  <c r="I160" i="6"/>
  <c r="Z219" i="6"/>
  <c r="Z220" i="6" s="1"/>
  <c r="BK134" i="6"/>
  <c r="E134" i="11" s="1"/>
  <c r="BD133" i="6"/>
  <c r="AL166" i="6"/>
  <c r="AS166" i="6" s="1"/>
  <c r="AL167" i="6"/>
  <c r="AS167" i="6" s="1"/>
  <c r="AS74" i="6"/>
  <c r="AS80" i="6" s="1"/>
  <c r="AL168" i="6"/>
  <c r="AS168" i="6" s="1"/>
  <c r="AL80" i="6"/>
  <c r="AL97" i="6" s="1"/>
  <c r="CC140" i="6"/>
  <c r="E140" i="10" s="1"/>
  <c r="AP141" i="6"/>
  <c r="AP142" i="6" s="1"/>
  <c r="CC135" i="6"/>
  <c r="E135" i="10" s="1"/>
  <c r="X170" i="6"/>
  <c r="X211" i="6" s="1"/>
  <c r="X93" i="6"/>
  <c r="AA161" i="6"/>
  <c r="I153" i="6"/>
  <c r="BV153" i="6"/>
  <c r="CC153" i="6" s="1"/>
  <c r="AU197" i="6"/>
  <c r="BB136" i="6"/>
  <c r="AS84" i="6"/>
  <c r="AS90" i="6" s="1"/>
  <c r="AN90" i="6"/>
  <c r="AN97" i="6" s="1"/>
  <c r="BD166" i="6"/>
  <c r="BD168" i="6"/>
  <c r="BK168" i="6" s="1"/>
  <c r="BK74" i="6"/>
  <c r="BD80" i="6"/>
  <c r="BD97" i="6" s="1"/>
  <c r="BD167" i="6"/>
  <c r="BK167" i="6" s="1"/>
  <c r="BT134" i="6"/>
  <c r="R136" i="6"/>
  <c r="B141" i="6"/>
  <c r="B142" i="6" s="1"/>
  <c r="AG93" i="6"/>
  <c r="AG170" i="6"/>
  <c r="AG211" i="6" s="1"/>
  <c r="AJ161" i="6"/>
  <c r="CC83" i="6"/>
  <c r="AS187" i="6"/>
  <c r="AA157" i="6"/>
  <c r="U170" i="6"/>
  <c r="BA170" i="6"/>
  <c r="BA93" i="6"/>
  <c r="BA96" i="6" s="1"/>
  <c r="BA97" i="6" s="1"/>
  <c r="BA219" i="6" s="1"/>
  <c r="BA220" i="6" s="1"/>
  <c r="M219" i="6"/>
  <c r="M220" i="6" s="1"/>
  <c r="AS134" i="6"/>
  <c r="AM133" i="6"/>
  <c r="CC182" i="6"/>
  <c r="F211" i="6"/>
  <c r="BV164" i="6"/>
  <c r="CC164" i="6" s="1"/>
  <c r="I164" i="6"/>
  <c r="R121" i="6"/>
  <c r="R132" i="6" s="1"/>
  <c r="AZ170" i="6"/>
  <c r="AZ93" i="6"/>
  <c r="BB93" i="6" s="1"/>
  <c r="BB96" i="6" s="1"/>
  <c r="BB97" i="6" s="1"/>
  <c r="K141" i="6"/>
  <c r="K142" i="6" s="1"/>
  <c r="D133" i="6"/>
  <c r="BX134" i="6"/>
  <c r="AA187" i="6"/>
  <c r="T197" i="6"/>
  <c r="BB68" i="6"/>
  <c r="BY134" i="6"/>
  <c r="BY141" i="6" s="1"/>
  <c r="BY142" i="6" s="1"/>
  <c r="BY211" i="6" s="1"/>
  <c r="BY219" i="6" s="1"/>
  <c r="BY220" i="6" s="1"/>
  <c r="AW219" i="6"/>
  <c r="AW220" i="6" s="1"/>
  <c r="BM141" i="6"/>
  <c r="BM142" i="6" s="1"/>
  <c r="BM211" i="6" s="1"/>
  <c r="BM219" i="6" s="1"/>
  <c r="BM220" i="6" s="1"/>
  <c r="D90" i="6"/>
  <c r="D97" i="6" s="1"/>
  <c r="I84" i="6"/>
  <c r="I90" i="6" s="1"/>
  <c r="BX84" i="6"/>
  <c r="CC84" i="6" s="1"/>
  <c r="CA136" i="6"/>
  <c r="AJ187" i="6"/>
  <c r="AC197" i="6"/>
  <c r="I93" i="6"/>
  <c r="I96" i="6" s="1"/>
  <c r="F96" i="6"/>
  <c r="F97" i="6" s="1"/>
  <c r="BT68" i="6"/>
  <c r="T133" i="6"/>
  <c r="AP170" i="6"/>
  <c r="AS161" i="6"/>
  <c r="AP93" i="6"/>
  <c r="BZ133" i="6"/>
  <c r="BZ141" i="6" s="1"/>
  <c r="BZ142" i="6" s="1"/>
  <c r="BZ211" i="6" s="1"/>
  <c r="BX183" i="6"/>
  <c r="CC183" i="6" s="1"/>
  <c r="D197" i="6"/>
  <c r="I183" i="6"/>
  <c r="C133" i="6"/>
  <c r="I134" i="6"/>
  <c r="R134" i="6"/>
  <c r="L133" i="6"/>
  <c r="AS144" i="6"/>
  <c r="AS154" i="6" s="1"/>
  <c r="AL154" i="6"/>
  <c r="AZ141" i="6"/>
  <c r="AZ142" i="6" s="1"/>
  <c r="AZ211" i="6" s="1"/>
  <c r="BT69" i="6"/>
  <c r="O96" i="6"/>
  <c r="O97" i="6" s="1"/>
  <c r="O219" i="6" s="1"/>
  <c r="O220" i="6" s="1"/>
  <c r="R93" i="6"/>
  <c r="R96" i="6" s="1"/>
  <c r="AJ183" i="6"/>
  <c r="AE197" i="6"/>
  <c r="AE211" i="6" s="1"/>
  <c r="AA134" i="8" l="1"/>
  <c r="AW219" i="8"/>
  <c r="AW220" i="8" s="1"/>
  <c r="BY141" i="8"/>
  <c r="BY142" i="8" s="1"/>
  <c r="BY211" i="8" s="1"/>
  <c r="BY219" i="8" s="1"/>
  <c r="BY220" i="8" s="1"/>
  <c r="BE141" i="8"/>
  <c r="BE142" i="8" s="1"/>
  <c r="BE211" i="8" s="1"/>
  <c r="BE219" i="8" s="1"/>
  <c r="BE220" i="8" s="1"/>
  <c r="BW133" i="8"/>
  <c r="AM141" i="8"/>
  <c r="AM142" i="8" s="1"/>
  <c r="AM211" i="8" s="1"/>
  <c r="AM219" i="8" s="1"/>
  <c r="AM220" i="8" s="1"/>
  <c r="AD141" i="8"/>
  <c r="AD142" i="8" s="1"/>
  <c r="AD211" i="8" s="1"/>
  <c r="AD219" i="8" s="1"/>
  <c r="AD220" i="8" s="1"/>
  <c r="BW134" i="8"/>
  <c r="U141" i="8"/>
  <c r="U142" i="8" s="1"/>
  <c r="U211" i="8" s="1"/>
  <c r="U219" i="8" s="1"/>
  <c r="U220" i="8" s="1"/>
  <c r="R133" i="8"/>
  <c r="CC69" i="8"/>
  <c r="G121" i="10"/>
  <c r="G132" i="10" s="1"/>
  <c r="G68" i="10" s="1"/>
  <c r="M219" i="7"/>
  <c r="M220" i="7" s="1"/>
  <c r="D219" i="7"/>
  <c r="D220" i="7" s="1"/>
  <c r="BK68" i="7"/>
  <c r="AV211" i="7"/>
  <c r="AV219" i="7" s="1"/>
  <c r="AV220" i="7" s="1"/>
  <c r="AM141" i="7"/>
  <c r="AM142" i="7" s="1"/>
  <c r="AM211" i="7" s="1"/>
  <c r="AM219" i="7" s="1"/>
  <c r="AM220" i="7" s="1"/>
  <c r="AD141" i="7"/>
  <c r="AD142" i="7" s="1"/>
  <c r="AD211" i="7" s="1"/>
  <c r="AD219" i="7" s="1"/>
  <c r="AD220" i="7" s="1"/>
  <c r="CC121" i="7"/>
  <c r="CC132" i="7" s="1"/>
  <c r="CC68" i="7" s="1"/>
  <c r="U141" i="7"/>
  <c r="U142" i="7" s="1"/>
  <c r="U211" i="7" s="1"/>
  <c r="U219" i="7" s="1"/>
  <c r="U220" i="7" s="1"/>
  <c r="F132" i="10"/>
  <c r="F69" i="10" s="1"/>
  <c r="L141" i="7"/>
  <c r="L142" i="7" s="1"/>
  <c r="L211" i="7" s="1"/>
  <c r="L219" i="7" s="1"/>
  <c r="L220" i="7" s="1"/>
  <c r="I68" i="6"/>
  <c r="AA134" i="6"/>
  <c r="AJ68" i="6"/>
  <c r="AS133" i="6"/>
  <c r="AN219" i="6"/>
  <c r="AN220" i="6" s="1"/>
  <c r="AD141" i="6"/>
  <c r="AD142" i="6" s="1"/>
  <c r="AD211" i="6" s="1"/>
  <c r="AD219" i="6" s="1"/>
  <c r="AD220" i="6" s="1"/>
  <c r="AJ134" i="6"/>
  <c r="U141" i="6"/>
  <c r="U142" i="6" s="1"/>
  <c r="U211" i="6" s="1"/>
  <c r="U219" i="6" s="1"/>
  <c r="U220" i="6" s="1"/>
  <c r="CC121" i="6"/>
  <c r="CC132" i="6" s="1"/>
  <c r="CC68" i="6" s="1"/>
  <c r="E115" i="10"/>
  <c r="E121" i="10" s="1"/>
  <c r="E132" i="10" s="1"/>
  <c r="C220" i="11"/>
  <c r="C67" i="11"/>
  <c r="C67" i="9"/>
  <c r="B80" i="9"/>
  <c r="B97" i="9" s="1"/>
  <c r="B70" i="9" s="1"/>
  <c r="B154" i="9"/>
  <c r="AL170" i="8"/>
  <c r="AL197" i="8"/>
  <c r="AJ70" i="8"/>
  <c r="AN219" i="8"/>
  <c r="AN220" i="8" s="1"/>
  <c r="AZ96" i="8"/>
  <c r="AZ97" i="8" s="1"/>
  <c r="AZ219" i="8" s="1"/>
  <c r="AZ220" i="8" s="1"/>
  <c r="CA93" i="8"/>
  <c r="CA96" i="8" s="1"/>
  <c r="CA97" i="8" s="1"/>
  <c r="BK166" i="8"/>
  <c r="BK170" i="8" s="1"/>
  <c r="BD170" i="8"/>
  <c r="BD211" i="8" s="1"/>
  <c r="BD219" i="8" s="1"/>
  <c r="BD220" i="8" s="1"/>
  <c r="AJ170" i="8"/>
  <c r="K197" i="8"/>
  <c r="AU170" i="8"/>
  <c r="AG219" i="8"/>
  <c r="AG220" i="8" s="1"/>
  <c r="AP211" i="8"/>
  <c r="CC187" i="8"/>
  <c r="I168" i="8"/>
  <c r="BV168" i="8"/>
  <c r="CC168" i="8" s="1"/>
  <c r="AA70" i="8"/>
  <c r="R134" i="8"/>
  <c r="AR219" i="8"/>
  <c r="AR220" i="8" s="1"/>
  <c r="BS219" i="8"/>
  <c r="BS220" i="8" s="1"/>
  <c r="BT69" i="8"/>
  <c r="V219" i="8"/>
  <c r="V220" i="8" s="1"/>
  <c r="BT68" i="8"/>
  <c r="BB170" i="8"/>
  <c r="AS170" i="8"/>
  <c r="R166" i="8"/>
  <c r="R170" i="8" s="1"/>
  <c r="K170" i="8"/>
  <c r="AY96" i="8"/>
  <c r="AY97" i="8" s="1"/>
  <c r="AY219" i="8" s="1"/>
  <c r="AY220" i="8" s="1"/>
  <c r="BB93" i="8"/>
  <c r="BB96" i="8" s="1"/>
  <c r="BB97" i="8" s="1"/>
  <c r="BK133" i="8"/>
  <c r="AE211" i="8"/>
  <c r="AE219" i="8" s="1"/>
  <c r="AE220" i="8" s="1"/>
  <c r="CC157" i="8"/>
  <c r="BW170" i="8"/>
  <c r="Z219" i="8"/>
  <c r="Z220" i="8" s="1"/>
  <c r="O96" i="8"/>
  <c r="O97" i="8" s="1"/>
  <c r="O219" i="8" s="1"/>
  <c r="O220" i="8" s="1"/>
  <c r="R93" i="8"/>
  <c r="R96" i="8" s="1"/>
  <c r="R97" i="8" s="1"/>
  <c r="I69" i="8"/>
  <c r="CB211" i="8"/>
  <c r="CB219" i="8" s="1"/>
  <c r="CB220" i="8" s="1"/>
  <c r="BX197" i="8"/>
  <c r="CC158" i="8"/>
  <c r="AS93" i="8"/>
  <c r="AS96" i="8" s="1"/>
  <c r="AS97" i="8" s="1"/>
  <c r="AP96" i="8"/>
  <c r="AP97" i="8" s="1"/>
  <c r="Q219" i="8"/>
  <c r="Q220" i="8" s="1"/>
  <c r="BX90" i="8"/>
  <c r="BX97" i="8" s="1"/>
  <c r="CC93" i="8"/>
  <c r="CC96" i="8" s="1"/>
  <c r="BZ96" i="8"/>
  <c r="BZ97" i="8" s="1"/>
  <c r="AU141" i="8"/>
  <c r="AU142" i="8" s="1"/>
  <c r="BB133" i="8"/>
  <c r="BB69" i="8"/>
  <c r="BA219" i="8"/>
  <c r="BA220" i="8" s="1"/>
  <c r="BX133" i="8"/>
  <c r="BX141" i="8" s="1"/>
  <c r="BX142" i="8" s="1"/>
  <c r="BX211" i="8" s="1"/>
  <c r="D141" i="8"/>
  <c r="D142" i="8" s="1"/>
  <c r="D211" i="8" s="1"/>
  <c r="D219" i="8" s="1"/>
  <c r="D220" i="8" s="1"/>
  <c r="B170" i="8"/>
  <c r="F219" i="8"/>
  <c r="F220" i="8" s="1"/>
  <c r="BT93" i="8"/>
  <c r="BT96" i="8" s="1"/>
  <c r="BT97" i="8" s="1"/>
  <c r="BQ96" i="8"/>
  <c r="BQ97" i="8" s="1"/>
  <c r="BQ219" i="8" s="1"/>
  <c r="BQ220" i="8" s="1"/>
  <c r="T141" i="8"/>
  <c r="T142" i="8" s="1"/>
  <c r="T211" i="8" s="1"/>
  <c r="T219" i="8" s="1"/>
  <c r="T220" i="8" s="1"/>
  <c r="AA133" i="8"/>
  <c r="BB68" i="8"/>
  <c r="X219" i="8"/>
  <c r="X220" i="8" s="1"/>
  <c r="BV133" i="8"/>
  <c r="I133" i="8"/>
  <c r="B141" i="8"/>
  <c r="B142" i="8" s="1"/>
  <c r="BT133" i="8"/>
  <c r="BT141" i="8" s="1"/>
  <c r="BT142" i="8" s="1"/>
  <c r="BV154" i="8"/>
  <c r="CC144" i="8"/>
  <c r="CC154" i="8" s="1"/>
  <c r="I97" i="8"/>
  <c r="AS133" i="8"/>
  <c r="AS141" i="8" s="1"/>
  <c r="AS142" i="8" s="1"/>
  <c r="CA141" i="8"/>
  <c r="CA142" i="8" s="1"/>
  <c r="CA211" i="8" s="1"/>
  <c r="BV80" i="8"/>
  <c r="BV97" i="8" s="1"/>
  <c r="CC74" i="8"/>
  <c r="CC80" i="8" s="1"/>
  <c r="BV134" i="8"/>
  <c r="I134" i="8"/>
  <c r="AS197" i="8"/>
  <c r="AC211" i="8"/>
  <c r="AC219" i="8" s="1"/>
  <c r="AC220" i="8" s="1"/>
  <c r="B197" i="8"/>
  <c r="BV167" i="8"/>
  <c r="CC167" i="8" s="1"/>
  <c r="I167" i="8"/>
  <c r="AA170" i="8"/>
  <c r="AJ133" i="8"/>
  <c r="AJ141" i="8" s="1"/>
  <c r="AJ142" i="8" s="1"/>
  <c r="BV166" i="8"/>
  <c r="CC166" i="8" s="1"/>
  <c r="I166" i="8"/>
  <c r="I170" i="8" s="1"/>
  <c r="AA197" i="8"/>
  <c r="L141" i="8"/>
  <c r="L142" i="8" s="1"/>
  <c r="L211" i="8" s="1"/>
  <c r="L219" i="8" s="1"/>
  <c r="L220" i="8" s="1"/>
  <c r="BZ141" i="8"/>
  <c r="BZ142" i="8" s="1"/>
  <c r="BZ211" i="8" s="1"/>
  <c r="BK80" i="8"/>
  <c r="BK97" i="8" s="1"/>
  <c r="CC90" i="7"/>
  <c r="BZ96" i="7"/>
  <c r="BZ97" i="7" s="1"/>
  <c r="BT211" i="7"/>
  <c r="BT67" i="7" s="1"/>
  <c r="AG96" i="7"/>
  <c r="AG97" i="7" s="1"/>
  <c r="AG219" i="7" s="1"/>
  <c r="AG220" i="7" s="1"/>
  <c r="AJ93" i="7"/>
  <c r="AJ96" i="7" s="1"/>
  <c r="AJ97" i="7" s="1"/>
  <c r="BI211" i="7"/>
  <c r="BI219" i="7" s="1"/>
  <c r="BI220" i="7" s="1"/>
  <c r="BR219" i="7"/>
  <c r="BR220" i="7" s="1"/>
  <c r="V219" i="7"/>
  <c r="V220" i="7" s="1"/>
  <c r="AU141" i="7"/>
  <c r="AU142" i="7" s="1"/>
  <c r="AU211" i="7" s="1"/>
  <c r="AU219" i="7" s="1"/>
  <c r="AU220" i="7" s="1"/>
  <c r="BB133" i="7"/>
  <c r="AA197" i="7"/>
  <c r="BX197" i="7"/>
  <c r="BX211" i="7" s="1"/>
  <c r="BK93" i="7"/>
  <c r="BK96" i="7" s="1"/>
  <c r="BJ96" i="7"/>
  <c r="BJ97" i="7" s="1"/>
  <c r="BJ219" i="7" s="1"/>
  <c r="BJ220" i="7" s="1"/>
  <c r="B197" i="7"/>
  <c r="AL141" i="7"/>
  <c r="AL142" i="7" s="1"/>
  <c r="AL211" i="7" s="1"/>
  <c r="AL219" i="7" s="1"/>
  <c r="AL220" i="7" s="1"/>
  <c r="AS133" i="7"/>
  <c r="T197" i="7"/>
  <c r="AA170" i="7"/>
  <c r="BB170" i="7"/>
  <c r="BD141" i="7"/>
  <c r="BD142" i="7" s="1"/>
  <c r="BK133" i="7"/>
  <c r="R69" i="7"/>
  <c r="AS134" i="7"/>
  <c r="AE219" i="7"/>
  <c r="AE220" i="7" s="1"/>
  <c r="CC158" i="7"/>
  <c r="BK80" i="7"/>
  <c r="BK97" i="7" s="1"/>
  <c r="CC187" i="7"/>
  <c r="AR219" i="7"/>
  <c r="AR220" i="7" s="1"/>
  <c r="BB93" i="7"/>
  <c r="BB96" i="7" s="1"/>
  <c r="BB97" i="7" s="1"/>
  <c r="AY96" i="7"/>
  <c r="AY97" i="7" s="1"/>
  <c r="AY219" i="7" s="1"/>
  <c r="AY220" i="7" s="1"/>
  <c r="R97" i="7"/>
  <c r="B141" i="7"/>
  <c r="B142" i="7" s="1"/>
  <c r="I133" i="7"/>
  <c r="BV133" i="7"/>
  <c r="BV134" i="7"/>
  <c r="I134" i="7"/>
  <c r="Q219" i="7"/>
  <c r="Q220" i="7" s="1"/>
  <c r="AJ68" i="7"/>
  <c r="AJ69" i="7"/>
  <c r="BW134" i="7"/>
  <c r="I97" i="7"/>
  <c r="BK166" i="7"/>
  <c r="BK170" i="7" s="1"/>
  <c r="BD170" i="7"/>
  <c r="AJ134" i="7"/>
  <c r="AZ96" i="7"/>
  <c r="AZ97" i="7" s="1"/>
  <c r="AZ219" i="7" s="1"/>
  <c r="AZ220" i="7" s="1"/>
  <c r="CA93" i="7"/>
  <c r="CA96" i="7" s="1"/>
  <c r="CA97" i="7" s="1"/>
  <c r="CA219" i="7" s="1"/>
  <c r="CA220" i="7" s="1"/>
  <c r="R133" i="7"/>
  <c r="R141" i="7" s="1"/>
  <c r="R142" i="7" s="1"/>
  <c r="R170" i="7"/>
  <c r="BV168" i="7"/>
  <c r="CC168" i="7" s="1"/>
  <c r="I168" i="7"/>
  <c r="CC157" i="7"/>
  <c r="BW170" i="7"/>
  <c r="B170" i="7"/>
  <c r="AA133" i="7"/>
  <c r="AA141" i="7" s="1"/>
  <c r="AA142" i="7" s="1"/>
  <c r="T170" i="7"/>
  <c r="O96" i="7"/>
  <c r="O97" i="7" s="1"/>
  <c r="O219" i="7" s="1"/>
  <c r="O220" i="7" s="1"/>
  <c r="R93" i="7"/>
  <c r="R96" i="7" s="1"/>
  <c r="BS219" i="7"/>
  <c r="BS220" i="7" s="1"/>
  <c r="C141" i="7"/>
  <c r="C142" i="7" s="1"/>
  <c r="C211" i="7" s="1"/>
  <c r="C219" i="7" s="1"/>
  <c r="C220" i="7" s="1"/>
  <c r="BW133" i="7"/>
  <c r="BY141" i="7"/>
  <c r="BY142" i="7" s="1"/>
  <c r="BY211" i="7" s="1"/>
  <c r="BY219" i="7" s="1"/>
  <c r="BY220" i="7" s="1"/>
  <c r="AA97" i="7"/>
  <c r="AJ170" i="7"/>
  <c r="AJ133" i="7"/>
  <c r="AC141" i="7"/>
  <c r="AC142" i="7" s="1"/>
  <c r="AC211" i="7" s="1"/>
  <c r="AC219" i="7" s="1"/>
  <c r="AC220" i="7" s="1"/>
  <c r="I154" i="7"/>
  <c r="AS93" i="7"/>
  <c r="AS96" i="7" s="1"/>
  <c r="AS97" i="7" s="1"/>
  <c r="AS197" i="7"/>
  <c r="I69" i="7"/>
  <c r="BV154" i="7"/>
  <c r="CC144" i="7"/>
  <c r="CC154" i="7" s="1"/>
  <c r="AJ197" i="7"/>
  <c r="BV166" i="7"/>
  <c r="CC166" i="7" s="1"/>
  <c r="I166" i="7"/>
  <c r="I197" i="7"/>
  <c r="AW219" i="7"/>
  <c r="AW220" i="7" s="1"/>
  <c r="BV80" i="7"/>
  <c r="BV97" i="7" s="1"/>
  <c r="CC74" i="7"/>
  <c r="CC80" i="7" s="1"/>
  <c r="BT97" i="7"/>
  <c r="K197" i="7"/>
  <c r="K211" i="7" s="1"/>
  <c r="K219" i="7" s="1"/>
  <c r="K220" i="7" s="1"/>
  <c r="BV167" i="7"/>
  <c r="CC167" i="7" s="1"/>
  <c r="I167" i="7"/>
  <c r="BZ141" i="7"/>
  <c r="BZ142" i="7" s="1"/>
  <c r="BZ211" i="7" s="1"/>
  <c r="BX90" i="7"/>
  <c r="BX97" i="7" s="1"/>
  <c r="BV133" i="6"/>
  <c r="AL197" i="6"/>
  <c r="BX197" i="6"/>
  <c r="CC90" i="6"/>
  <c r="BB70" i="6"/>
  <c r="AA97" i="6"/>
  <c r="V219" i="6"/>
  <c r="V220" i="6" s="1"/>
  <c r="I166" i="6"/>
  <c r="BV166" i="6"/>
  <c r="CC166" i="6" s="1"/>
  <c r="L141" i="6"/>
  <c r="L142" i="6" s="1"/>
  <c r="L211" i="6" s="1"/>
  <c r="L219" i="6" s="1"/>
  <c r="L220" i="6" s="1"/>
  <c r="BX133" i="6"/>
  <c r="BX141" i="6" s="1"/>
  <c r="BX142" i="6" s="1"/>
  <c r="D141" i="6"/>
  <c r="D142" i="6" s="1"/>
  <c r="D211" i="6" s="1"/>
  <c r="D219" i="6" s="1"/>
  <c r="D220" i="6" s="1"/>
  <c r="X96" i="6"/>
  <c r="X97" i="6" s="1"/>
  <c r="X219" i="6" s="1"/>
  <c r="X220" i="6" s="1"/>
  <c r="AA93" i="6"/>
  <c r="AA96" i="6" s="1"/>
  <c r="AS170" i="6"/>
  <c r="BQ96" i="6"/>
  <c r="BQ97" i="6" s="1"/>
  <c r="BQ219" i="6" s="1"/>
  <c r="BQ220" i="6" s="1"/>
  <c r="BT93" i="6"/>
  <c r="BT96" i="6" s="1"/>
  <c r="BT97" i="6" s="1"/>
  <c r="BS219" i="6"/>
  <c r="BS220" i="6" s="1"/>
  <c r="BX90" i="6"/>
  <c r="BX97" i="6" s="1"/>
  <c r="BK80" i="6"/>
  <c r="BK97" i="6" s="1"/>
  <c r="CA141" i="6"/>
  <c r="CA142" i="6" s="1"/>
  <c r="CA211" i="6" s="1"/>
  <c r="K197" i="6"/>
  <c r="CC187" i="6"/>
  <c r="R69" i="6"/>
  <c r="BV168" i="6"/>
  <c r="CC168" i="6" s="1"/>
  <c r="I168" i="6"/>
  <c r="AS93" i="6"/>
  <c r="AS96" i="6" s="1"/>
  <c r="AS97" i="6" s="1"/>
  <c r="AP96" i="6"/>
  <c r="AP97" i="6" s="1"/>
  <c r="R133" i="6"/>
  <c r="R141" i="6" s="1"/>
  <c r="R142" i="6" s="1"/>
  <c r="AM141" i="6"/>
  <c r="AM142" i="6" s="1"/>
  <c r="AM211" i="6" s="1"/>
  <c r="AM219" i="6" s="1"/>
  <c r="AM220" i="6" s="1"/>
  <c r="BK133" i="6"/>
  <c r="BD141" i="6"/>
  <c r="BD142" i="6" s="1"/>
  <c r="R166" i="6"/>
  <c r="R170" i="6" s="1"/>
  <c r="K170" i="6"/>
  <c r="CC157" i="6"/>
  <c r="BW170" i="6"/>
  <c r="C141" i="6"/>
  <c r="C142" i="6" s="1"/>
  <c r="C211" i="6" s="1"/>
  <c r="C219" i="6" s="1"/>
  <c r="C220" i="6" s="1"/>
  <c r="BW133" i="6"/>
  <c r="AJ197" i="6"/>
  <c r="BK166" i="6"/>
  <c r="BK170" i="6" s="1"/>
  <c r="BD170" i="6"/>
  <c r="AA197" i="6"/>
  <c r="BV134" i="6"/>
  <c r="AS68" i="6"/>
  <c r="AS69" i="6"/>
  <c r="T141" i="6"/>
  <c r="T142" i="6" s="1"/>
  <c r="T211" i="6" s="1"/>
  <c r="T219" i="6" s="1"/>
  <c r="T220" i="6" s="1"/>
  <c r="AA133" i="6"/>
  <c r="AA141" i="6" s="1"/>
  <c r="AA142" i="6" s="1"/>
  <c r="BT133" i="6"/>
  <c r="BT141" i="6" s="1"/>
  <c r="BT142" i="6" s="1"/>
  <c r="AZ96" i="6"/>
  <c r="AZ97" i="6" s="1"/>
  <c r="AZ219" i="6" s="1"/>
  <c r="AZ220" i="6" s="1"/>
  <c r="CA93" i="6"/>
  <c r="CA96" i="6" s="1"/>
  <c r="CA97" i="6" s="1"/>
  <c r="AP211" i="6"/>
  <c r="AJ170" i="6"/>
  <c r="AS197" i="6"/>
  <c r="BW134" i="6"/>
  <c r="AJ93" i="6"/>
  <c r="AJ96" i="6" s="1"/>
  <c r="AJ97" i="6" s="1"/>
  <c r="AG96" i="6"/>
  <c r="AG97" i="6" s="1"/>
  <c r="AG219" i="6" s="1"/>
  <c r="AG220" i="6" s="1"/>
  <c r="AC141" i="6"/>
  <c r="AC142" i="6" s="1"/>
  <c r="AC211" i="6" s="1"/>
  <c r="AC219" i="6" s="1"/>
  <c r="AC220" i="6" s="1"/>
  <c r="AJ133" i="6"/>
  <c r="AL170" i="6"/>
  <c r="AA69" i="6"/>
  <c r="AE219" i="6"/>
  <c r="AE220" i="6" s="1"/>
  <c r="AS141" i="6"/>
  <c r="AS142" i="6" s="1"/>
  <c r="BB133" i="6"/>
  <c r="AU141" i="6"/>
  <c r="AU142" i="6" s="1"/>
  <c r="AU211" i="6" s="1"/>
  <c r="AU219" i="6" s="1"/>
  <c r="AU220" i="6" s="1"/>
  <c r="I154" i="6"/>
  <c r="BZ93" i="6"/>
  <c r="R68" i="6"/>
  <c r="AI219" i="6"/>
  <c r="AI220" i="6" s="1"/>
  <c r="CC144" i="6"/>
  <c r="CC154" i="6" s="1"/>
  <c r="BV154" i="6"/>
  <c r="BK69" i="6"/>
  <c r="CC74" i="6"/>
  <c r="CC80" i="6" s="1"/>
  <c r="BV80" i="6"/>
  <c r="BV97" i="6" s="1"/>
  <c r="F219" i="6"/>
  <c r="F220" i="6" s="1"/>
  <c r="I133" i="6"/>
  <c r="I141" i="6" s="1"/>
  <c r="I142" i="6" s="1"/>
  <c r="Q219" i="6"/>
  <c r="Q220" i="6" s="1"/>
  <c r="BR219" i="6"/>
  <c r="BR220" i="6" s="1"/>
  <c r="CB211" i="6"/>
  <c r="CB219" i="6" s="1"/>
  <c r="CB220" i="6" s="1"/>
  <c r="I97" i="6"/>
  <c r="AA170" i="6"/>
  <c r="B170" i="6"/>
  <c r="B211" i="6" s="1"/>
  <c r="B219" i="6" s="1"/>
  <c r="B220" i="6" s="1"/>
  <c r="R97" i="6"/>
  <c r="CC161" i="6"/>
  <c r="E161" i="10" s="1"/>
  <c r="E170" i="10" s="1"/>
  <c r="AR219" i="6"/>
  <c r="AR220" i="6" s="1"/>
  <c r="BV167" i="6"/>
  <c r="CC167" i="6" s="1"/>
  <c r="I167" i="6"/>
  <c r="AA68" i="6"/>
  <c r="AL211" i="8" l="1"/>
  <c r="AL219" i="8" s="1"/>
  <c r="AL220" i="8" s="1"/>
  <c r="K211" i="8"/>
  <c r="K219" i="8" s="1"/>
  <c r="K220" i="8" s="1"/>
  <c r="AU211" i="8"/>
  <c r="AU219" i="8" s="1"/>
  <c r="AU220" i="8" s="1"/>
  <c r="AA141" i="8"/>
  <c r="AA142" i="8" s="1"/>
  <c r="AA211" i="8" s="1"/>
  <c r="AA219" i="8" s="1"/>
  <c r="AA220" i="8" s="1"/>
  <c r="R141" i="8"/>
  <c r="R142" i="8" s="1"/>
  <c r="CA219" i="8"/>
  <c r="CA220" i="8" s="1"/>
  <c r="BW141" i="8"/>
  <c r="BW142" i="8" s="1"/>
  <c r="BW211" i="8" s="1"/>
  <c r="BW219" i="8" s="1"/>
  <c r="BW220" i="8" s="1"/>
  <c r="CC134" i="8"/>
  <c r="G134" i="10" s="1"/>
  <c r="BK141" i="8"/>
  <c r="BK142" i="8" s="1"/>
  <c r="BK211" i="8" s="1"/>
  <c r="BK219" i="8" s="1"/>
  <c r="BK220" i="8" s="1"/>
  <c r="G133" i="11"/>
  <c r="G141" i="11" s="1"/>
  <c r="G142" i="11" s="1"/>
  <c r="BB141" i="8"/>
  <c r="BB142" i="8" s="1"/>
  <c r="BB211" i="8" s="1"/>
  <c r="BB219" i="8" s="1"/>
  <c r="BB220" i="8" s="1"/>
  <c r="G133" i="9"/>
  <c r="G141" i="9" s="1"/>
  <c r="G142" i="9" s="1"/>
  <c r="I141" i="8"/>
  <c r="I142" i="8" s="1"/>
  <c r="G69" i="10"/>
  <c r="BZ219" i="7"/>
  <c r="BZ220" i="7" s="1"/>
  <c r="BX219" i="7"/>
  <c r="BX220" i="7" s="1"/>
  <c r="CC69" i="7"/>
  <c r="F68" i="10"/>
  <c r="CC134" i="7"/>
  <c r="F134" i="10" s="1"/>
  <c r="BK141" i="7"/>
  <c r="BK142" i="7" s="1"/>
  <c r="BK211" i="7" s="1"/>
  <c r="BK67" i="7" s="1"/>
  <c r="F133" i="11"/>
  <c r="F141" i="11" s="1"/>
  <c r="F142" i="11" s="1"/>
  <c r="BB141" i="7"/>
  <c r="BB142" i="7" s="1"/>
  <c r="BB211" i="7" s="1"/>
  <c r="BB219" i="7" s="1"/>
  <c r="BB220" i="7" s="1"/>
  <c r="F133" i="9"/>
  <c r="F141" i="9" s="1"/>
  <c r="F142" i="9" s="1"/>
  <c r="AS141" i="7"/>
  <c r="AS142" i="7" s="1"/>
  <c r="AS211" i="7" s="1"/>
  <c r="AS219" i="7" s="1"/>
  <c r="AS220" i="7" s="1"/>
  <c r="AL211" i="6"/>
  <c r="AL219" i="6" s="1"/>
  <c r="AL220" i="6" s="1"/>
  <c r="CA219" i="6"/>
  <c r="CA220" i="6" s="1"/>
  <c r="AJ141" i="6"/>
  <c r="AJ142" i="6" s="1"/>
  <c r="AJ211" i="6" s="1"/>
  <c r="AJ219" i="6" s="1"/>
  <c r="AJ220" i="6" s="1"/>
  <c r="E68" i="10"/>
  <c r="E69" i="10"/>
  <c r="CC69" i="6"/>
  <c r="BK141" i="6"/>
  <c r="BK142" i="6" s="1"/>
  <c r="BK211" i="6" s="1"/>
  <c r="BK67" i="6" s="1"/>
  <c r="E133" i="11"/>
  <c r="E141" i="11" s="1"/>
  <c r="E142" i="11" s="1"/>
  <c r="BB141" i="6"/>
  <c r="BB142" i="6" s="1"/>
  <c r="BB211" i="6" s="1"/>
  <c r="BB219" i="6" s="1"/>
  <c r="BB220" i="6" s="1"/>
  <c r="E133" i="9"/>
  <c r="E141" i="9" s="1"/>
  <c r="E142" i="9" s="1"/>
  <c r="E211" i="9" s="1"/>
  <c r="BV141" i="6"/>
  <c r="BV142" i="6" s="1"/>
  <c r="B197" i="9"/>
  <c r="B141" i="9"/>
  <c r="B142" i="9" s="1"/>
  <c r="I197" i="8"/>
  <c r="BT211" i="8"/>
  <c r="BT67" i="8" s="1"/>
  <c r="AS70" i="8"/>
  <c r="BB70" i="8"/>
  <c r="R70" i="8"/>
  <c r="BV141" i="8"/>
  <c r="BV142" i="8" s="1"/>
  <c r="CC133" i="8"/>
  <c r="AJ211" i="8"/>
  <c r="AJ219" i="8" s="1"/>
  <c r="AJ220" i="8" s="1"/>
  <c r="BV170" i="8"/>
  <c r="CC170" i="8"/>
  <c r="CC97" i="8"/>
  <c r="AP219" i="8"/>
  <c r="AP220" i="8" s="1"/>
  <c r="BV197" i="8"/>
  <c r="BK70" i="8"/>
  <c r="AS211" i="8"/>
  <c r="AS219" i="8" s="1"/>
  <c r="AS220" i="8" s="1"/>
  <c r="I70" i="8"/>
  <c r="BZ219" i="8"/>
  <c r="BZ220" i="8" s="1"/>
  <c r="BT70" i="8"/>
  <c r="CC197" i="8"/>
  <c r="BX219" i="8"/>
  <c r="BX220" i="8" s="1"/>
  <c r="R197" i="8"/>
  <c r="B211" i="8"/>
  <c r="B219" i="8" s="1"/>
  <c r="B220" i="8" s="1"/>
  <c r="T211" i="7"/>
  <c r="T219" i="7" s="1"/>
  <c r="T220" i="7" s="1"/>
  <c r="I170" i="7"/>
  <c r="R211" i="7"/>
  <c r="R67" i="7" s="1"/>
  <c r="AA211" i="7"/>
  <c r="AA67" i="7" s="1"/>
  <c r="I141" i="7"/>
  <c r="I142" i="7" s="1"/>
  <c r="AA70" i="7"/>
  <c r="CC170" i="7"/>
  <c r="I70" i="7"/>
  <c r="B211" i="7"/>
  <c r="B219" i="7" s="1"/>
  <c r="B220" i="7" s="1"/>
  <c r="R70" i="7"/>
  <c r="AJ70" i="7"/>
  <c r="BV170" i="7"/>
  <c r="BW141" i="7"/>
  <c r="BW142" i="7" s="1"/>
  <c r="BW211" i="7" s="1"/>
  <c r="BW219" i="7" s="1"/>
  <c r="BW220" i="7" s="1"/>
  <c r="BB70" i="7"/>
  <c r="AJ141" i="7"/>
  <c r="AJ142" i="7" s="1"/>
  <c r="BV141" i="7"/>
  <c r="BV142" i="7" s="1"/>
  <c r="CC133" i="7"/>
  <c r="BT219" i="7"/>
  <c r="BT220" i="7" s="1"/>
  <c r="BT70" i="7"/>
  <c r="AS70" i="7"/>
  <c r="CC197" i="7"/>
  <c r="BD211" i="7"/>
  <c r="BD219" i="7" s="1"/>
  <c r="BD220" i="7" s="1"/>
  <c r="CC93" i="7"/>
  <c r="CC96" i="7" s="1"/>
  <c r="CC97" i="7" s="1"/>
  <c r="BV197" i="7"/>
  <c r="BK70" i="7"/>
  <c r="BX211" i="6"/>
  <c r="BX219" i="6" s="1"/>
  <c r="BX220" i="6" s="1"/>
  <c r="K211" i="6"/>
  <c r="K219" i="6" s="1"/>
  <c r="K220" i="6" s="1"/>
  <c r="CC197" i="6"/>
  <c r="I170" i="6"/>
  <c r="I197" i="6"/>
  <c r="BV197" i="6"/>
  <c r="AS70" i="6"/>
  <c r="AJ70" i="6"/>
  <c r="AS211" i="6"/>
  <c r="AS219" i="6" s="1"/>
  <c r="AS220" i="6" s="1"/>
  <c r="I70" i="6"/>
  <c r="CC170" i="6"/>
  <c r="CC134" i="6"/>
  <c r="E134" i="10" s="1"/>
  <c r="BW141" i="6"/>
  <c r="BW142" i="6" s="1"/>
  <c r="BW211" i="6" s="1"/>
  <c r="BW219" i="6" s="1"/>
  <c r="BW220" i="6" s="1"/>
  <c r="BT70" i="6"/>
  <c r="BK70" i="6"/>
  <c r="AA211" i="6"/>
  <c r="AA67" i="6" s="1"/>
  <c r="BD211" i="6"/>
  <c r="BD219" i="6" s="1"/>
  <c r="BD220" i="6" s="1"/>
  <c r="AA70" i="6"/>
  <c r="BT211" i="6"/>
  <c r="BT67" i="6" s="1"/>
  <c r="R197" i="6"/>
  <c r="R211" i="6" s="1"/>
  <c r="CC133" i="6"/>
  <c r="E133" i="10" s="1"/>
  <c r="BZ96" i="6"/>
  <c r="BZ97" i="6" s="1"/>
  <c r="BZ219" i="6" s="1"/>
  <c r="BZ220" i="6" s="1"/>
  <c r="CC93" i="6"/>
  <c r="CC96" i="6" s="1"/>
  <c r="CC97" i="6" s="1"/>
  <c r="BV170" i="6"/>
  <c r="R70" i="6"/>
  <c r="AP219" i="6"/>
  <c r="AP220" i="6" s="1"/>
  <c r="R211" i="8" l="1"/>
  <c r="R67" i="8" s="1"/>
  <c r="AS67" i="8"/>
  <c r="BT219" i="8"/>
  <c r="BT220" i="8" s="1"/>
  <c r="G211" i="11"/>
  <c r="G219" i="11" s="1"/>
  <c r="G211" i="9"/>
  <c r="G219" i="9" s="1"/>
  <c r="I211" i="8"/>
  <c r="I67" i="8" s="1"/>
  <c r="CC141" i="8"/>
  <c r="CC142" i="8" s="1"/>
  <c r="CC211" i="8" s="1"/>
  <c r="CC67" i="8" s="1"/>
  <c r="G133" i="10"/>
  <c r="G141" i="10" s="1"/>
  <c r="G142" i="10" s="1"/>
  <c r="BB67" i="7"/>
  <c r="AA219" i="7"/>
  <c r="AA220" i="7" s="1"/>
  <c r="F211" i="11"/>
  <c r="F219" i="11" s="1"/>
  <c r="F211" i="9"/>
  <c r="F219" i="9" s="1"/>
  <c r="AS67" i="7"/>
  <c r="R219" i="7"/>
  <c r="R220" i="7" s="1"/>
  <c r="CC141" i="7"/>
  <c r="CC142" i="7" s="1"/>
  <c r="CC211" i="7" s="1"/>
  <c r="CC219" i="7" s="1"/>
  <c r="F133" i="10"/>
  <c r="F141" i="10" s="1"/>
  <c r="F142" i="10" s="1"/>
  <c r="AA219" i="6"/>
  <c r="AA220" i="6" s="1"/>
  <c r="E211" i="11"/>
  <c r="E219" i="11" s="1"/>
  <c r="E67" i="9"/>
  <c r="E219" i="9"/>
  <c r="E141" i="10"/>
  <c r="E142" i="10" s="1"/>
  <c r="E211" i="10" s="1"/>
  <c r="E219" i="10" s="1"/>
  <c r="E220" i="10" s="1"/>
  <c r="AJ67" i="8"/>
  <c r="BB67" i="8"/>
  <c r="BK67" i="8"/>
  <c r="CC70" i="8"/>
  <c r="AA67" i="8"/>
  <c r="BV211" i="8"/>
  <c r="BV219" i="8" s="1"/>
  <c r="BV220" i="8" s="1"/>
  <c r="BK219" i="7"/>
  <c r="BK220" i="7" s="1"/>
  <c r="BV211" i="7"/>
  <c r="BV219" i="7" s="1"/>
  <c r="BV220" i="7" s="1"/>
  <c r="CC70" i="7"/>
  <c r="AJ211" i="7"/>
  <c r="AJ219" i="7" s="1"/>
  <c r="AJ220" i="7" s="1"/>
  <c r="I211" i="7"/>
  <c r="I219" i="7" s="1"/>
  <c r="I220" i="7" s="1"/>
  <c r="BK219" i="6"/>
  <c r="BK220" i="6" s="1"/>
  <c r="AJ67" i="6"/>
  <c r="R219" i="6"/>
  <c r="R220" i="6" s="1"/>
  <c r="R67" i="6"/>
  <c r="BV211" i="6"/>
  <c r="BV219" i="6" s="1"/>
  <c r="BV220" i="6" s="1"/>
  <c r="I211" i="6"/>
  <c r="I67" i="6" s="1"/>
  <c r="CC70" i="6"/>
  <c r="BT219" i="6"/>
  <c r="BT220" i="6" s="1"/>
  <c r="AS67" i="6"/>
  <c r="CC141" i="6"/>
  <c r="CC142" i="6" s="1"/>
  <c r="BB67" i="6"/>
  <c r="R219" i="8" l="1"/>
  <c r="R220" i="8" s="1"/>
  <c r="G67" i="9"/>
  <c r="G67" i="11"/>
  <c r="I219" i="8"/>
  <c r="I220" i="8" s="1"/>
  <c r="G223" i="11"/>
  <c r="G220" i="11"/>
  <c r="G220" i="9"/>
  <c r="G223" i="9"/>
  <c r="G211" i="10"/>
  <c r="G219" i="10" s="1"/>
  <c r="G220" i="10" s="1"/>
  <c r="F67" i="11"/>
  <c r="F67" i="9"/>
  <c r="F223" i="11"/>
  <c r="F220" i="11"/>
  <c r="F220" i="9"/>
  <c r="F223" i="9"/>
  <c r="F211" i="10"/>
  <c r="F219" i="10" s="1"/>
  <c r="F220" i="10" s="1"/>
  <c r="I219" i="6"/>
  <c r="I220" i="6" s="1"/>
  <c r="E67" i="11"/>
  <c r="E223" i="11"/>
  <c r="E220" i="11"/>
  <c r="E220" i="9"/>
  <c r="E223" i="9"/>
  <c r="E67" i="10"/>
  <c r="CC220" i="7"/>
  <c r="CC219" i="8"/>
  <c r="AJ67" i="7"/>
  <c r="CC67" i="7"/>
  <c r="I67" i="7"/>
  <c r="CC211" i="6"/>
  <c r="CC219" i="6" s="1"/>
  <c r="G67" i="10" l="1"/>
  <c r="F223" i="10"/>
  <c r="F67" i="10"/>
  <c r="CC220" i="8"/>
  <c r="G223" i="10"/>
  <c r="CC220" i="6"/>
  <c r="E223" i="10"/>
  <c r="CC67" i="6"/>
  <c r="B11" i="5" l="1"/>
  <c r="B111" i="5" s="1"/>
  <c r="J111" i="5" s="1"/>
  <c r="J11" i="5"/>
  <c r="L11" i="5" s="1"/>
  <c r="B12" i="5"/>
  <c r="J12" i="5" s="1"/>
  <c r="C12" i="5"/>
  <c r="B13" i="5"/>
  <c r="C13" i="5"/>
  <c r="D13" i="5"/>
  <c r="D93" i="5" s="1"/>
  <c r="E13" i="5"/>
  <c r="J13" i="5" s="1"/>
  <c r="F13" i="5"/>
  <c r="F53" i="5" s="1"/>
  <c r="B14" i="5"/>
  <c r="J14" i="5" s="1"/>
  <c r="C14" i="5"/>
  <c r="C114" i="5" s="1"/>
  <c r="D14" i="5"/>
  <c r="E14" i="5"/>
  <c r="F14" i="5"/>
  <c r="B15" i="5"/>
  <c r="B35" i="5" s="1"/>
  <c r="C15" i="5"/>
  <c r="C35" i="5" s="1"/>
  <c r="D15" i="5"/>
  <c r="J15" i="5" s="1"/>
  <c r="E15" i="5"/>
  <c r="E116" i="5" s="1"/>
  <c r="F15" i="5"/>
  <c r="F55" i="5" s="1"/>
  <c r="G15" i="5"/>
  <c r="C16" i="5"/>
  <c r="D16" i="5"/>
  <c r="E16" i="5"/>
  <c r="F16" i="5"/>
  <c r="F36" i="5" s="1"/>
  <c r="G16" i="5"/>
  <c r="H16" i="5"/>
  <c r="J16" i="5"/>
  <c r="D17" i="5"/>
  <c r="J17" i="5" s="1"/>
  <c r="E17" i="5"/>
  <c r="E37" i="5" s="1"/>
  <c r="F17" i="5"/>
  <c r="F97" i="5" s="1"/>
  <c r="G17" i="5"/>
  <c r="H17" i="5"/>
  <c r="G18" i="5"/>
  <c r="H18" i="5"/>
  <c r="J18" i="5"/>
  <c r="G19" i="5"/>
  <c r="H19" i="5"/>
  <c r="J19" i="5" s="1"/>
  <c r="H20" i="5"/>
  <c r="J20" i="5" s="1"/>
  <c r="L20" i="5" s="1"/>
  <c r="J21" i="5"/>
  <c r="J22" i="5"/>
  <c r="J23" i="5"/>
  <c r="L23" i="5" s="1"/>
  <c r="B27" i="5"/>
  <c r="C27" i="5"/>
  <c r="D27" i="5"/>
  <c r="E27" i="5"/>
  <c r="F27" i="5"/>
  <c r="G28" i="5"/>
  <c r="G36" i="5" s="1"/>
  <c r="H28" i="5"/>
  <c r="B29" i="5"/>
  <c r="C29" i="5"/>
  <c r="D29" i="5"/>
  <c r="E29" i="5"/>
  <c r="F29" i="5"/>
  <c r="G29" i="5"/>
  <c r="H29" i="5"/>
  <c r="B31" i="5"/>
  <c r="J31" i="5" s="1"/>
  <c r="C32" i="5"/>
  <c r="B33" i="5"/>
  <c r="C33" i="5"/>
  <c r="D33" i="5"/>
  <c r="E33" i="5"/>
  <c r="J33" i="5" s="1"/>
  <c r="F33" i="5"/>
  <c r="B34" i="5"/>
  <c r="J34" i="5" s="1"/>
  <c r="C34" i="5"/>
  <c r="D34" i="5"/>
  <c r="E34" i="5"/>
  <c r="F34" i="5"/>
  <c r="E35" i="5"/>
  <c r="F35" i="5"/>
  <c r="G35" i="5"/>
  <c r="C36" i="5"/>
  <c r="D36" i="5"/>
  <c r="E36" i="5"/>
  <c r="F37" i="5"/>
  <c r="G37" i="5"/>
  <c r="G38" i="5"/>
  <c r="J38" i="5" s="1"/>
  <c r="G39" i="5"/>
  <c r="J39" i="5" s="1"/>
  <c r="J40" i="5"/>
  <c r="J41" i="5"/>
  <c r="J42" i="5"/>
  <c r="J43" i="5"/>
  <c r="B47" i="5"/>
  <c r="C47" i="5"/>
  <c r="D47" i="5"/>
  <c r="E47" i="5"/>
  <c r="F47" i="5"/>
  <c r="B49" i="5"/>
  <c r="C49" i="5"/>
  <c r="D49" i="5"/>
  <c r="E49" i="5"/>
  <c r="F49" i="5"/>
  <c r="G49" i="5"/>
  <c r="H49" i="5"/>
  <c r="B51" i="5"/>
  <c r="J51" i="5"/>
  <c r="B52" i="5"/>
  <c r="J52" i="5" s="1"/>
  <c r="C52" i="5"/>
  <c r="B53" i="5"/>
  <c r="J53" i="5" s="1"/>
  <c r="C53" i="5"/>
  <c r="D53" i="5"/>
  <c r="E53" i="5"/>
  <c r="C54" i="5"/>
  <c r="D54" i="5"/>
  <c r="E54" i="5"/>
  <c r="F54" i="5"/>
  <c r="B55" i="5"/>
  <c r="C55" i="5"/>
  <c r="D55" i="5"/>
  <c r="E55" i="5"/>
  <c r="G55" i="5"/>
  <c r="C56" i="5"/>
  <c r="D56" i="5"/>
  <c r="E56" i="5"/>
  <c r="F56" i="5"/>
  <c r="G56" i="5"/>
  <c r="J56" i="5"/>
  <c r="D57" i="5"/>
  <c r="J57" i="5" s="1"/>
  <c r="E57" i="5"/>
  <c r="F57" i="5"/>
  <c r="G57" i="5"/>
  <c r="G58" i="5"/>
  <c r="J58" i="5"/>
  <c r="G59" i="5"/>
  <c r="J59" i="5"/>
  <c r="J60" i="5"/>
  <c r="J61" i="5"/>
  <c r="L21" i="5" s="1"/>
  <c r="J62" i="5"/>
  <c r="L22" i="5" s="1"/>
  <c r="J63" i="5"/>
  <c r="B67" i="5"/>
  <c r="C67" i="5"/>
  <c r="D67" i="5"/>
  <c r="E67" i="5"/>
  <c r="F67" i="5"/>
  <c r="B69" i="5"/>
  <c r="C69" i="5"/>
  <c r="D69" i="5"/>
  <c r="E69" i="5"/>
  <c r="F69" i="5"/>
  <c r="G69" i="5"/>
  <c r="H69" i="5"/>
  <c r="B71" i="5"/>
  <c r="J71" i="5"/>
  <c r="C72" i="5"/>
  <c r="B73" i="5"/>
  <c r="C73" i="5"/>
  <c r="D73" i="5"/>
  <c r="E73" i="5"/>
  <c r="F73" i="5"/>
  <c r="J73" i="5"/>
  <c r="B74" i="5"/>
  <c r="J74" i="5" s="1"/>
  <c r="C74" i="5"/>
  <c r="D74" i="5"/>
  <c r="E74" i="5"/>
  <c r="F74" i="5"/>
  <c r="B75" i="5"/>
  <c r="C75" i="5"/>
  <c r="D75" i="5"/>
  <c r="E75" i="5"/>
  <c r="F75" i="5"/>
  <c r="G75" i="5"/>
  <c r="J75" i="5" s="1"/>
  <c r="C76" i="5"/>
  <c r="J76" i="5" s="1"/>
  <c r="D76" i="5"/>
  <c r="E76" i="5"/>
  <c r="F76" i="5"/>
  <c r="G76" i="5"/>
  <c r="D77" i="5"/>
  <c r="E77" i="5"/>
  <c r="F77" i="5"/>
  <c r="G77" i="5"/>
  <c r="J77" i="5"/>
  <c r="G78" i="5"/>
  <c r="J78" i="5"/>
  <c r="G79" i="5"/>
  <c r="J79" i="5" s="1"/>
  <c r="J80" i="5"/>
  <c r="J81" i="5"/>
  <c r="J82" i="5"/>
  <c r="J83" i="5"/>
  <c r="B87" i="5"/>
  <c r="C87" i="5"/>
  <c r="D87" i="5"/>
  <c r="E87" i="5"/>
  <c r="F87" i="5"/>
  <c r="G88" i="5"/>
  <c r="G97" i="5" s="1"/>
  <c r="B89" i="5"/>
  <c r="C89" i="5"/>
  <c r="D89" i="5"/>
  <c r="E89" i="5"/>
  <c r="F89" i="5"/>
  <c r="G89" i="5"/>
  <c r="B91" i="5"/>
  <c r="J91" i="5"/>
  <c r="B92" i="5"/>
  <c r="C92" i="5"/>
  <c r="J92" i="5"/>
  <c r="B93" i="5"/>
  <c r="C93" i="5"/>
  <c r="E93" i="5"/>
  <c r="B94" i="5"/>
  <c r="C94" i="5"/>
  <c r="D94" i="5"/>
  <c r="E94" i="5"/>
  <c r="F94" i="5"/>
  <c r="J94" i="5"/>
  <c r="B95" i="5"/>
  <c r="C95" i="5"/>
  <c r="E95" i="5"/>
  <c r="C96" i="5"/>
  <c r="D96" i="5"/>
  <c r="E96" i="5"/>
  <c r="F96" i="5"/>
  <c r="G96" i="5"/>
  <c r="J96" i="5"/>
  <c r="D97" i="5"/>
  <c r="E97" i="5"/>
  <c r="J100" i="5"/>
  <c r="J101" i="5"/>
  <c r="J102" i="5"/>
  <c r="J103" i="5"/>
  <c r="B107" i="5"/>
  <c r="C107" i="5"/>
  <c r="D107" i="5"/>
  <c r="E107" i="5"/>
  <c r="F107" i="5"/>
  <c r="G108" i="5"/>
  <c r="G118" i="5" s="1"/>
  <c r="J118" i="5" s="1"/>
  <c r="B109" i="5"/>
  <c r="C109" i="5"/>
  <c r="D109" i="5"/>
  <c r="E109" i="5"/>
  <c r="F109" i="5"/>
  <c r="G109" i="5"/>
  <c r="C112" i="5"/>
  <c r="B113" i="5"/>
  <c r="C113" i="5"/>
  <c r="D113" i="5"/>
  <c r="E113" i="5"/>
  <c r="F113" i="5"/>
  <c r="J113" i="5"/>
  <c r="B114" i="5"/>
  <c r="D114" i="5"/>
  <c r="F114" i="5"/>
  <c r="B115" i="5"/>
  <c r="C115" i="5"/>
  <c r="D115" i="5"/>
  <c r="E115" i="5"/>
  <c r="F115" i="5"/>
  <c r="G115" i="5"/>
  <c r="J115" i="5"/>
  <c r="C116" i="5"/>
  <c r="D116" i="5"/>
  <c r="F116" i="5"/>
  <c r="D117" i="5"/>
  <c r="E117" i="5"/>
  <c r="F117" i="5"/>
  <c r="G117" i="5"/>
  <c r="H117" i="5"/>
  <c r="J117" i="5" s="1"/>
  <c r="H118" i="5"/>
  <c r="H119" i="5"/>
  <c r="H120" i="5"/>
  <c r="J120" i="5"/>
  <c r="H121" i="5"/>
  <c r="J121" i="5"/>
  <c r="J122" i="5"/>
  <c r="J123" i="5"/>
  <c r="L19" i="5" l="1"/>
  <c r="J36" i="5"/>
  <c r="L16" i="5" s="1"/>
  <c r="J114" i="5"/>
  <c r="L14" i="5" s="1"/>
  <c r="J55" i="5"/>
  <c r="J97" i="5"/>
  <c r="L17" i="5"/>
  <c r="G125" i="5"/>
  <c r="J116" i="5"/>
  <c r="L18" i="5"/>
  <c r="H125" i="5"/>
  <c r="G99" i="5"/>
  <c r="J99" i="5" s="1"/>
  <c r="G116" i="5"/>
  <c r="G98" i="5"/>
  <c r="J98" i="5" s="1"/>
  <c r="G119" i="5"/>
  <c r="J119" i="5" s="1"/>
  <c r="G95" i="5"/>
  <c r="D35" i="5"/>
  <c r="J35" i="5" s="1"/>
  <c r="L15" i="5" s="1"/>
  <c r="D125" i="5"/>
  <c r="E114" i="5"/>
  <c r="E125" i="5" s="1"/>
  <c r="B112" i="5"/>
  <c r="J112" i="5" s="1"/>
  <c r="L12" i="5" s="1"/>
  <c r="F95" i="5"/>
  <c r="J95" i="5" s="1"/>
  <c r="F93" i="5"/>
  <c r="F125" i="5" s="1"/>
  <c r="B54" i="5"/>
  <c r="J54" i="5" s="1"/>
  <c r="D37" i="5"/>
  <c r="J37" i="5" s="1"/>
  <c r="C125" i="5"/>
  <c r="D95" i="5"/>
  <c r="B72" i="5"/>
  <c r="J72" i="5" s="1"/>
  <c r="B32" i="5"/>
  <c r="J32" i="5" s="1"/>
  <c r="J93" i="5" l="1"/>
  <c r="L13" i="5" s="1"/>
  <c r="B125" i="5"/>
  <c r="C6" i="4" l="1"/>
  <c r="D6" i="4"/>
  <c r="E6" i="4"/>
  <c r="S6" i="4" s="1"/>
  <c r="C7" i="4"/>
  <c r="D7" i="4"/>
  <c r="E7" i="4" s="1"/>
  <c r="J7" i="4"/>
  <c r="C8" i="4"/>
  <c r="D8" i="4"/>
  <c r="E8" i="4"/>
  <c r="H8" i="4"/>
  <c r="I8" i="4"/>
  <c r="J8" i="4"/>
  <c r="N8" i="4"/>
  <c r="N44" i="4" s="1"/>
  <c r="P8" i="4"/>
  <c r="C9" i="4"/>
  <c r="D9" i="4"/>
  <c r="E9" i="4"/>
  <c r="S9" i="4" s="1"/>
  <c r="H9" i="4"/>
  <c r="I9" i="4"/>
  <c r="J9" i="4" s="1"/>
  <c r="N9" i="4"/>
  <c r="P9" i="4"/>
  <c r="Q9" i="4" s="1"/>
  <c r="C10" i="4"/>
  <c r="E10" i="4" s="1"/>
  <c r="D10" i="4"/>
  <c r="H10" i="4"/>
  <c r="I10" i="4"/>
  <c r="J10" i="4"/>
  <c r="N10" i="4"/>
  <c r="Q10" i="4" s="1"/>
  <c r="P10" i="4"/>
  <c r="C11" i="4"/>
  <c r="E11" i="4" s="1"/>
  <c r="S11" i="4" s="1"/>
  <c r="D11" i="4"/>
  <c r="H11" i="4"/>
  <c r="I11" i="4"/>
  <c r="J11" i="4"/>
  <c r="M11" i="4"/>
  <c r="M44" i="4" s="1"/>
  <c r="N11" i="4"/>
  <c r="P11" i="4"/>
  <c r="Q11" i="4" s="1"/>
  <c r="C12" i="4"/>
  <c r="E12" i="4" s="1"/>
  <c r="D12" i="4"/>
  <c r="H12" i="4"/>
  <c r="J12" i="4" s="1"/>
  <c r="I12" i="4"/>
  <c r="M12" i="4"/>
  <c r="N12" i="4"/>
  <c r="P12" i="4"/>
  <c r="Q12" i="4"/>
  <c r="C13" i="4"/>
  <c r="D13" i="4"/>
  <c r="E13" i="4" s="1"/>
  <c r="S13" i="4" s="1"/>
  <c r="H13" i="4"/>
  <c r="I13" i="4"/>
  <c r="J13" i="4"/>
  <c r="M13" i="4"/>
  <c r="N13" i="4"/>
  <c r="O13" i="4"/>
  <c r="O44" i="4" s="1"/>
  <c r="P13" i="4"/>
  <c r="Q13" i="4"/>
  <c r="C14" i="4"/>
  <c r="D14" i="4"/>
  <c r="E14" i="4" s="1"/>
  <c r="S14" i="4" s="1"/>
  <c r="H14" i="4"/>
  <c r="I14" i="4"/>
  <c r="J14" i="4"/>
  <c r="M14" i="4"/>
  <c r="N14" i="4"/>
  <c r="O14" i="4"/>
  <c r="P14" i="4"/>
  <c r="Q14" i="4"/>
  <c r="C15" i="4"/>
  <c r="D15" i="4"/>
  <c r="E15" i="4" s="1"/>
  <c r="S15" i="4" s="1"/>
  <c r="H15" i="4"/>
  <c r="I15" i="4"/>
  <c r="J15" i="4"/>
  <c r="M15" i="4"/>
  <c r="N15" i="4"/>
  <c r="O15" i="4"/>
  <c r="P15" i="4"/>
  <c r="Q15" i="4"/>
  <c r="C16" i="4"/>
  <c r="D16" i="4"/>
  <c r="E16" i="4" s="1"/>
  <c r="S16" i="4" s="1"/>
  <c r="H16" i="4"/>
  <c r="I16" i="4"/>
  <c r="J16" i="4"/>
  <c r="M16" i="4"/>
  <c r="N16" i="4"/>
  <c r="O16" i="4"/>
  <c r="P16" i="4"/>
  <c r="Q16" i="4"/>
  <c r="C17" i="4"/>
  <c r="D17" i="4"/>
  <c r="E17" i="4" s="1"/>
  <c r="S17" i="4" s="1"/>
  <c r="H17" i="4"/>
  <c r="I17" i="4"/>
  <c r="J17" i="4"/>
  <c r="M17" i="4"/>
  <c r="N17" i="4"/>
  <c r="O17" i="4"/>
  <c r="P17" i="4"/>
  <c r="Q17" i="4"/>
  <c r="C18" i="4"/>
  <c r="D18" i="4"/>
  <c r="E18" i="4" s="1"/>
  <c r="S18" i="4" s="1"/>
  <c r="H18" i="4"/>
  <c r="I18" i="4"/>
  <c r="J18" i="4"/>
  <c r="M18" i="4"/>
  <c r="N18" i="4"/>
  <c r="O18" i="4"/>
  <c r="P18" i="4"/>
  <c r="Q18" i="4"/>
  <c r="C19" i="4"/>
  <c r="D19" i="4"/>
  <c r="E19" i="4" s="1"/>
  <c r="S19" i="4" s="1"/>
  <c r="H19" i="4"/>
  <c r="I19" i="4"/>
  <c r="J19" i="4"/>
  <c r="M19" i="4"/>
  <c r="N19" i="4"/>
  <c r="O19" i="4"/>
  <c r="P19" i="4"/>
  <c r="Q19" i="4"/>
  <c r="C20" i="4"/>
  <c r="D20" i="4"/>
  <c r="E20" i="4" s="1"/>
  <c r="S20" i="4" s="1"/>
  <c r="H20" i="4"/>
  <c r="I20" i="4"/>
  <c r="J20" i="4"/>
  <c r="M20" i="4"/>
  <c r="N20" i="4"/>
  <c r="O20" i="4"/>
  <c r="P20" i="4"/>
  <c r="Q20" i="4"/>
  <c r="C21" i="4"/>
  <c r="D21" i="4"/>
  <c r="E21" i="4" s="1"/>
  <c r="S21" i="4" s="1"/>
  <c r="H21" i="4"/>
  <c r="I21" i="4"/>
  <c r="J21" i="4"/>
  <c r="M21" i="4"/>
  <c r="N21" i="4"/>
  <c r="O21" i="4"/>
  <c r="P21" i="4"/>
  <c r="Q21" i="4"/>
  <c r="C22" i="4"/>
  <c r="D22" i="4"/>
  <c r="E22" i="4" s="1"/>
  <c r="S22" i="4" s="1"/>
  <c r="H22" i="4"/>
  <c r="I22" i="4"/>
  <c r="J22" i="4"/>
  <c r="M22" i="4"/>
  <c r="N22" i="4"/>
  <c r="O22" i="4"/>
  <c r="P22" i="4"/>
  <c r="Q22" i="4"/>
  <c r="C23" i="4"/>
  <c r="D23" i="4"/>
  <c r="E23" i="4" s="1"/>
  <c r="S23" i="4" s="1"/>
  <c r="H23" i="4"/>
  <c r="I23" i="4"/>
  <c r="J23" i="4"/>
  <c r="M23" i="4"/>
  <c r="N23" i="4"/>
  <c r="O23" i="4"/>
  <c r="P23" i="4"/>
  <c r="Q23" i="4"/>
  <c r="C24" i="4"/>
  <c r="D24" i="4"/>
  <c r="E24" i="4" s="1"/>
  <c r="S24" i="4" s="1"/>
  <c r="H24" i="4"/>
  <c r="I24" i="4"/>
  <c r="J24" i="4"/>
  <c r="M24" i="4"/>
  <c r="N24" i="4"/>
  <c r="O24" i="4"/>
  <c r="P24" i="4"/>
  <c r="Q24" i="4"/>
  <c r="C25" i="4"/>
  <c r="D25" i="4"/>
  <c r="E25" i="4" s="1"/>
  <c r="S25" i="4" s="1"/>
  <c r="H25" i="4"/>
  <c r="I25" i="4"/>
  <c r="J25" i="4"/>
  <c r="M25" i="4"/>
  <c r="N25" i="4"/>
  <c r="O25" i="4"/>
  <c r="P25" i="4"/>
  <c r="Q25" i="4"/>
  <c r="C26" i="4"/>
  <c r="D26" i="4"/>
  <c r="E26" i="4" s="1"/>
  <c r="S26" i="4" s="1"/>
  <c r="H26" i="4"/>
  <c r="I26" i="4"/>
  <c r="J26" i="4"/>
  <c r="M26" i="4"/>
  <c r="N26" i="4"/>
  <c r="O26" i="4"/>
  <c r="P26" i="4"/>
  <c r="Q26" i="4"/>
  <c r="C27" i="4"/>
  <c r="D27" i="4"/>
  <c r="E27" i="4" s="1"/>
  <c r="S27" i="4" s="1"/>
  <c r="H27" i="4"/>
  <c r="I27" i="4"/>
  <c r="J27" i="4"/>
  <c r="M27" i="4"/>
  <c r="N27" i="4"/>
  <c r="O27" i="4"/>
  <c r="P27" i="4"/>
  <c r="Q27" i="4"/>
  <c r="C28" i="4"/>
  <c r="D28" i="4"/>
  <c r="E28" i="4" s="1"/>
  <c r="S28" i="4" s="1"/>
  <c r="H28" i="4"/>
  <c r="I28" i="4"/>
  <c r="J28" i="4"/>
  <c r="M28" i="4"/>
  <c r="N28" i="4"/>
  <c r="O28" i="4"/>
  <c r="P28" i="4"/>
  <c r="Q28" i="4"/>
  <c r="C29" i="4"/>
  <c r="D29" i="4"/>
  <c r="E29" i="4" s="1"/>
  <c r="S29" i="4" s="1"/>
  <c r="H29" i="4"/>
  <c r="I29" i="4"/>
  <c r="J29" i="4"/>
  <c r="M29" i="4"/>
  <c r="N29" i="4"/>
  <c r="O29" i="4"/>
  <c r="P29" i="4"/>
  <c r="Q29" i="4"/>
  <c r="C30" i="4"/>
  <c r="D30" i="4"/>
  <c r="E30" i="4" s="1"/>
  <c r="S30" i="4" s="1"/>
  <c r="H30" i="4"/>
  <c r="I30" i="4"/>
  <c r="J30" i="4"/>
  <c r="M30" i="4"/>
  <c r="N30" i="4"/>
  <c r="O30" i="4"/>
  <c r="P30" i="4"/>
  <c r="Q30" i="4"/>
  <c r="C31" i="4"/>
  <c r="D31" i="4"/>
  <c r="E31" i="4" s="1"/>
  <c r="S31" i="4" s="1"/>
  <c r="H31" i="4"/>
  <c r="I31" i="4"/>
  <c r="J31" i="4"/>
  <c r="M31" i="4"/>
  <c r="N31" i="4"/>
  <c r="O31" i="4"/>
  <c r="P31" i="4"/>
  <c r="Q31" i="4"/>
  <c r="C32" i="4"/>
  <c r="D32" i="4"/>
  <c r="E32" i="4" s="1"/>
  <c r="S32" i="4" s="1"/>
  <c r="H32" i="4"/>
  <c r="I32" i="4"/>
  <c r="J32" i="4"/>
  <c r="M32" i="4"/>
  <c r="N32" i="4"/>
  <c r="O32" i="4"/>
  <c r="P32" i="4"/>
  <c r="Q32" i="4"/>
  <c r="C33" i="4"/>
  <c r="D33" i="4"/>
  <c r="E33" i="4" s="1"/>
  <c r="S33" i="4" s="1"/>
  <c r="H33" i="4"/>
  <c r="I33" i="4"/>
  <c r="J33" i="4"/>
  <c r="M33" i="4"/>
  <c r="N33" i="4"/>
  <c r="O33" i="4"/>
  <c r="P33" i="4"/>
  <c r="Q33" i="4"/>
  <c r="C34" i="4"/>
  <c r="D34" i="4"/>
  <c r="E34" i="4" s="1"/>
  <c r="S34" i="4" s="1"/>
  <c r="H34" i="4"/>
  <c r="I34" i="4"/>
  <c r="J34" i="4"/>
  <c r="M34" i="4"/>
  <c r="N34" i="4"/>
  <c r="O34" i="4"/>
  <c r="P34" i="4"/>
  <c r="Q34" i="4"/>
  <c r="C35" i="4"/>
  <c r="D35" i="4"/>
  <c r="E35" i="4" s="1"/>
  <c r="S35" i="4" s="1"/>
  <c r="H35" i="4"/>
  <c r="I35" i="4"/>
  <c r="J35" i="4"/>
  <c r="M35" i="4"/>
  <c r="N35" i="4"/>
  <c r="O35" i="4"/>
  <c r="P35" i="4"/>
  <c r="Q35" i="4"/>
  <c r="C36" i="4"/>
  <c r="E36" i="4"/>
  <c r="H36" i="4"/>
  <c r="J36" i="4" s="1"/>
  <c r="I36" i="4"/>
  <c r="M36" i="4"/>
  <c r="N36" i="4"/>
  <c r="O36" i="4"/>
  <c r="P36" i="4"/>
  <c r="Q36" i="4"/>
  <c r="H37" i="4"/>
  <c r="I37" i="4"/>
  <c r="J37" i="4"/>
  <c r="M37" i="4"/>
  <c r="Q37" i="4" s="1"/>
  <c r="N37" i="4"/>
  <c r="O37" i="4"/>
  <c r="P37" i="4"/>
  <c r="J38" i="4"/>
  <c r="M38" i="4"/>
  <c r="N38" i="4"/>
  <c r="O38" i="4"/>
  <c r="P38" i="4"/>
  <c r="Q38" i="4"/>
  <c r="S38" i="4" s="1"/>
  <c r="M39" i="4"/>
  <c r="N39" i="4"/>
  <c r="O39" i="4"/>
  <c r="P39" i="4"/>
  <c r="Q39" i="4"/>
  <c r="S39" i="4"/>
  <c r="M40" i="4"/>
  <c r="N40" i="4"/>
  <c r="O40" i="4"/>
  <c r="P40" i="4"/>
  <c r="Q40" i="4"/>
  <c r="S40" i="4" s="1"/>
  <c r="M41" i="4"/>
  <c r="N41" i="4"/>
  <c r="O41" i="4"/>
  <c r="P41" i="4"/>
  <c r="Q41" i="4"/>
  <c r="S41" i="4"/>
  <c r="D44" i="4"/>
  <c r="H44" i="4"/>
  <c r="I44" i="4"/>
  <c r="C48" i="4"/>
  <c r="C49" i="4"/>
  <c r="J49" i="4"/>
  <c r="E51" i="4"/>
  <c r="C50" i="4" s="1"/>
  <c r="S12" i="4" l="1"/>
  <c r="S36" i="4"/>
  <c r="S37" i="4"/>
  <c r="S10" i="4"/>
  <c r="S8" i="4"/>
  <c r="S46" i="4" s="1"/>
  <c r="J44" i="4"/>
  <c r="J46" i="4"/>
  <c r="E44" i="4"/>
  <c r="S7" i="4"/>
  <c r="C44" i="4"/>
  <c r="P44" i="4"/>
  <c r="Q8" i="4"/>
  <c r="E46" i="4"/>
  <c r="Q46" i="4" l="1"/>
  <c r="Q44" i="4"/>
  <c r="BD181" i="3" l="1"/>
  <c r="BD176" i="3"/>
  <c r="BD173" i="3"/>
  <c r="BD172" i="3"/>
  <c r="BD162" i="3"/>
  <c r="BE161" i="3"/>
  <c r="BD161" i="3"/>
  <c r="AL172" i="3"/>
  <c r="AL173" i="3"/>
  <c r="AL176" i="3"/>
  <c r="AU176" i="3"/>
  <c r="AU181" i="3"/>
  <c r="AL181" i="3"/>
  <c r="T181" i="3"/>
  <c r="AC181" i="3"/>
  <c r="AU162" i="3"/>
  <c r="AV161" i="3"/>
  <c r="AU161" i="3"/>
  <c r="AL162" i="3"/>
  <c r="AM161" i="3"/>
  <c r="AL161" i="3"/>
  <c r="AU156" i="3"/>
  <c r="AL156" i="3"/>
  <c r="T199" i="3"/>
  <c r="T176" i="3"/>
  <c r="T177" i="3"/>
  <c r="AC177" i="3"/>
  <c r="AC176" i="3"/>
  <c r="AC173" i="3"/>
  <c r="AC172" i="3"/>
  <c r="T173" i="3"/>
  <c r="T172" i="3"/>
  <c r="AC162" i="3"/>
  <c r="T162" i="3"/>
  <c r="T161" i="3"/>
  <c r="U161" i="3"/>
  <c r="AD161" i="3"/>
  <c r="AC161" i="3"/>
  <c r="AC156" i="3"/>
  <c r="T156" i="3"/>
  <c r="B177" i="3"/>
  <c r="K177" i="3"/>
  <c r="BD200" i="3"/>
  <c r="BD201" i="3"/>
  <c r="BD202" i="3"/>
  <c r="BD203" i="3"/>
  <c r="BD204" i="3"/>
  <c r="BD199" i="3"/>
  <c r="AL204" i="3"/>
  <c r="AL203" i="3"/>
  <c r="AL202" i="3"/>
  <c r="AL201" i="3"/>
  <c r="AL200" i="3"/>
  <c r="AL199" i="3"/>
  <c r="AC204" i="3"/>
  <c r="AC203" i="3"/>
  <c r="AC202" i="3"/>
  <c r="AC201" i="3"/>
  <c r="AC200" i="3"/>
  <c r="AC199" i="3"/>
  <c r="T204" i="3"/>
  <c r="T203" i="3"/>
  <c r="T202" i="3"/>
  <c r="T201" i="3"/>
  <c r="T200" i="3"/>
  <c r="K204" i="3"/>
  <c r="K203" i="3"/>
  <c r="K202" i="3"/>
  <c r="K201" i="3"/>
  <c r="K200" i="3"/>
  <c r="K199" i="3"/>
  <c r="B200" i="3"/>
  <c r="B201" i="3"/>
  <c r="B202" i="3"/>
  <c r="B203" i="3"/>
  <c r="B204" i="3"/>
  <c r="B199" i="3"/>
  <c r="K181" i="3"/>
  <c r="B181" i="3"/>
  <c r="K156" i="3"/>
  <c r="B156" i="3"/>
  <c r="K173" i="3"/>
  <c r="K172" i="3"/>
  <c r="K176" i="3"/>
  <c r="B176" i="3"/>
  <c r="B173" i="3"/>
  <c r="B172" i="3"/>
  <c r="L161" i="3"/>
  <c r="K161" i="3"/>
  <c r="C161" i="3"/>
  <c r="B162" i="3"/>
  <c r="B161" i="3"/>
  <c r="BU196" i="3"/>
  <c r="J196" i="3"/>
  <c r="B196" i="3"/>
  <c r="BD144" i="3"/>
  <c r="AU144" i="3"/>
  <c r="AL144" i="3"/>
  <c r="AC144" i="3"/>
  <c r="T144" i="3"/>
  <c r="K144" i="3"/>
  <c r="B144" i="3"/>
  <c r="BR134" i="3"/>
  <c r="BQ134" i="3"/>
  <c r="BP134" i="3"/>
  <c r="BN134" i="3"/>
  <c r="BI134" i="3"/>
  <c r="BH134" i="3"/>
  <c r="BG134" i="3"/>
  <c r="BF134" i="3"/>
  <c r="BE134" i="3"/>
  <c r="BD134" i="3"/>
  <c r="AZ134" i="3"/>
  <c r="AY134" i="3"/>
  <c r="AX134" i="3"/>
  <c r="AW134" i="3"/>
  <c r="AV134" i="3"/>
  <c r="AU134" i="3"/>
  <c r="AQ134" i="3"/>
  <c r="AP134" i="3"/>
  <c r="AO134" i="3"/>
  <c r="AN134" i="3"/>
  <c r="AM134" i="3"/>
  <c r="AL134" i="3"/>
  <c r="AH134" i="3"/>
  <c r="AG134" i="3"/>
  <c r="AF134" i="3"/>
  <c r="AE134" i="3"/>
  <c r="AD134" i="3"/>
  <c r="AC134" i="3"/>
  <c r="Y134" i="3"/>
  <c r="X134" i="3"/>
  <c r="W134" i="3"/>
  <c r="V134" i="3"/>
  <c r="U134" i="3"/>
  <c r="T134" i="3"/>
  <c r="P134" i="3"/>
  <c r="O134" i="3"/>
  <c r="N134" i="3"/>
  <c r="M134" i="3"/>
  <c r="L134" i="3"/>
  <c r="K134" i="3"/>
  <c r="C134" i="3"/>
  <c r="E134" i="3"/>
  <c r="F134" i="3"/>
  <c r="G134" i="3"/>
  <c r="B134" i="3"/>
  <c r="BF120" i="3"/>
  <c r="BD119" i="3"/>
  <c r="BD118" i="3"/>
  <c r="BD117" i="3"/>
  <c r="AV118" i="3"/>
  <c r="AU118" i="3"/>
  <c r="AL129" i="3"/>
  <c r="AL128" i="3"/>
  <c r="AM127" i="3"/>
  <c r="AM126" i="3"/>
  <c r="AM125" i="3"/>
  <c r="AN120" i="3"/>
  <c r="AL119" i="3"/>
  <c r="AN118" i="3"/>
  <c r="AM118" i="3"/>
  <c r="AL118" i="3"/>
  <c r="AL117" i="3"/>
  <c r="AC129" i="3"/>
  <c r="AC128" i="3"/>
  <c r="AD127" i="3"/>
  <c r="AD125" i="3"/>
  <c r="AD124" i="3"/>
  <c r="AD123" i="3"/>
  <c r="AE120" i="3"/>
  <c r="AC119" i="3"/>
  <c r="AE118" i="3"/>
  <c r="AD118" i="3"/>
  <c r="AC118" i="3"/>
  <c r="AC117" i="3"/>
  <c r="T129" i="3"/>
  <c r="T128" i="3"/>
  <c r="U127" i="3"/>
  <c r="U126" i="3"/>
  <c r="U125" i="3"/>
  <c r="U124" i="3"/>
  <c r="U123" i="3"/>
  <c r="V120" i="3"/>
  <c r="T119" i="3"/>
  <c r="V118" i="3"/>
  <c r="U118" i="3"/>
  <c r="T118" i="3"/>
  <c r="T117" i="3"/>
  <c r="B128" i="3"/>
  <c r="C123" i="3"/>
  <c r="K128" i="3"/>
  <c r="L127" i="3"/>
  <c r="L125" i="3"/>
  <c r="L123" i="3"/>
  <c r="M120" i="3"/>
  <c r="K119" i="3"/>
  <c r="M118" i="3"/>
  <c r="L118" i="3"/>
  <c r="K118" i="3"/>
  <c r="K117" i="3"/>
  <c r="B119" i="3"/>
  <c r="D118" i="3"/>
  <c r="C118" i="3"/>
  <c r="B118" i="3"/>
  <c r="B117" i="3"/>
  <c r="BD116" i="3"/>
  <c r="AL116" i="3"/>
  <c r="AC116" i="3"/>
  <c r="T116" i="3"/>
  <c r="K116" i="3"/>
  <c r="B116" i="3"/>
  <c r="BM116" i="3"/>
  <c r="BM114" i="3"/>
  <c r="BE115" i="3"/>
  <c r="BD114" i="3"/>
  <c r="AV115" i="3"/>
  <c r="AM115" i="3"/>
  <c r="AL114" i="3"/>
  <c r="AD115" i="3"/>
  <c r="AC114" i="3"/>
  <c r="AK114" i="3"/>
  <c r="U115" i="3"/>
  <c r="T114" i="3"/>
  <c r="L115" i="3"/>
  <c r="K114" i="3"/>
  <c r="C115" i="3"/>
  <c r="B114" i="3"/>
  <c r="J114" i="3"/>
  <c r="BM113" i="3"/>
  <c r="BM112" i="3"/>
  <c r="BM111" i="3"/>
  <c r="BM110" i="3"/>
  <c r="BM109" i="3"/>
  <c r="BM108" i="3"/>
  <c r="BM107" i="3"/>
  <c r="BD113" i="3"/>
  <c r="BD112" i="3"/>
  <c r="BD111" i="3"/>
  <c r="BD110" i="3"/>
  <c r="BD109" i="3"/>
  <c r="BD108" i="3"/>
  <c r="BD107" i="3"/>
  <c r="AU113" i="3"/>
  <c r="AU112" i="3"/>
  <c r="AU111" i="3"/>
  <c r="AU110" i="3"/>
  <c r="AU109" i="3"/>
  <c r="AU108" i="3"/>
  <c r="AU107" i="3"/>
  <c r="AL113" i="3"/>
  <c r="AL112" i="3"/>
  <c r="AL111" i="3"/>
  <c r="AL110" i="3"/>
  <c r="AL109" i="3"/>
  <c r="AL108" i="3"/>
  <c r="AL107" i="3"/>
  <c r="AC113" i="3"/>
  <c r="AC112" i="3"/>
  <c r="AC111" i="3"/>
  <c r="AC110" i="3"/>
  <c r="AC109" i="3"/>
  <c r="AC108" i="3"/>
  <c r="AC107" i="3"/>
  <c r="T113" i="3"/>
  <c r="T112" i="3"/>
  <c r="T111" i="3"/>
  <c r="T110" i="3"/>
  <c r="T109" i="3"/>
  <c r="T108" i="3"/>
  <c r="T107" i="3"/>
  <c r="K113" i="3"/>
  <c r="K112" i="3"/>
  <c r="K111" i="3"/>
  <c r="K110" i="3"/>
  <c r="K109" i="3"/>
  <c r="K108" i="3"/>
  <c r="K107" i="3"/>
  <c r="B108" i="3"/>
  <c r="B109" i="3"/>
  <c r="B110" i="3"/>
  <c r="B111" i="3"/>
  <c r="B112" i="3"/>
  <c r="B113" i="3"/>
  <c r="B107" i="3"/>
  <c r="BE79" i="3"/>
  <c r="AV79" i="3"/>
  <c r="AM79" i="3"/>
  <c r="AD79" i="3"/>
  <c r="U79" i="3"/>
  <c r="L79" i="3"/>
  <c r="C79" i="3"/>
  <c r="BE82" i="3"/>
  <c r="AV82" i="3"/>
  <c r="AM82" i="3"/>
  <c r="AD82" i="3"/>
  <c r="U82" i="3"/>
  <c r="L82" i="3"/>
  <c r="C82" i="3"/>
  <c r="CD27" i="3"/>
  <c r="BU28" i="3"/>
  <c r="BU27" i="3"/>
  <c r="BL28" i="3"/>
  <c r="BL27" i="3"/>
  <c r="BC28" i="3"/>
  <c r="BC27" i="3"/>
  <c r="AT28" i="3"/>
  <c r="AT27" i="3"/>
  <c r="AK28" i="3"/>
  <c r="AK27" i="3"/>
  <c r="AB28" i="3"/>
  <c r="AB27" i="3"/>
  <c r="S28" i="3"/>
  <c r="S27" i="3"/>
  <c r="J28" i="3"/>
  <c r="J27" i="3"/>
  <c r="CD5" i="3"/>
  <c r="CD6" i="3"/>
  <c r="CD7" i="3"/>
  <c r="CD17" i="3" s="1"/>
  <c r="CD8" i="3"/>
  <c r="CD9" i="3"/>
  <c r="CD10" i="3"/>
  <c r="CD11" i="3"/>
  <c r="CD12" i="3"/>
  <c r="CD13" i="3"/>
  <c r="CD14" i="3"/>
  <c r="CD15" i="3"/>
  <c r="CD16" i="3"/>
  <c r="CD4" i="3"/>
  <c r="BL9" i="3"/>
  <c r="BL17" i="3" s="1"/>
  <c r="BC17" i="3"/>
  <c r="BL8" i="3"/>
  <c r="BL7" i="3"/>
  <c r="BL6" i="3"/>
  <c r="BL5" i="3"/>
  <c r="BL4" i="3"/>
  <c r="BD9" i="3"/>
  <c r="BD8" i="3"/>
  <c r="BD7" i="3"/>
  <c r="BD6" i="3"/>
  <c r="BD5" i="3"/>
  <c r="BD4" i="3"/>
  <c r="AL16" i="3"/>
  <c r="AL15" i="3"/>
  <c r="AL14" i="3"/>
  <c r="AL13" i="3"/>
  <c r="AL12" i="3"/>
  <c r="AL11" i="3"/>
  <c r="AL10" i="3"/>
  <c r="AT9" i="3"/>
  <c r="AT8" i="3"/>
  <c r="AT6" i="3"/>
  <c r="AT5" i="3"/>
  <c r="AL9" i="3"/>
  <c r="AL8" i="3"/>
  <c r="AT7" i="3"/>
  <c r="AT4" i="3"/>
  <c r="AK17" i="3"/>
  <c r="AC16" i="3"/>
  <c r="AK11" i="3"/>
  <c r="AK12" i="3"/>
  <c r="AK13" i="3"/>
  <c r="AK14" i="3"/>
  <c r="AK15" i="3"/>
  <c r="AK10" i="3"/>
  <c r="AK9" i="3"/>
  <c r="AK8" i="3"/>
  <c r="AK7" i="3"/>
  <c r="AK6" i="3"/>
  <c r="AK5" i="3"/>
  <c r="AK4" i="3"/>
  <c r="AC15" i="3"/>
  <c r="AC14" i="3"/>
  <c r="AC11" i="3"/>
  <c r="AC12" i="3"/>
  <c r="AC13" i="3"/>
  <c r="AC10" i="3"/>
  <c r="AC9" i="3"/>
  <c r="AC8" i="3"/>
  <c r="AC7" i="3"/>
  <c r="AC6" i="3"/>
  <c r="AC5" i="3"/>
  <c r="AC4" i="3"/>
  <c r="S9" i="3"/>
  <c r="J17" i="3"/>
  <c r="S17" i="3"/>
  <c r="AB17" i="3"/>
  <c r="AB11" i="3"/>
  <c r="AB12" i="3"/>
  <c r="AB10" i="3"/>
  <c r="AB9" i="3"/>
  <c r="AB6" i="3"/>
  <c r="AB7" i="3"/>
  <c r="AB8" i="3"/>
  <c r="AB5" i="3"/>
  <c r="AB4" i="3"/>
  <c r="T11" i="3"/>
  <c r="T12" i="3"/>
  <c r="T10" i="3"/>
  <c r="B9" i="3"/>
  <c r="K9" i="3"/>
  <c r="T9" i="3"/>
  <c r="T7" i="3"/>
  <c r="T8" i="3"/>
  <c r="S11" i="3"/>
  <c r="S12" i="3"/>
  <c r="S10" i="3"/>
  <c r="S8" i="3"/>
  <c r="S7" i="3"/>
  <c r="S6" i="3"/>
  <c r="S5" i="3"/>
  <c r="S4" i="3"/>
  <c r="K11" i="3"/>
  <c r="K12" i="3"/>
  <c r="K10" i="3"/>
  <c r="K8" i="3"/>
  <c r="K7" i="3"/>
  <c r="K6" i="3"/>
  <c r="J6" i="3"/>
  <c r="J7" i="3"/>
  <c r="J8" i="3"/>
  <c r="J5" i="3"/>
  <c r="J4" i="3"/>
  <c r="B8" i="3"/>
  <c r="AU16" i="3"/>
  <c r="AU15" i="3"/>
  <c r="AU14" i="3"/>
  <c r="AU13" i="3"/>
  <c r="AU12" i="3"/>
  <c r="AU11" i="3"/>
  <c r="AU10" i="3"/>
  <c r="B7" i="3" l="1"/>
  <c r="B5" i="3"/>
  <c r="CC222" i="3" l="1"/>
  <c r="CB222" i="3"/>
  <c r="CA222" i="3"/>
  <c r="BZ222" i="3"/>
  <c r="BY222" i="3"/>
  <c r="BX222" i="3"/>
  <c r="BW222" i="3"/>
  <c r="BV222" i="3"/>
  <c r="BT222" i="3"/>
  <c r="BS222" i="3"/>
  <c r="BR222" i="3"/>
  <c r="BQ222" i="3"/>
  <c r="BP222" i="3"/>
  <c r="BO222" i="3"/>
  <c r="BN222" i="3"/>
  <c r="BM222" i="3"/>
  <c r="BK222" i="3"/>
  <c r="BJ222" i="3"/>
  <c r="BI222" i="3"/>
  <c r="BH222" i="3"/>
  <c r="BG222" i="3"/>
  <c r="BF222" i="3"/>
  <c r="BE222" i="3"/>
  <c r="BD222" i="3"/>
  <c r="BB222" i="3"/>
  <c r="BA222" i="3"/>
  <c r="AZ222" i="3"/>
  <c r="AY222" i="3"/>
  <c r="AX222" i="3"/>
  <c r="AW222" i="3"/>
  <c r="AV222" i="3"/>
  <c r="AU222" i="3"/>
  <c r="AS222" i="3"/>
  <c r="AR222" i="3"/>
  <c r="AQ222" i="3"/>
  <c r="AP222" i="3"/>
  <c r="AO222" i="3"/>
  <c r="AN222" i="3"/>
  <c r="AM222" i="3"/>
  <c r="AL222" i="3"/>
  <c r="AJ222" i="3"/>
  <c r="AI222" i="3"/>
  <c r="AH222" i="3"/>
  <c r="AG222" i="3"/>
  <c r="AF222" i="3"/>
  <c r="AE222" i="3"/>
  <c r="AD222" i="3"/>
  <c r="AC222" i="3"/>
  <c r="AA222" i="3"/>
  <c r="Z222" i="3"/>
  <c r="Y222" i="3"/>
  <c r="X222" i="3"/>
  <c r="W222" i="3"/>
  <c r="V222" i="3"/>
  <c r="U222" i="3"/>
  <c r="T222" i="3"/>
  <c r="R222" i="3"/>
  <c r="Q222" i="3"/>
  <c r="P222" i="3"/>
  <c r="O222" i="3"/>
  <c r="N222" i="3"/>
  <c r="M222" i="3"/>
  <c r="L222" i="3"/>
  <c r="K222" i="3"/>
  <c r="I222" i="3"/>
  <c r="H222" i="3"/>
  <c r="G222" i="3"/>
  <c r="F222" i="3"/>
  <c r="E222" i="3"/>
  <c r="D222" i="3"/>
  <c r="C222" i="3"/>
  <c r="B222" i="3"/>
  <c r="A222" i="3"/>
  <c r="CC218" i="3"/>
  <c r="BT218" i="3"/>
  <c r="BK218" i="3"/>
  <c r="BB218" i="3"/>
  <c r="AS218" i="3"/>
  <c r="AJ218" i="3"/>
  <c r="AA218" i="3"/>
  <c r="R218" i="3"/>
  <c r="I218" i="3"/>
  <c r="CA217" i="3"/>
  <c r="BZ217" i="3"/>
  <c r="BY217" i="3"/>
  <c r="BX217" i="3"/>
  <c r="BW217" i="3"/>
  <c r="CC217" i="3" s="1"/>
  <c r="BV217" i="3"/>
  <c r="BT217" i="3"/>
  <c r="BK217" i="3"/>
  <c r="BB217" i="3"/>
  <c r="AS217" i="3"/>
  <c r="AJ217" i="3"/>
  <c r="AA217" i="3"/>
  <c r="R217" i="3"/>
  <c r="I217" i="3"/>
  <c r="CA216" i="3"/>
  <c r="BZ216" i="3"/>
  <c r="BY216" i="3"/>
  <c r="BX216" i="3"/>
  <c r="BW216" i="3"/>
  <c r="BT216" i="3"/>
  <c r="BK216" i="3"/>
  <c r="BB216" i="3"/>
  <c r="AS216" i="3"/>
  <c r="AJ216" i="3"/>
  <c r="AA216" i="3"/>
  <c r="R216" i="3"/>
  <c r="I216" i="3"/>
  <c r="B216" i="3"/>
  <c r="BV216" i="3" s="1"/>
  <c r="CC216" i="3" s="1"/>
  <c r="CA215" i="3"/>
  <c r="BZ215" i="3"/>
  <c r="BY215" i="3"/>
  <c r="BX215" i="3"/>
  <c r="BW215" i="3"/>
  <c r="BV215" i="3"/>
  <c r="CC215" i="3" s="1"/>
  <c r="BT215" i="3"/>
  <c r="BK215" i="3"/>
  <c r="BB215" i="3"/>
  <c r="AS215" i="3"/>
  <c r="AJ215" i="3"/>
  <c r="AA215" i="3"/>
  <c r="R215" i="3"/>
  <c r="I215" i="3"/>
  <c r="CA214" i="3"/>
  <c r="BZ214" i="3"/>
  <c r="BY214" i="3"/>
  <c r="BX214" i="3"/>
  <c r="BW214" i="3"/>
  <c r="BV214" i="3"/>
  <c r="CC214" i="3" s="1"/>
  <c r="BT214" i="3"/>
  <c r="BK214" i="3"/>
  <c r="BB214" i="3"/>
  <c r="AS214" i="3"/>
  <c r="AJ214" i="3"/>
  <c r="AA214" i="3"/>
  <c r="R214" i="3"/>
  <c r="I214" i="3"/>
  <c r="CA213" i="3"/>
  <c r="BZ213" i="3"/>
  <c r="BY213" i="3"/>
  <c r="BX213" i="3"/>
  <c r="BW213" i="3"/>
  <c r="BT213" i="3"/>
  <c r="BB213" i="3"/>
  <c r="AS213" i="3"/>
  <c r="AJ213" i="3"/>
  <c r="AA213" i="3"/>
  <c r="R213" i="3"/>
  <c r="I213" i="3"/>
  <c r="CB209" i="3"/>
  <c r="BW209" i="3"/>
  <c r="BT209" i="3"/>
  <c r="BS209" i="3"/>
  <c r="BR209" i="3"/>
  <c r="BQ209" i="3"/>
  <c r="BP209" i="3"/>
  <c r="BO209" i="3"/>
  <c r="BN209" i="3"/>
  <c r="BM209" i="3"/>
  <c r="BJ209" i="3"/>
  <c r="BI209" i="3"/>
  <c r="BH209" i="3"/>
  <c r="BG209" i="3"/>
  <c r="BF209" i="3"/>
  <c r="BE209" i="3"/>
  <c r="BA209" i="3"/>
  <c r="AZ209" i="3"/>
  <c r="AY209" i="3"/>
  <c r="AX209" i="3"/>
  <c r="AW209" i="3"/>
  <c r="AV209" i="3"/>
  <c r="AU209" i="3"/>
  <c r="AR209" i="3"/>
  <c r="AQ209" i="3"/>
  <c r="AP209" i="3"/>
  <c r="AO209" i="3"/>
  <c r="AN209" i="3"/>
  <c r="AM209" i="3"/>
  <c r="AI209" i="3"/>
  <c r="AH209" i="3"/>
  <c r="AG209" i="3"/>
  <c r="AF209" i="3"/>
  <c r="AE209" i="3"/>
  <c r="AD209" i="3"/>
  <c r="Z209" i="3"/>
  <c r="Y209" i="3"/>
  <c r="X209" i="3"/>
  <c r="W209" i="3"/>
  <c r="V209" i="3"/>
  <c r="U209" i="3"/>
  <c r="Q209" i="3"/>
  <c r="P209" i="3"/>
  <c r="O209" i="3"/>
  <c r="N209" i="3"/>
  <c r="M209" i="3"/>
  <c r="L209" i="3"/>
  <c r="H209" i="3"/>
  <c r="G209" i="3"/>
  <c r="F209" i="3"/>
  <c r="E209" i="3"/>
  <c r="D209" i="3"/>
  <c r="C209" i="3"/>
  <c r="CA208" i="3"/>
  <c r="BZ208" i="3"/>
  <c r="BY208" i="3"/>
  <c r="BX208" i="3"/>
  <c r="BW208" i="3"/>
  <c r="BV208" i="3"/>
  <c r="CC208" i="3" s="1"/>
  <c r="D208" i="10" s="1"/>
  <c r="BT208" i="3"/>
  <c r="BK208" i="3"/>
  <c r="D208" i="11" s="1"/>
  <c r="BB208" i="3"/>
  <c r="AS208" i="3"/>
  <c r="AJ208" i="3"/>
  <c r="AA208" i="3"/>
  <c r="R208" i="3"/>
  <c r="I208" i="3"/>
  <c r="CA207" i="3"/>
  <c r="BZ207" i="3"/>
  <c r="BY207" i="3"/>
  <c r="BX207" i="3"/>
  <c r="BW207" i="3"/>
  <c r="BT207" i="3"/>
  <c r="BK207" i="3"/>
  <c r="D207" i="11" s="1"/>
  <c r="D209" i="11" s="1"/>
  <c r="BB207" i="3"/>
  <c r="AS207" i="3"/>
  <c r="AJ207" i="3"/>
  <c r="AA207" i="3"/>
  <c r="R207" i="3"/>
  <c r="BV207" i="3"/>
  <c r="CC207" i="3" s="1"/>
  <c r="D207" i="10" s="1"/>
  <c r="CA206" i="3"/>
  <c r="BZ206" i="3"/>
  <c r="BY206" i="3"/>
  <c r="BX206" i="3"/>
  <c r="BW206" i="3"/>
  <c r="BV206" i="3"/>
  <c r="BT206" i="3"/>
  <c r="BK206" i="3"/>
  <c r="BB206" i="3"/>
  <c r="AS206" i="3"/>
  <c r="AJ206" i="3"/>
  <c r="AA206" i="3"/>
  <c r="R206" i="3"/>
  <c r="I206" i="3"/>
  <c r="CA205" i="3"/>
  <c r="BZ205" i="3"/>
  <c r="BY205" i="3"/>
  <c r="BX205" i="3"/>
  <c r="BW205" i="3"/>
  <c r="BV205" i="3"/>
  <c r="BT205" i="3"/>
  <c r="BK205" i="3"/>
  <c r="BB205" i="3"/>
  <c r="AS205" i="3"/>
  <c r="AJ205" i="3"/>
  <c r="AA205" i="3"/>
  <c r="R205" i="3"/>
  <c r="I205" i="3"/>
  <c r="CA204" i="3"/>
  <c r="BZ204" i="3"/>
  <c r="BY204" i="3"/>
  <c r="BX204" i="3"/>
  <c r="BW204" i="3"/>
  <c r="BT204" i="3"/>
  <c r="BK204" i="3"/>
  <c r="BB204" i="3"/>
  <c r="AS204" i="3"/>
  <c r="AL209" i="3"/>
  <c r="AJ204" i="3"/>
  <c r="AA204" i="3"/>
  <c r="R204" i="3"/>
  <c r="I204" i="3"/>
  <c r="B209" i="3"/>
  <c r="CA203" i="3"/>
  <c r="BZ203" i="3"/>
  <c r="BY203" i="3"/>
  <c r="BX203" i="3"/>
  <c r="BW203" i="3"/>
  <c r="BV203" i="3"/>
  <c r="CC203" i="3" s="1"/>
  <c r="BT203" i="3"/>
  <c r="BK203" i="3"/>
  <c r="BB203" i="3"/>
  <c r="AS203" i="3"/>
  <c r="AJ203" i="3"/>
  <c r="AC209" i="3"/>
  <c r="AA203" i="3"/>
  <c r="R203" i="3"/>
  <c r="I203" i="3"/>
  <c r="CA202" i="3"/>
  <c r="BZ202" i="3"/>
  <c r="BY202" i="3"/>
  <c r="BX202" i="3"/>
  <c r="BW202" i="3"/>
  <c r="BV202" i="3"/>
  <c r="BT202" i="3"/>
  <c r="BK202" i="3"/>
  <c r="BB202" i="3"/>
  <c r="AS202" i="3"/>
  <c r="AJ202" i="3"/>
  <c r="AA202" i="3"/>
  <c r="R202" i="3"/>
  <c r="I202" i="3"/>
  <c r="CA201" i="3"/>
  <c r="BZ201" i="3"/>
  <c r="BY201" i="3"/>
  <c r="BX201" i="3"/>
  <c r="BW201" i="3"/>
  <c r="BV201" i="3"/>
  <c r="CC201" i="3" s="1"/>
  <c r="BT201" i="3"/>
  <c r="BK201" i="3"/>
  <c r="BB201" i="3"/>
  <c r="AS201" i="3"/>
  <c r="AJ201" i="3"/>
  <c r="AA201" i="3"/>
  <c r="R201" i="3"/>
  <c r="I201" i="3"/>
  <c r="CA200" i="3"/>
  <c r="BZ200" i="3"/>
  <c r="BY200" i="3"/>
  <c r="BX200" i="3"/>
  <c r="BW200" i="3"/>
  <c r="BV200" i="3"/>
  <c r="BT200" i="3"/>
  <c r="BD209" i="3"/>
  <c r="BB200" i="3"/>
  <c r="AS200" i="3"/>
  <c r="AJ200" i="3"/>
  <c r="AA200" i="3"/>
  <c r="R200" i="3"/>
  <c r="I200" i="3"/>
  <c r="CA199" i="3"/>
  <c r="CA209" i="3" s="1"/>
  <c r="BZ199" i="3"/>
  <c r="BZ209" i="3" s="1"/>
  <c r="BY199" i="3"/>
  <c r="BX199" i="3"/>
  <c r="BX209" i="3" s="1"/>
  <c r="BW199" i="3"/>
  <c r="BV199" i="3"/>
  <c r="BT199" i="3"/>
  <c r="BK199" i="3"/>
  <c r="BB199" i="3"/>
  <c r="AS199" i="3"/>
  <c r="AJ199" i="3"/>
  <c r="AA199" i="3"/>
  <c r="R199" i="3"/>
  <c r="I199" i="3"/>
  <c r="CC198" i="3"/>
  <c r="CB198" i="3"/>
  <c r="CA198" i="3"/>
  <c r="BZ198" i="3"/>
  <c r="BY198" i="3"/>
  <c r="BX198" i="3"/>
  <c r="BW198" i="3"/>
  <c r="BV198" i="3"/>
  <c r="BT198" i="3"/>
  <c r="BS198" i="3"/>
  <c r="BR198" i="3"/>
  <c r="BQ198" i="3"/>
  <c r="BP198" i="3"/>
  <c r="BO198" i="3"/>
  <c r="BN198" i="3"/>
  <c r="BM198" i="3"/>
  <c r="BK198" i="3"/>
  <c r="BJ198" i="3"/>
  <c r="BI198" i="3"/>
  <c r="BH198" i="3"/>
  <c r="BG198" i="3"/>
  <c r="BF198" i="3"/>
  <c r="BE198" i="3"/>
  <c r="BD198" i="3"/>
  <c r="BB198" i="3"/>
  <c r="BA198" i="3"/>
  <c r="AZ198" i="3"/>
  <c r="AY198" i="3"/>
  <c r="AX198" i="3"/>
  <c r="AW198" i="3"/>
  <c r="AV198" i="3"/>
  <c r="AU198" i="3"/>
  <c r="AS198" i="3"/>
  <c r="AR198" i="3"/>
  <c r="AQ198" i="3"/>
  <c r="AP198" i="3"/>
  <c r="AO198" i="3"/>
  <c r="AN198" i="3"/>
  <c r="AM198" i="3"/>
  <c r="AL198" i="3"/>
  <c r="AJ198" i="3"/>
  <c r="AI198" i="3"/>
  <c r="AH198" i="3"/>
  <c r="AG198" i="3"/>
  <c r="AF198" i="3"/>
  <c r="AE198" i="3"/>
  <c r="AD198" i="3"/>
  <c r="AC198" i="3"/>
  <c r="AA198" i="3"/>
  <c r="Z198" i="3"/>
  <c r="Y198" i="3"/>
  <c r="X198" i="3"/>
  <c r="W198" i="3"/>
  <c r="V198" i="3"/>
  <c r="U198" i="3"/>
  <c r="T198" i="3"/>
  <c r="R198" i="3"/>
  <c r="Q198" i="3"/>
  <c r="P198" i="3"/>
  <c r="O198" i="3"/>
  <c r="N198" i="3"/>
  <c r="M198" i="3"/>
  <c r="L198" i="3"/>
  <c r="K198" i="3"/>
  <c r="I198" i="3"/>
  <c r="H198" i="3"/>
  <c r="G198" i="3"/>
  <c r="F198" i="3"/>
  <c r="E198" i="3"/>
  <c r="D198" i="3"/>
  <c r="C198" i="3"/>
  <c r="B198" i="3"/>
  <c r="CB197" i="3"/>
  <c r="BS197" i="3"/>
  <c r="BR197" i="3"/>
  <c r="BQ197" i="3"/>
  <c r="BP197" i="3"/>
  <c r="BN197" i="3"/>
  <c r="BM197" i="3"/>
  <c r="BJ197" i="3"/>
  <c r="BI197" i="3"/>
  <c r="BH197" i="3"/>
  <c r="BG197" i="3"/>
  <c r="BE197" i="3"/>
  <c r="BA197" i="3"/>
  <c r="AZ197" i="3"/>
  <c r="AY197" i="3"/>
  <c r="AX197" i="3"/>
  <c r="AV197" i="3"/>
  <c r="AR197" i="3"/>
  <c r="AQ197" i="3"/>
  <c r="AP197" i="3"/>
  <c r="AO197" i="3"/>
  <c r="AM197" i="3"/>
  <c r="AI197" i="3"/>
  <c r="AH197" i="3"/>
  <c r="AG197" i="3"/>
  <c r="AF197" i="3"/>
  <c r="AD197" i="3"/>
  <c r="Z197" i="3"/>
  <c r="Y197" i="3"/>
  <c r="X197" i="3"/>
  <c r="W197" i="3"/>
  <c r="U197" i="3"/>
  <c r="Q197" i="3"/>
  <c r="P197" i="3"/>
  <c r="O197" i="3"/>
  <c r="N197" i="3"/>
  <c r="L197" i="3"/>
  <c r="H197" i="3"/>
  <c r="G197" i="3"/>
  <c r="F197" i="3"/>
  <c r="E197" i="3"/>
  <c r="C197" i="3"/>
  <c r="CA196" i="3"/>
  <c r="BZ196" i="3"/>
  <c r="BY196" i="3"/>
  <c r="BX196" i="3"/>
  <c r="BW196" i="3"/>
  <c r="BT196" i="3"/>
  <c r="BK196" i="3"/>
  <c r="CA195" i="3"/>
  <c r="BZ195" i="3"/>
  <c r="BY195" i="3"/>
  <c r="BX195" i="3"/>
  <c r="BW195" i="3"/>
  <c r="BV195" i="3"/>
  <c r="CC195" i="3" s="1"/>
  <c r="BT195" i="3"/>
  <c r="BK195" i="3"/>
  <c r="BB195" i="3"/>
  <c r="AS195" i="3"/>
  <c r="AJ195" i="3"/>
  <c r="AA195" i="3"/>
  <c r="R195" i="3"/>
  <c r="I195" i="3"/>
  <c r="CA194" i="3"/>
  <c r="BZ194" i="3"/>
  <c r="BY194" i="3"/>
  <c r="BX194" i="3"/>
  <c r="BW194" i="3"/>
  <c r="BV194" i="3"/>
  <c r="CC194" i="3" s="1"/>
  <c r="BK194" i="3"/>
  <c r="AS194" i="3"/>
  <c r="AJ194" i="3"/>
  <c r="AA194" i="3"/>
  <c r="R194" i="3"/>
  <c r="I194" i="3"/>
  <c r="CA193" i="3"/>
  <c r="BZ193" i="3"/>
  <c r="BY193" i="3"/>
  <c r="BX193" i="3"/>
  <c r="BW193" i="3"/>
  <c r="BV193" i="3"/>
  <c r="BT193" i="3"/>
  <c r="BK193" i="3"/>
  <c r="BB193" i="3"/>
  <c r="AS193" i="3"/>
  <c r="AJ193" i="3"/>
  <c r="AA193" i="3"/>
  <c r="R193" i="3"/>
  <c r="I193" i="3"/>
  <c r="CA192" i="3"/>
  <c r="BZ192" i="3"/>
  <c r="BY192" i="3"/>
  <c r="BX192" i="3"/>
  <c r="BW192" i="3"/>
  <c r="BV192" i="3"/>
  <c r="BT192" i="3"/>
  <c r="BK192" i="3"/>
  <c r="BB192" i="3"/>
  <c r="AS192" i="3"/>
  <c r="AJ192" i="3"/>
  <c r="AA192" i="3"/>
  <c r="R192" i="3"/>
  <c r="I192" i="3"/>
  <c r="CA191" i="3"/>
  <c r="BZ191" i="3"/>
  <c r="BY191" i="3"/>
  <c r="BX191" i="3"/>
  <c r="BW191" i="3"/>
  <c r="BT191" i="3"/>
  <c r="BK191" i="3"/>
  <c r="BB191" i="3"/>
  <c r="AS191" i="3"/>
  <c r="BV191" i="3"/>
  <c r="CC191" i="3" s="1"/>
  <c r="D191" i="10" s="1"/>
  <c r="AJ191" i="3"/>
  <c r="AA191" i="3"/>
  <c r="R191" i="3"/>
  <c r="I191" i="3"/>
  <c r="CA190" i="3"/>
  <c r="BZ190" i="3"/>
  <c r="BY190" i="3"/>
  <c r="BX190" i="3"/>
  <c r="BW190" i="3"/>
  <c r="BV190" i="3"/>
  <c r="CC190" i="3" s="1"/>
  <c r="BT190" i="3"/>
  <c r="BK190" i="3"/>
  <c r="BB190" i="3"/>
  <c r="AS190" i="3"/>
  <c r="AJ190" i="3"/>
  <c r="AA190" i="3"/>
  <c r="R190" i="3"/>
  <c r="I190" i="3"/>
  <c r="CA189" i="3"/>
  <c r="BZ189" i="3"/>
  <c r="BY189" i="3"/>
  <c r="BX189" i="3"/>
  <c r="BW189" i="3"/>
  <c r="BV189" i="3"/>
  <c r="BT189" i="3"/>
  <c r="BK189" i="3"/>
  <c r="BB189" i="3"/>
  <c r="AS189" i="3"/>
  <c r="AJ189" i="3"/>
  <c r="AA189" i="3"/>
  <c r="R189" i="3"/>
  <c r="I189" i="3"/>
  <c r="CC188" i="3"/>
  <c r="CA188" i="3"/>
  <c r="BZ188" i="3"/>
  <c r="BY188" i="3"/>
  <c r="BX188" i="3"/>
  <c r="BW188" i="3"/>
  <c r="BV188" i="3"/>
  <c r="BT188" i="3"/>
  <c r="BK188" i="3"/>
  <c r="BB188" i="3"/>
  <c r="AS188" i="3"/>
  <c r="AJ188" i="3"/>
  <c r="AA188" i="3"/>
  <c r="R188" i="3"/>
  <c r="I188" i="3"/>
  <c r="CA187" i="3"/>
  <c r="BZ187" i="3"/>
  <c r="BY187" i="3"/>
  <c r="BX187" i="3"/>
  <c r="BW187" i="3"/>
  <c r="BT187" i="3"/>
  <c r="CA186" i="3"/>
  <c r="BZ186" i="3"/>
  <c r="BY186" i="3"/>
  <c r="BX186" i="3"/>
  <c r="BW186" i="3"/>
  <c r="BV186" i="3"/>
  <c r="BT186" i="3"/>
  <c r="BK186" i="3"/>
  <c r="BB186" i="3"/>
  <c r="AS186" i="3"/>
  <c r="AJ186" i="3"/>
  <c r="AA186" i="3"/>
  <c r="R186" i="3"/>
  <c r="I186" i="3"/>
  <c r="CA185" i="3"/>
  <c r="BZ185" i="3"/>
  <c r="BY185" i="3"/>
  <c r="BX185" i="3"/>
  <c r="BW185" i="3"/>
  <c r="CC185" i="3" s="1"/>
  <c r="BV185" i="3"/>
  <c r="BT185" i="3"/>
  <c r="BK185" i="3"/>
  <c r="BB185" i="3"/>
  <c r="AS185" i="3"/>
  <c r="AJ185" i="3"/>
  <c r="AA185" i="3"/>
  <c r="R185" i="3"/>
  <c r="I185" i="3"/>
  <c r="CA184" i="3"/>
  <c r="BZ184" i="3"/>
  <c r="BY184" i="3"/>
  <c r="BX184" i="3"/>
  <c r="BW184" i="3"/>
  <c r="BV184" i="3"/>
  <c r="CC184" i="3" s="1"/>
  <c r="BT184" i="3"/>
  <c r="BK184" i="3"/>
  <c r="BB184" i="3"/>
  <c r="AS184" i="3"/>
  <c r="AJ184" i="3"/>
  <c r="AA184" i="3"/>
  <c r="R184" i="3"/>
  <c r="I184" i="3"/>
  <c r="CA183" i="3"/>
  <c r="BZ183" i="3"/>
  <c r="BY183" i="3"/>
  <c r="BW183" i="3"/>
  <c r="BV183" i="3"/>
  <c r="CA182" i="3"/>
  <c r="BZ182" i="3"/>
  <c r="BY182" i="3"/>
  <c r="BW182" i="3"/>
  <c r="BV182" i="3"/>
  <c r="BT182" i="3"/>
  <c r="BB182" i="3"/>
  <c r="AS182" i="3"/>
  <c r="AJ182" i="3"/>
  <c r="AA182" i="3"/>
  <c r="R182" i="3"/>
  <c r="I182" i="3"/>
  <c r="CA181" i="3"/>
  <c r="BZ181" i="3"/>
  <c r="BY181" i="3"/>
  <c r="BX181" i="3"/>
  <c r="BW181" i="3"/>
  <c r="BV181" i="3"/>
  <c r="CC181" i="3" s="1"/>
  <c r="BT181" i="3"/>
  <c r="BK181" i="3"/>
  <c r="BB181" i="3"/>
  <c r="AS181" i="3"/>
  <c r="AJ181" i="3"/>
  <c r="AA181" i="3"/>
  <c r="R181" i="3"/>
  <c r="I181" i="3"/>
  <c r="CA180" i="3"/>
  <c r="BZ180" i="3"/>
  <c r="BY180" i="3"/>
  <c r="BX180" i="3"/>
  <c r="BW180" i="3"/>
  <c r="BV180" i="3"/>
  <c r="CC180" i="3" s="1"/>
  <c r="BT180" i="3"/>
  <c r="BK180" i="3"/>
  <c r="BB180" i="3"/>
  <c r="AS180" i="3"/>
  <c r="AJ180" i="3"/>
  <c r="AA180" i="3"/>
  <c r="R180" i="3"/>
  <c r="I180" i="3"/>
  <c r="CA179" i="3"/>
  <c r="BZ179" i="3"/>
  <c r="BY179" i="3"/>
  <c r="BX179" i="3"/>
  <c r="BW179" i="3"/>
  <c r="CC179" i="3" s="1"/>
  <c r="BV179" i="3"/>
  <c r="BT179" i="3"/>
  <c r="BK179" i="3"/>
  <c r="BB179" i="3"/>
  <c r="AS179" i="3"/>
  <c r="AJ179" i="3"/>
  <c r="AA179" i="3"/>
  <c r="R179" i="3"/>
  <c r="I179" i="3"/>
  <c r="CA178" i="3"/>
  <c r="BZ178" i="3"/>
  <c r="BY178" i="3"/>
  <c r="BX178" i="3"/>
  <c r="BW178" i="3"/>
  <c r="BV178" i="3"/>
  <c r="CC178" i="3" s="1"/>
  <c r="D178" i="10" s="1"/>
  <c r="BT178" i="3"/>
  <c r="BK178" i="3"/>
  <c r="D178" i="11" s="1"/>
  <c r="BB178" i="3"/>
  <c r="AS178" i="3"/>
  <c r="AJ178" i="3"/>
  <c r="AA178" i="3"/>
  <c r="R178" i="3"/>
  <c r="I178" i="3"/>
  <c r="CA177" i="3"/>
  <c r="BZ177" i="3"/>
  <c r="BY177" i="3"/>
  <c r="BX177" i="3"/>
  <c r="BW177" i="3"/>
  <c r="BV177" i="3"/>
  <c r="CC177" i="3" s="1"/>
  <c r="D177" i="10" s="1"/>
  <c r="BT177" i="3"/>
  <c r="BK177" i="3"/>
  <c r="D177" i="11" s="1"/>
  <c r="BB177" i="3"/>
  <c r="AS177" i="3"/>
  <c r="AJ177" i="3"/>
  <c r="AA177" i="3"/>
  <c r="R177" i="3"/>
  <c r="I177" i="3"/>
  <c r="CA176" i="3"/>
  <c r="BZ176" i="3"/>
  <c r="BY176" i="3"/>
  <c r="BX176" i="3"/>
  <c r="BW176" i="3"/>
  <c r="BV176" i="3"/>
  <c r="CC176" i="3" s="1"/>
  <c r="BT176" i="3"/>
  <c r="BK176" i="3"/>
  <c r="BB176" i="3"/>
  <c r="AS176" i="3"/>
  <c r="AJ176" i="3"/>
  <c r="AA176" i="3"/>
  <c r="R176" i="3"/>
  <c r="I176" i="3"/>
  <c r="CA175" i="3"/>
  <c r="BZ175" i="3"/>
  <c r="BY175" i="3"/>
  <c r="BX175" i="3"/>
  <c r="BW175" i="3"/>
  <c r="CC175" i="3" s="1"/>
  <c r="BV175" i="3"/>
  <c r="BT175" i="3"/>
  <c r="BK175" i="3"/>
  <c r="BB175" i="3"/>
  <c r="AS175" i="3"/>
  <c r="AJ175" i="3"/>
  <c r="AA175" i="3"/>
  <c r="R175" i="3"/>
  <c r="I175" i="3"/>
  <c r="CA174" i="3"/>
  <c r="BZ174" i="3"/>
  <c r="BY174" i="3"/>
  <c r="BX174" i="3"/>
  <c r="BW174" i="3"/>
  <c r="BV174" i="3"/>
  <c r="BT174" i="3"/>
  <c r="BK174" i="3"/>
  <c r="BB174" i="3"/>
  <c r="AS174" i="3"/>
  <c r="AJ174" i="3"/>
  <c r="AA174" i="3"/>
  <c r="R174" i="3"/>
  <c r="I174" i="3"/>
  <c r="CA173" i="3"/>
  <c r="BZ173" i="3"/>
  <c r="BY173" i="3"/>
  <c r="BX173" i="3"/>
  <c r="BW173" i="3"/>
  <c r="BT173" i="3"/>
  <c r="BK173" i="3"/>
  <c r="BB173" i="3"/>
  <c r="AS173" i="3"/>
  <c r="AJ173" i="3"/>
  <c r="AA173" i="3"/>
  <c r="R173" i="3"/>
  <c r="BV173" i="3"/>
  <c r="CA172" i="3"/>
  <c r="BZ172" i="3"/>
  <c r="BY172" i="3"/>
  <c r="BX172" i="3"/>
  <c r="BW172" i="3"/>
  <c r="BW197" i="3" s="1"/>
  <c r="BT172" i="3"/>
  <c r="BK172" i="3"/>
  <c r="BB172" i="3"/>
  <c r="AS172" i="3"/>
  <c r="AA172" i="3"/>
  <c r="R172" i="3"/>
  <c r="BV172" i="3"/>
  <c r="CC171" i="3"/>
  <c r="CB171" i="3"/>
  <c r="CA171" i="3"/>
  <c r="BZ171" i="3"/>
  <c r="BY171" i="3"/>
  <c r="BX171" i="3"/>
  <c r="BW171" i="3"/>
  <c r="BV171" i="3"/>
  <c r="BT171" i="3"/>
  <c r="BS171" i="3"/>
  <c r="BR171" i="3"/>
  <c r="BQ171" i="3"/>
  <c r="BP171" i="3"/>
  <c r="BO171" i="3"/>
  <c r="BN171" i="3"/>
  <c r="BM171" i="3"/>
  <c r="BK171" i="3"/>
  <c r="BJ171" i="3"/>
  <c r="BI171" i="3"/>
  <c r="BH171" i="3"/>
  <c r="BG171" i="3"/>
  <c r="BF171" i="3"/>
  <c r="BE171" i="3"/>
  <c r="BD171" i="3"/>
  <c r="BB171" i="3"/>
  <c r="BA171" i="3"/>
  <c r="AZ171" i="3"/>
  <c r="AY171" i="3"/>
  <c r="AX171" i="3"/>
  <c r="AW171" i="3"/>
  <c r="AV171" i="3"/>
  <c r="AU171" i="3"/>
  <c r="AS171" i="3"/>
  <c r="AR171" i="3"/>
  <c r="AQ171" i="3"/>
  <c r="AP171" i="3"/>
  <c r="AO171" i="3"/>
  <c r="AN171" i="3"/>
  <c r="AM171" i="3"/>
  <c r="AL171" i="3"/>
  <c r="AJ171" i="3"/>
  <c r="AI171" i="3"/>
  <c r="AH171" i="3"/>
  <c r="AG171" i="3"/>
  <c r="AF171" i="3"/>
  <c r="AE171" i="3"/>
  <c r="AD171" i="3"/>
  <c r="AC171" i="3"/>
  <c r="AA171" i="3"/>
  <c r="Z171" i="3"/>
  <c r="Y171" i="3"/>
  <c r="X171" i="3"/>
  <c r="W171" i="3"/>
  <c r="V171" i="3"/>
  <c r="U171" i="3"/>
  <c r="T171" i="3"/>
  <c r="R171" i="3"/>
  <c r="Q171" i="3"/>
  <c r="P171" i="3"/>
  <c r="O171" i="3"/>
  <c r="N171" i="3"/>
  <c r="M171" i="3"/>
  <c r="L171" i="3"/>
  <c r="K171" i="3"/>
  <c r="I171" i="3"/>
  <c r="H171" i="3"/>
  <c r="G171" i="3"/>
  <c r="F171" i="3"/>
  <c r="E171" i="3"/>
  <c r="D171" i="3"/>
  <c r="C171" i="3"/>
  <c r="B171" i="3"/>
  <c r="BP170" i="3"/>
  <c r="BO170" i="3"/>
  <c r="BH170" i="3"/>
  <c r="BG170" i="3"/>
  <c r="BF170" i="3"/>
  <c r="AX170" i="3"/>
  <c r="AW170" i="3"/>
  <c r="AO170" i="3"/>
  <c r="AN170" i="3"/>
  <c r="AF170" i="3"/>
  <c r="AE170" i="3"/>
  <c r="W170" i="3"/>
  <c r="W211" i="3" s="1"/>
  <c r="V170" i="3"/>
  <c r="N170" i="3"/>
  <c r="N211" i="3" s="1"/>
  <c r="M170" i="3"/>
  <c r="E170" i="3"/>
  <c r="D170" i="3"/>
  <c r="CA169" i="3"/>
  <c r="BZ169" i="3"/>
  <c r="BY169" i="3"/>
  <c r="BX169" i="3"/>
  <c r="BW169" i="3"/>
  <c r="CC169" i="3" s="1"/>
  <c r="BV169" i="3"/>
  <c r="BT169" i="3"/>
  <c r="BK169" i="3"/>
  <c r="BB169" i="3"/>
  <c r="AS169" i="3"/>
  <c r="AJ169" i="3"/>
  <c r="AA169" i="3"/>
  <c r="R169" i="3"/>
  <c r="I169" i="3"/>
  <c r="CA168" i="3"/>
  <c r="BZ168" i="3"/>
  <c r="BY168" i="3"/>
  <c r="BX168" i="3"/>
  <c r="BW168" i="3"/>
  <c r="CA167" i="3"/>
  <c r="BZ167" i="3"/>
  <c r="BY167" i="3"/>
  <c r="BX167" i="3"/>
  <c r="BW167" i="3"/>
  <c r="CA166" i="3"/>
  <c r="BZ166" i="3"/>
  <c r="BY166" i="3"/>
  <c r="BX166" i="3"/>
  <c r="BW166" i="3"/>
  <c r="CA165" i="3"/>
  <c r="BZ165" i="3"/>
  <c r="BY165" i="3"/>
  <c r="BX165" i="3"/>
  <c r="BW165" i="3"/>
  <c r="BV165" i="3"/>
  <c r="CC165" i="3" s="1"/>
  <c r="BT165" i="3"/>
  <c r="BK165" i="3"/>
  <c r="BB165" i="3"/>
  <c r="AS165" i="3"/>
  <c r="AJ165" i="3"/>
  <c r="AA165" i="3"/>
  <c r="R165" i="3"/>
  <c r="I165" i="3"/>
  <c r="CA164" i="3"/>
  <c r="BZ164" i="3"/>
  <c r="BY164" i="3"/>
  <c r="BX164" i="3"/>
  <c r="BW164" i="3"/>
  <c r="BT164" i="3"/>
  <c r="CA163" i="3"/>
  <c r="BZ163" i="3"/>
  <c r="BY163" i="3"/>
  <c r="BX163" i="3"/>
  <c r="BW163" i="3"/>
  <c r="BV163" i="3"/>
  <c r="CC163" i="3" s="1"/>
  <c r="BT163" i="3"/>
  <c r="BK163" i="3"/>
  <c r="BB163" i="3"/>
  <c r="AS163" i="3"/>
  <c r="AJ163" i="3"/>
  <c r="AA163" i="3"/>
  <c r="R163" i="3"/>
  <c r="I163" i="3"/>
  <c r="CA162" i="3"/>
  <c r="BZ162" i="3"/>
  <c r="BY162" i="3"/>
  <c r="BX162" i="3"/>
  <c r="BW162" i="3"/>
  <c r="BV162" i="3"/>
  <c r="BT162" i="3"/>
  <c r="BK162" i="3"/>
  <c r="BB162" i="3"/>
  <c r="AS162" i="3"/>
  <c r="AJ162" i="3"/>
  <c r="AA162" i="3"/>
  <c r="R162" i="3"/>
  <c r="I162" i="3"/>
  <c r="BY161" i="3"/>
  <c r="BX161" i="3"/>
  <c r="BW161" i="3"/>
  <c r="BV161" i="3"/>
  <c r="CA160" i="3"/>
  <c r="BZ160" i="3"/>
  <c r="BY160" i="3"/>
  <c r="BX160" i="3"/>
  <c r="BW160" i="3"/>
  <c r="CA159" i="3"/>
  <c r="BZ159" i="3"/>
  <c r="BY159" i="3"/>
  <c r="BX159" i="3"/>
  <c r="BW159" i="3"/>
  <c r="BT159" i="3"/>
  <c r="BK159" i="3"/>
  <c r="AS159" i="3"/>
  <c r="AJ159" i="3"/>
  <c r="AA159" i="3"/>
  <c r="R159" i="3"/>
  <c r="I159" i="3"/>
  <c r="CA158" i="3"/>
  <c r="BZ158" i="3"/>
  <c r="BY158" i="3"/>
  <c r="BX158" i="3"/>
  <c r="BW158" i="3"/>
  <c r="BT158" i="3"/>
  <c r="BK158" i="3"/>
  <c r="AS158" i="3"/>
  <c r="AJ158" i="3"/>
  <c r="AA158" i="3"/>
  <c r="R158" i="3"/>
  <c r="K158" i="3"/>
  <c r="I158" i="3"/>
  <c r="CA157" i="3"/>
  <c r="BZ157" i="3"/>
  <c r="BY157" i="3"/>
  <c r="BX157" i="3"/>
  <c r="BV157" i="3"/>
  <c r="CA156" i="3"/>
  <c r="BZ156" i="3"/>
  <c r="BY156" i="3"/>
  <c r="BX156" i="3"/>
  <c r="BW156" i="3"/>
  <c r="BT156" i="3"/>
  <c r="BK156" i="3"/>
  <c r="D156" i="11" s="1"/>
  <c r="D170" i="11" s="1"/>
  <c r="BB156" i="3"/>
  <c r="AJ156" i="3"/>
  <c r="AA156" i="3"/>
  <c r="BV156" i="3"/>
  <c r="I156" i="3"/>
  <c r="CC155" i="3"/>
  <c r="CB155" i="3"/>
  <c r="CA155" i="3"/>
  <c r="BZ155" i="3"/>
  <c r="BY155" i="3"/>
  <c r="BX155" i="3"/>
  <c r="BW155" i="3"/>
  <c r="BV155" i="3"/>
  <c r="BT155" i="3"/>
  <c r="BS155" i="3"/>
  <c r="BR155" i="3"/>
  <c r="BQ155" i="3"/>
  <c r="BP155" i="3"/>
  <c r="BO155" i="3"/>
  <c r="BN155" i="3"/>
  <c r="BM155" i="3"/>
  <c r="BK155" i="3"/>
  <c r="BJ155" i="3"/>
  <c r="BI155" i="3"/>
  <c r="BH155" i="3"/>
  <c r="BG155" i="3"/>
  <c r="BF155" i="3"/>
  <c r="BE155" i="3"/>
  <c r="BD155" i="3"/>
  <c r="BB155" i="3"/>
  <c r="BA155" i="3"/>
  <c r="AZ155" i="3"/>
  <c r="AY155" i="3"/>
  <c r="AX155" i="3"/>
  <c r="AW155" i="3"/>
  <c r="AV155" i="3"/>
  <c r="AU155" i="3"/>
  <c r="AS155" i="3"/>
  <c r="AR155" i="3"/>
  <c r="AQ155" i="3"/>
  <c r="AP155" i="3"/>
  <c r="AO155" i="3"/>
  <c r="AN155" i="3"/>
  <c r="AM155" i="3"/>
  <c r="AL155" i="3"/>
  <c r="AJ155" i="3"/>
  <c r="AI155" i="3"/>
  <c r="AH155" i="3"/>
  <c r="AG155" i="3"/>
  <c r="AF155" i="3"/>
  <c r="AE155" i="3"/>
  <c r="AD155" i="3"/>
  <c r="AC155" i="3"/>
  <c r="AA155" i="3"/>
  <c r="Z155" i="3"/>
  <c r="Y155" i="3"/>
  <c r="X155" i="3"/>
  <c r="W155" i="3"/>
  <c r="V155" i="3"/>
  <c r="U155" i="3"/>
  <c r="T155" i="3"/>
  <c r="R155" i="3"/>
  <c r="Q155" i="3"/>
  <c r="P155" i="3"/>
  <c r="O155" i="3"/>
  <c r="N155" i="3"/>
  <c r="M155" i="3"/>
  <c r="L155" i="3"/>
  <c r="K155" i="3"/>
  <c r="I155" i="3"/>
  <c r="H155" i="3"/>
  <c r="G155" i="3"/>
  <c r="F155" i="3"/>
  <c r="E155" i="3"/>
  <c r="D155" i="3"/>
  <c r="C155" i="3"/>
  <c r="B155" i="3"/>
  <c r="CB154" i="3"/>
  <c r="BS154" i="3"/>
  <c r="BR154" i="3"/>
  <c r="BQ154" i="3"/>
  <c r="BP154" i="3"/>
  <c r="BO154" i="3"/>
  <c r="BJ154" i="3"/>
  <c r="BI154" i="3"/>
  <c r="BH154" i="3"/>
  <c r="BG154" i="3"/>
  <c r="BF154" i="3"/>
  <c r="BA154" i="3"/>
  <c r="AZ154" i="3"/>
  <c r="AY154" i="3"/>
  <c r="AX154" i="3"/>
  <c r="AW154" i="3"/>
  <c r="AR154" i="3"/>
  <c r="AQ154" i="3"/>
  <c r="AP154" i="3"/>
  <c r="AN154" i="3"/>
  <c r="AI154" i="3"/>
  <c r="AH154" i="3"/>
  <c r="AG154" i="3"/>
  <c r="AF154" i="3"/>
  <c r="AE154" i="3"/>
  <c r="Z154" i="3"/>
  <c r="Y154" i="3"/>
  <c r="X154" i="3"/>
  <c r="V154" i="3"/>
  <c r="Q154" i="3"/>
  <c r="P154" i="3"/>
  <c r="O154" i="3"/>
  <c r="M154" i="3"/>
  <c r="H154" i="3"/>
  <c r="G154" i="3"/>
  <c r="F154" i="3"/>
  <c r="E154" i="3"/>
  <c r="D154" i="3"/>
  <c r="CA153" i="3"/>
  <c r="BZ153" i="3"/>
  <c r="BY153" i="3"/>
  <c r="BX153" i="3"/>
  <c r="BW153" i="3"/>
  <c r="BB153" i="3"/>
  <c r="CA152" i="3"/>
  <c r="BZ152" i="3"/>
  <c r="BY152" i="3"/>
  <c r="BX152" i="3"/>
  <c r="BW152" i="3"/>
  <c r="BV152" i="3"/>
  <c r="CC152" i="3" s="1"/>
  <c r="BT152" i="3"/>
  <c r="BK152" i="3"/>
  <c r="BB152" i="3"/>
  <c r="AS152" i="3"/>
  <c r="AJ152" i="3"/>
  <c r="AA152" i="3"/>
  <c r="R152" i="3"/>
  <c r="I152" i="3"/>
  <c r="CA151" i="3"/>
  <c r="BZ151" i="3"/>
  <c r="BY151" i="3"/>
  <c r="BX151" i="3"/>
  <c r="BT151" i="3"/>
  <c r="BN151" i="3"/>
  <c r="BN154" i="3" s="1"/>
  <c r="BM151" i="3"/>
  <c r="BE151" i="3"/>
  <c r="BD151" i="3"/>
  <c r="AV151" i="3"/>
  <c r="BB151" i="3" s="1"/>
  <c r="D151" i="9" s="1"/>
  <c r="D154" i="9" s="1"/>
  <c r="AM151" i="3"/>
  <c r="AM154" i="3" s="1"/>
  <c r="AL151" i="3"/>
  <c r="AD151" i="3"/>
  <c r="AC151" i="3"/>
  <c r="U151" i="3"/>
  <c r="U154" i="3" s="1"/>
  <c r="T151" i="3"/>
  <c r="AA151" i="3" s="1"/>
  <c r="L151" i="3"/>
  <c r="L154" i="3" s="1"/>
  <c r="K151" i="3"/>
  <c r="R151" i="3" s="1"/>
  <c r="C151" i="3"/>
  <c r="C154" i="3" s="1"/>
  <c r="B151" i="3"/>
  <c r="CA150" i="3"/>
  <c r="BZ150" i="3"/>
  <c r="BY150" i="3"/>
  <c r="BX150" i="3"/>
  <c r="BW150" i="3"/>
  <c r="BB150" i="3"/>
  <c r="CA149" i="3"/>
  <c r="BZ149" i="3"/>
  <c r="BY149" i="3"/>
  <c r="BX149" i="3"/>
  <c r="BW149" i="3"/>
  <c r="CA148" i="3"/>
  <c r="BZ148" i="3"/>
  <c r="BY148" i="3"/>
  <c r="BX148" i="3"/>
  <c r="BW148" i="3"/>
  <c r="CA147" i="3"/>
  <c r="BZ147" i="3"/>
  <c r="BY147" i="3"/>
  <c r="BX147" i="3"/>
  <c r="BW147" i="3"/>
  <c r="CA146" i="3"/>
  <c r="BZ146" i="3"/>
  <c r="BY146" i="3"/>
  <c r="BX146" i="3"/>
  <c r="BW146" i="3"/>
  <c r="BD146" i="3"/>
  <c r="BK146" i="3" s="1"/>
  <c r="BB146" i="3"/>
  <c r="AL146" i="3"/>
  <c r="AS146" i="3" s="1"/>
  <c r="AJ146" i="3"/>
  <c r="AC146" i="3"/>
  <c r="AA146" i="3"/>
  <c r="R146" i="3"/>
  <c r="I146" i="3"/>
  <c r="CA145" i="3"/>
  <c r="BZ145" i="3"/>
  <c r="BY145" i="3"/>
  <c r="BX145" i="3"/>
  <c r="BW145" i="3"/>
  <c r="BT145" i="3"/>
  <c r="BK145" i="3"/>
  <c r="BB145" i="3"/>
  <c r="AU145" i="3"/>
  <c r="AS145" i="3"/>
  <c r="AA145" i="3"/>
  <c r="R145" i="3"/>
  <c r="I145" i="3"/>
  <c r="CA144" i="3"/>
  <c r="CA154" i="3" s="1"/>
  <c r="BZ144" i="3"/>
  <c r="BY144" i="3"/>
  <c r="BX144" i="3"/>
  <c r="BX154" i="3" s="1"/>
  <c r="BW144" i="3"/>
  <c r="BB144" i="3"/>
  <c r="AS144" i="3"/>
  <c r="R144" i="3"/>
  <c r="CC143" i="3"/>
  <c r="CB143" i="3"/>
  <c r="CA143" i="3"/>
  <c r="BZ143" i="3"/>
  <c r="BY143" i="3"/>
  <c r="BX143" i="3"/>
  <c r="BW143" i="3"/>
  <c r="BV143" i="3"/>
  <c r="BT143" i="3"/>
  <c r="BS143" i="3"/>
  <c r="BR143" i="3"/>
  <c r="BQ143" i="3"/>
  <c r="BP143" i="3"/>
  <c r="BO143" i="3"/>
  <c r="BN143" i="3"/>
  <c r="BM143" i="3"/>
  <c r="BK143" i="3"/>
  <c r="BJ143" i="3"/>
  <c r="BI143" i="3"/>
  <c r="BH143" i="3"/>
  <c r="BG143" i="3"/>
  <c r="BF143" i="3"/>
  <c r="BE143" i="3"/>
  <c r="BD143" i="3"/>
  <c r="BB143" i="3"/>
  <c r="BA143" i="3"/>
  <c r="AZ143" i="3"/>
  <c r="AY143" i="3"/>
  <c r="AX143" i="3"/>
  <c r="AW143" i="3"/>
  <c r="AV143" i="3"/>
  <c r="AU143" i="3"/>
  <c r="AS143" i="3"/>
  <c r="AR143" i="3"/>
  <c r="AQ143" i="3"/>
  <c r="AP143" i="3"/>
  <c r="AO143" i="3"/>
  <c r="AN143" i="3"/>
  <c r="AM143" i="3"/>
  <c r="AL143" i="3"/>
  <c r="AJ143" i="3"/>
  <c r="AI143" i="3"/>
  <c r="AH143" i="3"/>
  <c r="AG143" i="3"/>
  <c r="AF143" i="3"/>
  <c r="AE143" i="3"/>
  <c r="AD143" i="3"/>
  <c r="AC143" i="3"/>
  <c r="AA143" i="3"/>
  <c r="Z143" i="3"/>
  <c r="Y143" i="3"/>
  <c r="X143" i="3"/>
  <c r="W143" i="3"/>
  <c r="V143" i="3"/>
  <c r="U143" i="3"/>
  <c r="T143" i="3"/>
  <c r="R143" i="3"/>
  <c r="Q143" i="3"/>
  <c r="P143" i="3"/>
  <c r="O143" i="3"/>
  <c r="N143" i="3"/>
  <c r="M143" i="3"/>
  <c r="L143" i="3"/>
  <c r="K143" i="3"/>
  <c r="I143" i="3"/>
  <c r="H143" i="3"/>
  <c r="G143" i="3"/>
  <c r="F143" i="3"/>
  <c r="E143" i="3"/>
  <c r="D143" i="3"/>
  <c r="C143" i="3"/>
  <c r="B143" i="3"/>
  <c r="BG140" i="3"/>
  <c r="AQ140" i="3"/>
  <c r="AO140" i="3"/>
  <c r="AC140" i="3"/>
  <c r="N140" i="3"/>
  <c r="CA139" i="3"/>
  <c r="BZ139" i="3"/>
  <c r="CC139" i="3" s="1"/>
  <c r="BY139" i="3"/>
  <c r="BX139" i="3"/>
  <c r="BW139" i="3"/>
  <c r="BV139" i="3"/>
  <c r="BT139" i="3"/>
  <c r="BK139" i="3"/>
  <c r="BB139" i="3"/>
  <c r="AS139" i="3"/>
  <c r="AJ139" i="3"/>
  <c r="AA139" i="3"/>
  <c r="R139" i="3"/>
  <c r="I139" i="3"/>
  <c r="CC138" i="3"/>
  <c r="CA138" i="3"/>
  <c r="BZ138" i="3"/>
  <c r="BY138" i="3"/>
  <c r="BX138" i="3"/>
  <c r="BW138" i="3"/>
  <c r="BV138" i="3"/>
  <c r="BT138" i="3"/>
  <c r="BK138" i="3"/>
  <c r="BB138" i="3"/>
  <c r="AS138" i="3"/>
  <c r="AJ138" i="3"/>
  <c r="AA138" i="3"/>
  <c r="R138" i="3"/>
  <c r="I138" i="3"/>
  <c r="CA137" i="3"/>
  <c r="BZ137" i="3"/>
  <c r="BY137" i="3"/>
  <c r="BX137" i="3"/>
  <c r="BW137" i="3"/>
  <c r="BT137" i="3"/>
  <c r="BK137" i="3"/>
  <c r="AS137" i="3"/>
  <c r="AJ137" i="3"/>
  <c r="AA137" i="3"/>
  <c r="R137" i="3"/>
  <c r="I137" i="3"/>
  <c r="BP135" i="3"/>
  <c r="BO135" i="3"/>
  <c r="BE135" i="3"/>
  <c r="AX135" i="3"/>
  <c r="AO135" i="3"/>
  <c r="AF135" i="3"/>
  <c r="AE135" i="3"/>
  <c r="W135" i="3"/>
  <c r="N135" i="3"/>
  <c r="M135" i="3"/>
  <c r="E135" i="3"/>
  <c r="BY135" i="3" s="1"/>
  <c r="CB133" i="3"/>
  <c r="BJ133" i="3"/>
  <c r="W133" i="3"/>
  <c r="V133" i="3"/>
  <c r="G133" i="3"/>
  <c r="BJ132" i="3"/>
  <c r="BI132" i="3"/>
  <c r="AI132" i="3"/>
  <c r="AH132" i="3"/>
  <c r="F132" i="3"/>
  <c r="CB131" i="3"/>
  <c r="BS131" i="3"/>
  <c r="BR131" i="3"/>
  <c r="BQ131" i="3"/>
  <c r="BK131" i="3"/>
  <c r="BJ131" i="3"/>
  <c r="BI131" i="3"/>
  <c r="BH131" i="3"/>
  <c r="BG131" i="3"/>
  <c r="BD131" i="3"/>
  <c r="BA131" i="3"/>
  <c r="AZ131" i="3"/>
  <c r="AY131" i="3"/>
  <c r="AX131" i="3"/>
  <c r="AP131" i="3"/>
  <c r="AI131" i="3"/>
  <c r="V131" i="3"/>
  <c r="Q131" i="3"/>
  <c r="Q132" i="3" s="1"/>
  <c r="M131" i="3"/>
  <c r="G131" i="3"/>
  <c r="F131" i="3"/>
  <c r="D131" i="3"/>
  <c r="C131" i="3"/>
  <c r="BP130" i="3"/>
  <c r="BO130" i="3"/>
  <c r="BO131" i="3" s="1"/>
  <c r="BN130" i="3"/>
  <c r="BM130" i="3"/>
  <c r="BK130" i="3"/>
  <c r="BG130" i="3"/>
  <c r="BF130" i="3"/>
  <c r="BF131" i="3" s="1"/>
  <c r="BE130" i="3"/>
  <c r="BD130" i="3"/>
  <c r="AX130" i="3"/>
  <c r="AX140" i="3" s="1"/>
  <c r="AW130" i="3"/>
  <c r="AW131" i="3" s="1"/>
  <c r="AV130" i="3"/>
  <c r="AV131" i="3" s="1"/>
  <c r="AU130" i="3"/>
  <c r="BB130" i="3" s="1"/>
  <c r="AS130" i="3"/>
  <c r="AR130" i="3"/>
  <c r="AR131" i="3" s="1"/>
  <c r="AQ130" i="3"/>
  <c r="AQ131" i="3" s="1"/>
  <c r="AP130" i="3"/>
  <c r="AO130" i="3"/>
  <c r="AO131" i="3" s="1"/>
  <c r="AO132" i="3" s="1"/>
  <c r="AN130" i="3"/>
  <c r="AN131" i="3" s="1"/>
  <c r="AM130" i="3"/>
  <c r="AL130" i="3"/>
  <c r="AI130" i="3"/>
  <c r="AH130" i="3"/>
  <c r="AH131" i="3" s="1"/>
  <c r="AG130" i="3"/>
  <c r="AG131" i="3" s="1"/>
  <c r="AF130" i="3"/>
  <c r="AF140" i="3" s="1"/>
  <c r="AE130" i="3"/>
  <c r="AE131" i="3" s="1"/>
  <c r="AD130" i="3"/>
  <c r="AD131" i="3" s="1"/>
  <c r="AC130" i="3"/>
  <c r="Z130" i="3"/>
  <c r="Z131" i="3" s="1"/>
  <c r="Y130" i="3"/>
  <c r="Y131" i="3" s="1"/>
  <c r="X130" i="3"/>
  <c r="X131" i="3" s="1"/>
  <c r="W130" i="3"/>
  <c r="W140" i="3" s="1"/>
  <c r="V130" i="3"/>
  <c r="U130" i="3"/>
  <c r="T130" i="3"/>
  <c r="R130" i="3"/>
  <c r="Q130" i="3"/>
  <c r="P130" i="3"/>
  <c r="P131" i="3" s="1"/>
  <c r="O130" i="3"/>
  <c r="O131" i="3" s="1"/>
  <c r="N130" i="3"/>
  <c r="M130" i="3"/>
  <c r="L130" i="3"/>
  <c r="K130" i="3"/>
  <c r="H130" i="3"/>
  <c r="H131" i="3" s="1"/>
  <c r="G130" i="3"/>
  <c r="F130" i="3"/>
  <c r="E130" i="3"/>
  <c r="D130" i="3"/>
  <c r="BX130" i="3" s="1"/>
  <c r="C130" i="3"/>
  <c r="B130" i="3"/>
  <c r="B140" i="3" s="1"/>
  <c r="CA129" i="3"/>
  <c r="BZ129" i="3"/>
  <c r="BY129" i="3"/>
  <c r="BX129" i="3"/>
  <c r="BN129" i="3"/>
  <c r="BM129" i="3"/>
  <c r="BM131" i="3" s="1"/>
  <c r="BK129" i="3"/>
  <c r="BE129" i="3"/>
  <c r="BE131" i="3" s="1"/>
  <c r="BD129" i="3"/>
  <c r="AV129" i="3"/>
  <c r="AU129" i="3"/>
  <c r="BB129" i="3" s="1"/>
  <c r="AM129" i="3"/>
  <c r="AD129" i="3"/>
  <c r="AJ129" i="3" s="1"/>
  <c r="T131" i="3"/>
  <c r="L129" i="3"/>
  <c r="K129" i="3"/>
  <c r="R129" i="3" s="1"/>
  <c r="C129" i="3"/>
  <c r="B129" i="3"/>
  <c r="CA128" i="3"/>
  <c r="BZ128" i="3"/>
  <c r="BY128" i="3"/>
  <c r="BX128" i="3"/>
  <c r="BW128" i="3"/>
  <c r="BT128" i="3"/>
  <c r="BK128" i="3"/>
  <c r="BB128" i="3"/>
  <c r="AS128" i="3"/>
  <c r="AL131" i="3"/>
  <c r="AJ128" i="3"/>
  <c r="AC131" i="3"/>
  <c r="AA128" i="3"/>
  <c r="I128" i="3"/>
  <c r="CA127" i="3"/>
  <c r="BZ127" i="3"/>
  <c r="BY127" i="3"/>
  <c r="BX127" i="3"/>
  <c r="BV127" i="3"/>
  <c r="BT127" i="3"/>
  <c r="BK127" i="3"/>
  <c r="BB127" i="3"/>
  <c r="AS127" i="3"/>
  <c r="AJ127" i="3"/>
  <c r="R127" i="3"/>
  <c r="I127" i="3"/>
  <c r="CA126" i="3"/>
  <c r="BZ126" i="3"/>
  <c r="BY126" i="3"/>
  <c r="BX126" i="3"/>
  <c r="BV126" i="3"/>
  <c r="BT126" i="3"/>
  <c r="BK126" i="3"/>
  <c r="BB126" i="3"/>
  <c r="AS126" i="3"/>
  <c r="AJ126" i="3"/>
  <c r="R126" i="3"/>
  <c r="I126" i="3"/>
  <c r="CA125" i="3"/>
  <c r="BZ125" i="3"/>
  <c r="BY125" i="3"/>
  <c r="BX125" i="3"/>
  <c r="BV125" i="3"/>
  <c r="BT125" i="3"/>
  <c r="BK125" i="3"/>
  <c r="BB125" i="3"/>
  <c r="AS125" i="3"/>
  <c r="AJ125" i="3"/>
  <c r="R125" i="3"/>
  <c r="I125" i="3"/>
  <c r="CA124" i="3"/>
  <c r="BZ124" i="3"/>
  <c r="BY124" i="3"/>
  <c r="BX124" i="3"/>
  <c r="BV124" i="3"/>
  <c r="BT124" i="3"/>
  <c r="BK124" i="3"/>
  <c r="BB124" i="3"/>
  <c r="AS124" i="3"/>
  <c r="AJ124" i="3"/>
  <c r="R124" i="3"/>
  <c r="I124" i="3"/>
  <c r="CA123" i="3"/>
  <c r="BZ123" i="3"/>
  <c r="BY123" i="3"/>
  <c r="BX123" i="3"/>
  <c r="BV123" i="3"/>
  <c r="CC123" i="3" s="1"/>
  <c r="BT123" i="3"/>
  <c r="BK123" i="3"/>
  <c r="BB123" i="3"/>
  <c r="AS123" i="3"/>
  <c r="AJ123" i="3"/>
  <c r="AA123" i="3"/>
  <c r="R123" i="3"/>
  <c r="L131" i="3"/>
  <c r="I123" i="3"/>
  <c r="BW123" i="3"/>
  <c r="CB121" i="3"/>
  <c r="CB132" i="3" s="1"/>
  <c r="BS121" i="3"/>
  <c r="BS132" i="3" s="1"/>
  <c r="BR121" i="3"/>
  <c r="BR132" i="3" s="1"/>
  <c r="BP121" i="3"/>
  <c r="BF121" i="3"/>
  <c r="BF132" i="3" s="1"/>
  <c r="BA121" i="3"/>
  <c r="BA132" i="3" s="1"/>
  <c r="AZ121" i="3"/>
  <c r="AZ132" i="3" s="1"/>
  <c r="AY121" i="3"/>
  <c r="AY132" i="3" s="1"/>
  <c r="AR121" i="3"/>
  <c r="AR132" i="3" s="1"/>
  <c r="AQ121" i="3"/>
  <c r="AI121" i="3"/>
  <c r="AH121" i="3"/>
  <c r="X121" i="3"/>
  <c r="V121" i="3"/>
  <c r="V132" i="3" s="1"/>
  <c r="Q121" i="3"/>
  <c r="P121" i="3"/>
  <c r="P132" i="3" s="1"/>
  <c r="H121" i="3"/>
  <c r="H132" i="3" s="1"/>
  <c r="H133" i="3" s="1"/>
  <c r="G121" i="3"/>
  <c r="G132" i="3" s="1"/>
  <c r="F121" i="3"/>
  <c r="CA120" i="3"/>
  <c r="BZ120" i="3"/>
  <c r="BY120" i="3"/>
  <c r="BW120" i="3"/>
  <c r="BV120" i="3"/>
  <c r="BT120" i="3"/>
  <c r="BK120" i="3"/>
  <c r="BB120" i="3"/>
  <c r="AS120" i="3"/>
  <c r="AJ120" i="3"/>
  <c r="AA120" i="3"/>
  <c r="R120" i="3"/>
  <c r="I120" i="3"/>
  <c r="CA119" i="3"/>
  <c r="BZ119" i="3"/>
  <c r="BY119" i="3"/>
  <c r="BX119" i="3"/>
  <c r="BW119" i="3"/>
  <c r="BT119" i="3"/>
  <c r="BM119" i="3"/>
  <c r="BK119" i="3"/>
  <c r="AU119" i="3"/>
  <c r="BB119" i="3" s="1"/>
  <c r="AS119" i="3"/>
  <c r="AJ119" i="3"/>
  <c r="AA119" i="3"/>
  <c r="R119" i="3"/>
  <c r="BY118" i="3"/>
  <c r="BQ118" i="3"/>
  <c r="BQ121" i="3" s="1"/>
  <c r="BQ132" i="3" s="1"/>
  <c r="BO118" i="3"/>
  <c r="BO121" i="3" s="1"/>
  <c r="BN118" i="3"/>
  <c r="BJ118" i="3"/>
  <c r="BJ121" i="3" s="1"/>
  <c r="BI118" i="3"/>
  <c r="BI121" i="3" s="1"/>
  <c r="BH118" i="3"/>
  <c r="BH121" i="3" s="1"/>
  <c r="BH132" i="3" s="1"/>
  <c r="BH133" i="3" s="1"/>
  <c r="BG118" i="3"/>
  <c r="BG121" i="3" s="1"/>
  <c r="BG132" i="3" s="1"/>
  <c r="BF118" i="3"/>
  <c r="BE118" i="3"/>
  <c r="BB118" i="3"/>
  <c r="AY118" i="3"/>
  <c r="AX118" i="3"/>
  <c r="AX121" i="3" s="1"/>
  <c r="AX132" i="3" s="1"/>
  <c r="AW118" i="3"/>
  <c r="AW121" i="3" s="1"/>
  <c r="AW132" i="3" s="1"/>
  <c r="AP118" i="3"/>
  <c r="AP121" i="3" s="1"/>
  <c r="AO118" i="3"/>
  <c r="AN121" i="3"/>
  <c r="AN132" i="3" s="1"/>
  <c r="AG118" i="3"/>
  <c r="AG121" i="3" s="1"/>
  <c r="AF118" i="3"/>
  <c r="AF121" i="3" s="1"/>
  <c r="Z118" i="3"/>
  <c r="Z121" i="3" s="1"/>
  <c r="Z132" i="3" s="1"/>
  <c r="Y118" i="3"/>
  <c r="X118" i="3"/>
  <c r="W118" i="3"/>
  <c r="AA118" i="3"/>
  <c r="O118" i="3"/>
  <c r="N118" i="3"/>
  <c r="M121" i="3"/>
  <c r="M132" i="3" s="1"/>
  <c r="E118" i="3"/>
  <c r="E121" i="3" s="1"/>
  <c r="D121" i="3"/>
  <c r="D132" i="3" s="1"/>
  <c r="D134" i="3" s="1"/>
  <c r="BW118" i="3"/>
  <c r="CA117" i="3"/>
  <c r="BZ117" i="3"/>
  <c r="BY117" i="3"/>
  <c r="BX117" i="3"/>
  <c r="BW117" i="3"/>
  <c r="BT117" i="3"/>
  <c r="BM117" i="3"/>
  <c r="BK117" i="3"/>
  <c r="AU117" i="3"/>
  <c r="BB117" i="3" s="1"/>
  <c r="AS117" i="3"/>
  <c r="AJ117" i="3"/>
  <c r="AA117" i="3"/>
  <c r="R117" i="3"/>
  <c r="I117" i="3"/>
  <c r="CA116" i="3"/>
  <c r="BZ116" i="3"/>
  <c r="BY116" i="3"/>
  <c r="BX116" i="3"/>
  <c r="BW116" i="3"/>
  <c r="BT116" i="3"/>
  <c r="BK116" i="3"/>
  <c r="BB116" i="3"/>
  <c r="AS116" i="3"/>
  <c r="AJ116" i="3"/>
  <c r="AA116" i="3"/>
  <c r="I116" i="3"/>
  <c r="CA115" i="3"/>
  <c r="BZ115" i="3"/>
  <c r="BY115" i="3"/>
  <c r="BX115" i="3"/>
  <c r="BV115" i="3"/>
  <c r="BB115" i="3"/>
  <c r="CA114" i="3"/>
  <c r="BZ114" i="3"/>
  <c r="BY114" i="3"/>
  <c r="BX114" i="3"/>
  <c r="BW114" i="3"/>
  <c r="BT114" i="3"/>
  <c r="R114" i="3"/>
  <c r="CA113" i="3"/>
  <c r="BZ113" i="3"/>
  <c r="BY113" i="3"/>
  <c r="BX113" i="3"/>
  <c r="BW113" i="3"/>
  <c r="BT113" i="3"/>
  <c r="BK113" i="3"/>
  <c r="BB113" i="3"/>
  <c r="AS113" i="3"/>
  <c r="AJ113" i="3"/>
  <c r="AA113" i="3"/>
  <c r="R113" i="3"/>
  <c r="I113" i="3"/>
  <c r="CA112" i="3"/>
  <c r="BZ112" i="3"/>
  <c r="BY112" i="3"/>
  <c r="BX112" i="3"/>
  <c r="BW112" i="3"/>
  <c r="BT112" i="3"/>
  <c r="BK112" i="3"/>
  <c r="BB112" i="3"/>
  <c r="AS112" i="3"/>
  <c r="AJ112" i="3"/>
  <c r="AA112" i="3"/>
  <c r="R112" i="3"/>
  <c r="I112" i="3"/>
  <c r="CA111" i="3"/>
  <c r="BZ111" i="3"/>
  <c r="BY111" i="3"/>
  <c r="BX111" i="3"/>
  <c r="BW111" i="3"/>
  <c r="BT111" i="3"/>
  <c r="BM121" i="3"/>
  <c r="BM132" i="3" s="1"/>
  <c r="BK111" i="3"/>
  <c r="BB111" i="3"/>
  <c r="AS111" i="3"/>
  <c r="AJ111" i="3"/>
  <c r="AA111" i="3"/>
  <c r="R111" i="3"/>
  <c r="I111" i="3"/>
  <c r="CA110" i="3"/>
  <c r="BZ110" i="3"/>
  <c r="BY110" i="3"/>
  <c r="BX110" i="3"/>
  <c r="BW110" i="3"/>
  <c r="BT110" i="3"/>
  <c r="BK110" i="3"/>
  <c r="BB110" i="3"/>
  <c r="AS110" i="3"/>
  <c r="AJ110" i="3"/>
  <c r="AA110" i="3"/>
  <c r="R110" i="3"/>
  <c r="I110" i="3"/>
  <c r="CA109" i="3"/>
  <c r="BZ109" i="3"/>
  <c r="BY109" i="3"/>
  <c r="BX109" i="3"/>
  <c r="BW109" i="3"/>
  <c r="BV109" i="3"/>
  <c r="CC109" i="3" s="1"/>
  <c r="BT109" i="3"/>
  <c r="BK109" i="3"/>
  <c r="BB109" i="3"/>
  <c r="AS109" i="3"/>
  <c r="AJ109" i="3"/>
  <c r="AA109" i="3"/>
  <c r="R109" i="3"/>
  <c r="I109" i="3"/>
  <c r="CA108" i="3"/>
  <c r="BZ108" i="3"/>
  <c r="BY108" i="3"/>
  <c r="BX108" i="3"/>
  <c r="BW108" i="3"/>
  <c r="BV108" i="3"/>
  <c r="CC108" i="3" s="1"/>
  <c r="BT108" i="3"/>
  <c r="BB108" i="3"/>
  <c r="AS108" i="3"/>
  <c r="AJ108" i="3"/>
  <c r="AA108" i="3"/>
  <c r="R108" i="3"/>
  <c r="I108" i="3"/>
  <c r="CA107" i="3"/>
  <c r="BZ107" i="3"/>
  <c r="BY107" i="3"/>
  <c r="BX107" i="3"/>
  <c r="BW107" i="3"/>
  <c r="BT107" i="3"/>
  <c r="BK107" i="3"/>
  <c r="BB107" i="3"/>
  <c r="AS107" i="3"/>
  <c r="AJ107" i="3"/>
  <c r="AA107" i="3"/>
  <c r="BV107" i="3"/>
  <c r="I107" i="3"/>
  <c r="CC105" i="3"/>
  <c r="CB105" i="3"/>
  <c r="CA105" i="3"/>
  <c r="BZ105" i="3"/>
  <c r="BY105" i="3"/>
  <c r="BX105" i="3"/>
  <c r="BW105" i="3"/>
  <c r="BV105" i="3"/>
  <c r="BT105" i="3"/>
  <c r="BS105" i="3"/>
  <c r="BR105" i="3"/>
  <c r="BQ105" i="3"/>
  <c r="BP105" i="3"/>
  <c r="BO105" i="3"/>
  <c r="BN105" i="3"/>
  <c r="BM105" i="3"/>
  <c r="BK105" i="3"/>
  <c r="BJ105" i="3"/>
  <c r="BI105" i="3"/>
  <c r="BH105" i="3"/>
  <c r="BG105" i="3"/>
  <c r="BF105" i="3"/>
  <c r="BE105" i="3"/>
  <c r="BD105" i="3"/>
  <c r="BB105" i="3"/>
  <c r="BA105" i="3"/>
  <c r="AZ105" i="3"/>
  <c r="AY105" i="3"/>
  <c r="AX105" i="3"/>
  <c r="AW105" i="3"/>
  <c r="AV105" i="3"/>
  <c r="AU105" i="3"/>
  <c r="AS105" i="3"/>
  <c r="AR105" i="3"/>
  <c r="AQ105" i="3"/>
  <c r="AP105" i="3"/>
  <c r="AO105" i="3"/>
  <c r="AN105" i="3"/>
  <c r="AM105" i="3"/>
  <c r="AL105" i="3"/>
  <c r="AJ105" i="3"/>
  <c r="AI105" i="3"/>
  <c r="AH105" i="3"/>
  <c r="AG105" i="3"/>
  <c r="AF105" i="3"/>
  <c r="AE105" i="3"/>
  <c r="AD105" i="3"/>
  <c r="AC105" i="3"/>
  <c r="AA105" i="3"/>
  <c r="Z105" i="3"/>
  <c r="Y105" i="3"/>
  <c r="X105" i="3"/>
  <c r="W105" i="3"/>
  <c r="V105" i="3"/>
  <c r="U105" i="3"/>
  <c r="T105" i="3"/>
  <c r="R105" i="3"/>
  <c r="Q105" i="3"/>
  <c r="P105" i="3"/>
  <c r="O105" i="3"/>
  <c r="N105" i="3"/>
  <c r="M105" i="3"/>
  <c r="L105" i="3"/>
  <c r="K105" i="3"/>
  <c r="I105" i="3"/>
  <c r="H105" i="3"/>
  <c r="G105" i="3"/>
  <c r="F105" i="3"/>
  <c r="E105" i="3"/>
  <c r="D105" i="3"/>
  <c r="C105" i="3"/>
  <c r="B105" i="3"/>
  <c r="CB103" i="3"/>
  <c r="BW103" i="3"/>
  <c r="BV103" i="3"/>
  <c r="BS103" i="3"/>
  <c r="BR103" i="3"/>
  <c r="BQ103" i="3"/>
  <c r="BP103" i="3"/>
  <c r="BO103" i="3"/>
  <c r="BN103" i="3"/>
  <c r="BM103" i="3"/>
  <c r="BI103" i="3"/>
  <c r="BG103" i="3"/>
  <c r="BF103" i="3"/>
  <c r="BE103" i="3"/>
  <c r="BD103" i="3"/>
  <c r="BA103" i="3"/>
  <c r="AZ103" i="3"/>
  <c r="AX103" i="3"/>
  <c r="AW103" i="3"/>
  <c r="AV103" i="3"/>
  <c r="AU103" i="3"/>
  <c r="AR103" i="3"/>
  <c r="AQ103" i="3"/>
  <c r="AP103" i="3"/>
  <c r="AO103" i="3"/>
  <c r="AN103" i="3"/>
  <c r="AM103" i="3"/>
  <c r="AL103" i="3"/>
  <c r="AH103" i="3"/>
  <c r="AG103" i="3"/>
  <c r="AF103" i="3"/>
  <c r="AE103" i="3"/>
  <c r="AD103" i="3"/>
  <c r="AC103" i="3"/>
  <c r="Z103" i="3"/>
  <c r="Y103" i="3"/>
  <c r="W103" i="3"/>
  <c r="W219" i="3" s="1"/>
  <c r="W220" i="3" s="1"/>
  <c r="V103" i="3"/>
  <c r="U103" i="3"/>
  <c r="T103" i="3"/>
  <c r="Q103" i="3"/>
  <c r="P103" i="3"/>
  <c r="O103" i="3"/>
  <c r="N103" i="3"/>
  <c r="N219" i="3" s="1"/>
  <c r="N220" i="3" s="1"/>
  <c r="M103" i="3"/>
  <c r="L103" i="3"/>
  <c r="K103" i="3"/>
  <c r="G103" i="3"/>
  <c r="F103" i="3"/>
  <c r="E103" i="3"/>
  <c r="D103" i="3"/>
  <c r="C103" i="3"/>
  <c r="B103" i="3"/>
  <c r="CA102" i="3"/>
  <c r="BZ102" i="3"/>
  <c r="BY102" i="3"/>
  <c r="BX102" i="3"/>
  <c r="BW102" i="3"/>
  <c r="BV102" i="3"/>
  <c r="BT102" i="3"/>
  <c r="BK102" i="3"/>
  <c r="BB102" i="3"/>
  <c r="AS102" i="3"/>
  <c r="AJ102" i="3"/>
  <c r="AA102" i="3"/>
  <c r="R102" i="3"/>
  <c r="I102" i="3"/>
  <c r="CA101" i="3"/>
  <c r="BZ101" i="3"/>
  <c r="BY101" i="3"/>
  <c r="BX101" i="3"/>
  <c r="BW101" i="3"/>
  <c r="BV101" i="3"/>
  <c r="BT101" i="3"/>
  <c r="BK101" i="3"/>
  <c r="BB101" i="3"/>
  <c r="AS101" i="3"/>
  <c r="AJ101" i="3"/>
  <c r="AA101" i="3"/>
  <c r="R101" i="3"/>
  <c r="I101" i="3"/>
  <c r="CB100" i="3"/>
  <c r="BY100" i="3"/>
  <c r="BX100" i="3"/>
  <c r="BW100" i="3"/>
  <c r="BV100" i="3"/>
  <c r="CC100" i="3" s="1"/>
  <c r="BT100" i="3"/>
  <c r="BS100" i="3"/>
  <c r="BR100" i="3"/>
  <c r="BQ100" i="3"/>
  <c r="BK100" i="3"/>
  <c r="BJ100" i="3"/>
  <c r="BJ103" i="3" s="1"/>
  <c r="BI100" i="3"/>
  <c r="BH100" i="3"/>
  <c r="BH103" i="3" s="1"/>
  <c r="BA100" i="3"/>
  <c r="AZ100" i="3"/>
  <c r="AY100" i="3"/>
  <c r="AY103" i="3" s="1"/>
  <c r="AS100" i="3"/>
  <c r="AR100" i="3"/>
  <c r="AQ100" i="3"/>
  <c r="AP100" i="3"/>
  <c r="AJ100" i="3"/>
  <c r="AI100" i="3"/>
  <c r="AI103" i="3" s="1"/>
  <c r="AH100" i="3"/>
  <c r="AG100" i="3"/>
  <c r="Z100" i="3"/>
  <c r="Y100" i="3"/>
  <c r="X100" i="3"/>
  <c r="X103" i="3" s="1"/>
  <c r="R100" i="3"/>
  <c r="Q100" i="3"/>
  <c r="P100" i="3"/>
  <c r="O100" i="3"/>
  <c r="I100" i="3"/>
  <c r="H100" i="3"/>
  <c r="H103" i="3" s="1"/>
  <c r="G100" i="3"/>
  <c r="CA100" i="3" s="1"/>
  <c r="F100" i="3"/>
  <c r="BZ100" i="3" s="1"/>
  <c r="CA99" i="3"/>
  <c r="CA103" i="3" s="1"/>
  <c r="BZ99" i="3"/>
  <c r="BY99" i="3"/>
  <c r="BX99" i="3"/>
  <c r="BX103" i="3" s="1"/>
  <c r="BW99" i="3"/>
  <c r="BV99" i="3"/>
  <c r="BT99" i="3"/>
  <c r="BK99" i="3"/>
  <c r="BK103" i="3" s="1"/>
  <c r="BB99" i="3"/>
  <c r="AS99" i="3"/>
  <c r="AJ99" i="3"/>
  <c r="AA99" i="3"/>
  <c r="R99" i="3"/>
  <c r="R103" i="3" s="1"/>
  <c r="I99" i="3"/>
  <c r="I103" i="3" s="1"/>
  <c r="AQ97" i="3"/>
  <c r="BO96" i="3"/>
  <c r="BN96" i="3"/>
  <c r="BM96" i="3"/>
  <c r="BI96" i="3"/>
  <c r="BH96" i="3"/>
  <c r="BF96" i="3"/>
  <c r="BE96" i="3"/>
  <c r="BD96" i="3"/>
  <c r="AW96" i="3"/>
  <c r="AV96" i="3"/>
  <c r="AU96" i="3"/>
  <c r="AQ96" i="3"/>
  <c r="AN96" i="3"/>
  <c r="AM96" i="3"/>
  <c r="AL96" i="3"/>
  <c r="AH96" i="3"/>
  <c r="AF96" i="3"/>
  <c r="AE96" i="3"/>
  <c r="AD96" i="3"/>
  <c r="Y96" i="3"/>
  <c r="V96" i="3"/>
  <c r="U96" i="3"/>
  <c r="T96" i="3"/>
  <c r="P96" i="3"/>
  <c r="M96" i="3"/>
  <c r="L96" i="3"/>
  <c r="K96" i="3"/>
  <c r="G96" i="3"/>
  <c r="D96" i="3"/>
  <c r="C96" i="3"/>
  <c r="B96" i="3"/>
  <c r="CA95" i="3"/>
  <c r="CC95" i="3" s="1"/>
  <c r="BZ95" i="3"/>
  <c r="BY95" i="3"/>
  <c r="BX95" i="3"/>
  <c r="BW95" i="3"/>
  <c r="BV95" i="3"/>
  <c r="BT95" i="3"/>
  <c r="BK95" i="3"/>
  <c r="BB95" i="3"/>
  <c r="AS95" i="3"/>
  <c r="AJ95" i="3"/>
  <c r="AA95" i="3"/>
  <c r="R95" i="3"/>
  <c r="I95" i="3"/>
  <c r="CA94" i="3"/>
  <c r="BZ94" i="3"/>
  <c r="BY94" i="3"/>
  <c r="BX94" i="3"/>
  <c r="BW94" i="3"/>
  <c r="BV94" i="3"/>
  <c r="CC94" i="3" s="1"/>
  <c r="BT94" i="3"/>
  <c r="BK94" i="3"/>
  <c r="BB94" i="3"/>
  <c r="AS94" i="3"/>
  <c r="AC94" i="3"/>
  <c r="AC145" i="3" s="1"/>
  <c r="BV145" i="3" s="1"/>
  <c r="CC145" i="3" s="1"/>
  <c r="AA94" i="3"/>
  <c r="R94" i="3"/>
  <c r="I94" i="3"/>
  <c r="BY93" i="3"/>
  <c r="BX93" i="3"/>
  <c r="BX96" i="3" s="1"/>
  <c r="BW93" i="3"/>
  <c r="BV93" i="3"/>
  <c r="CA92" i="3"/>
  <c r="BZ92" i="3"/>
  <c r="BY92" i="3"/>
  <c r="BX92" i="3"/>
  <c r="BW92" i="3"/>
  <c r="BW96" i="3" s="1"/>
  <c r="BV92" i="3"/>
  <c r="CC92" i="3" s="1"/>
  <c r="BT92" i="3"/>
  <c r="BK92" i="3"/>
  <c r="BB92" i="3"/>
  <c r="AS92" i="3"/>
  <c r="AJ92" i="3"/>
  <c r="AA92" i="3"/>
  <c r="R92" i="3"/>
  <c r="I92" i="3"/>
  <c r="CB90" i="3"/>
  <c r="BZ90" i="3"/>
  <c r="BS90" i="3"/>
  <c r="BR90" i="3"/>
  <c r="BQ90" i="3"/>
  <c r="BN90" i="3"/>
  <c r="BM90" i="3"/>
  <c r="BJ90" i="3"/>
  <c r="BI90" i="3"/>
  <c r="BH90" i="3"/>
  <c r="BH97" i="3" s="1"/>
  <c r="BD90" i="3"/>
  <c r="BA90" i="3"/>
  <c r="AZ90" i="3"/>
  <c r="AY90" i="3"/>
  <c r="AV90" i="3"/>
  <c r="AU90" i="3"/>
  <c r="AR90" i="3"/>
  <c r="AQ90" i="3"/>
  <c r="AP90" i="3"/>
  <c r="AM90" i="3"/>
  <c r="AL90" i="3"/>
  <c r="AI90" i="3"/>
  <c r="AH90" i="3"/>
  <c r="AG90" i="3"/>
  <c r="AF90" i="3"/>
  <c r="AD90" i="3"/>
  <c r="AC90" i="3"/>
  <c r="Z90" i="3"/>
  <c r="Y90" i="3"/>
  <c r="X90" i="3"/>
  <c r="U90" i="3"/>
  <c r="T90" i="3"/>
  <c r="Q90" i="3"/>
  <c r="P90" i="3"/>
  <c r="O90" i="3"/>
  <c r="L90" i="3"/>
  <c r="K90" i="3"/>
  <c r="H90" i="3"/>
  <c r="G90" i="3"/>
  <c r="F90" i="3"/>
  <c r="C90" i="3"/>
  <c r="B90" i="3"/>
  <c r="CA89" i="3"/>
  <c r="BZ89" i="3"/>
  <c r="BY89" i="3"/>
  <c r="BX89" i="3"/>
  <c r="BW89" i="3"/>
  <c r="BV89" i="3"/>
  <c r="CA88" i="3"/>
  <c r="BZ88" i="3"/>
  <c r="BY88" i="3"/>
  <c r="BX88" i="3"/>
  <c r="BW88" i="3"/>
  <c r="CC88" i="3" s="1"/>
  <c r="BV88" i="3"/>
  <c r="BT88" i="3"/>
  <c r="BK88" i="3"/>
  <c r="BB88" i="3"/>
  <c r="AS88" i="3"/>
  <c r="AJ88" i="3"/>
  <c r="AA88" i="3"/>
  <c r="R88" i="3"/>
  <c r="I88" i="3"/>
  <c r="CA87" i="3"/>
  <c r="BZ87" i="3"/>
  <c r="BY87" i="3"/>
  <c r="BX87" i="3"/>
  <c r="BW87" i="3"/>
  <c r="BV87" i="3"/>
  <c r="BT87" i="3"/>
  <c r="BK87" i="3"/>
  <c r="BB87" i="3"/>
  <c r="AS87" i="3"/>
  <c r="AJ87" i="3"/>
  <c r="AA87" i="3"/>
  <c r="R87" i="3"/>
  <c r="I87" i="3"/>
  <c r="CA86" i="3"/>
  <c r="CA90" i="3" s="1"/>
  <c r="BZ86" i="3"/>
  <c r="BY86" i="3"/>
  <c r="BX86" i="3"/>
  <c r="BW86" i="3"/>
  <c r="BV86" i="3"/>
  <c r="BT86" i="3"/>
  <c r="BK86" i="3"/>
  <c r="BB86" i="3"/>
  <c r="AS86" i="3"/>
  <c r="AJ86" i="3"/>
  <c r="AA86" i="3"/>
  <c r="R86" i="3"/>
  <c r="I86" i="3"/>
  <c r="CA85" i="3"/>
  <c r="BZ85" i="3"/>
  <c r="BY85" i="3"/>
  <c r="CC85" i="3" s="1"/>
  <c r="BX85" i="3"/>
  <c r="BW85" i="3"/>
  <c r="BV85" i="3"/>
  <c r="BT85" i="3"/>
  <c r="BK85" i="3"/>
  <c r="BB85" i="3"/>
  <c r="AS85" i="3"/>
  <c r="AJ85" i="3"/>
  <c r="AA85" i="3"/>
  <c r="R85" i="3"/>
  <c r="I85" i="3"/>
  <c r="CA84" i="3"/>
  <c r="BZ84" i="3"/>
  <c r="BY84" i="3"/>
  <c r="BW84" i="3"/>
  <c r="BV84" i="3"/>
  <c r="CA83" i="3"/>
  <c r="BZ83" i="3"/>
  <c r="BY83" i="3"/>
  <c r="BW83" i="3"/>
  <c r="BV83" i="3"/>
  <c r="BV90" i="3" s="1"/>
  <c r="BT83" i="3"/>
  <c r="BB83" i="3"/>
  <c r="AS83" i="3"/>
  <c r="AJ83" i="3"/>
  <c r="AA83" i="3"/>
  <c r="R83" i="3"/>
  <c r="I83" i="3"/>
  <c r="CA82" i="3"/>
  <c r="BZ82" i="3"/>
  <c r="BY82" i="3"/>
  <c r="BX82" i="3"/>
  <c r="BW82" i="3"/>
  <c r="BW90" i="3" s="1"/>
  <c r="BV82" i="3"/>
  <c r="BT82" i="3"/>
  <c r="BK82" i="3"/>
  <c r="D82" i="11" s="1"/>
  <c r="D90" i="11" s="1"/>
  <c r="BE90" i="3"/>
  <c r="BB82" i="3"/>
  <c r="D82" i="9" s="1"/>
  <c r="D90" i="9" s="1"/>
  <c r="AS82" i="3"/>
  <c r="AJ82" i="3"/>
  <c r="AA82" i="3"/>
  <c r="R82" i="3"/>
  <c r="I82" i="3"/>
  <c r="CB80" i="3"/>
  <c r="BX80" i="3"/>
  <c r="BS80" i="3"/>
  <c r="BR80" i="3"/>
  <c r="BQ80" i="3"/>
  <c r="BO80" i="3"/>
  <c r="BJ80" i="3"/>
  <c r="BI80" i="3"/>
  <c r="BH80" i="3"/>
  <c r="BF80" i="3"/>
  <c r="BA80" i="3"/>
  <c r="AZ80" i="3"/>
  <c r="AY80" i="3"/>
  <c r="AW80" i="3"/>
  <c r="AR80" i="3"/>
  <c r="AQ80" i="3"/>
  <c r="AP80" i="3"/>
  <c r="AN80" i="3"/>
  <c r="AM80" i="3"/>
  <c r="AI80" i="3"/>
  <c r="AH80" i="3"/>
  <c r="AH97" i="3" s="1"/>
  <c r="AG80" i="3"/>
  <c r="AF80" i="3"/>
  <c r="AE80" i="3"/>
  <c r="AD80" i="3"/>
  <c r="Z80" i="3"/>
  <c r="Y80" i="3"/>
  <c r="Y97" i="3" s="1"/>
  <c r="X80" i="3"/>
  <c r="V80" i="3"/>
  <c r="Q80" i="3"/>
  <c r="P80" i="3"/>
  <c r="P97" i="3" s="1"/>
  <c r="O80" i="3"/>
  <c r="M80" i="3"/>
  <c r="H80" i="3"/>
  <c r="G80" i="3"/>
  <c r="G97" i="3" s="1"/>
  <c r="F80" i="3"/>
  <c r="D80" i="3"/>
  <c r="CA79" i="3"/>
  <c r="BZ79" i="3"/>
  <c r="BY79" i="3"/>
  <c r="BX79" i="3"/>
  <c r="BV79" i="3"/>
  <c r="BN79" i="3"/>
  <c r="BT79" i="3" s="1"/>
  <c r="BK79" i="3"/>
  <c r="D79" i="11" s="1"/>
  <c r="BE80" i="3"/>
  <c r="AS79" i="3"/>
  <c r="AJ79" i="3"/>
  <c r="I79" i="3"/>
  <c r="C80" i="3"/>
  <c r="CA78" i="3"/>
  <c r="BZ78" i="3"/>
  <c r="BY78" i="3"/>
  <c r="BX78" i="3"/>
  <c r="BW78" i="3"/>
  <c r="BV78" i="3"/>
  <c r="BT78" i="3"/>
  <c r="BK78" i="3"/>
  <c r="BB78" i="3"/>
  <c r="AS78" i="3"/>
  <c r="AJ78" i="3"/>
  <c r="AA78" i="3"/>
  <c r="R78" i="3"/>
  <c r="I78" i="3"/>
  <c r="CA77" i="3"/>
  <c r="BZ77" i="3"/>
  <c r="BY77" i="3"/>
  <c r="BX77" i="3"/>
  <c r="BW77" i="3"/>
  <c r="BT77" i="3"/>
  <c r="BM77" i="3"/>
  <c r="BD77" i="3"/>
  <c r="BK77" i="3" s="1"/>
  <c r="BB77" i="3"/>
  <c r="AU77" i="3"/>
  <c r="AS77" i="3"/>
  <c r="AL77" i="3"/>
  <c r="AJ77" i="3"/>
  <c r="AC77" i="3"/>
  <c r="T77" i="3"/>
  <c r="AA77" i="3" s="1"/>
  <c r="R77" i="3"/>
  <c r="K77" i="3"/>
  <c r="B77" i="3"/>
  <c r="CA76" i="3"/>
  <c r="BZ76" i="3"/>
  <c r="BY76" i="3"/>
  <c r="BX76" i="3"/>
  <c r="BW76" i="3"/>
  <c r="BT76" i="3"/>
  <c r="BM76" i="3"/>
  <c r="BD76" i="3"/>
  <c r="BK76" i="3" s="1"/>
  <c r="D76" i="11" s="1"/>
  <c r="AU76" i="3"/>
  <c r="BB76" i="3" s="1"/>
  <c r="D76" i="9" s="1"/>
  <c r="AC76" i="3"/>
  <c r="AJ76" i="3" s="1"/>
  <c r="B76" i="3"/>
  <c r="I76" i="3" s="1"/>
  <c r="CA75" i="3"/>
  <c r="BZ75" i="3"/>
  <c r="BY75" i="3"/>
  <c r="BX75" i="3"/>
  <c r="BW75" i="3"/>
  <c r="BM75" i="3"/>
  <c r="BT75" i="3" s="1"/>
  <c r="BK75" i="3"/>
  <c r="D75" i="11" s="1"/>
  <c r="BD75" i="3"/>
  <c r="AU75" i="3"/>
  <c r="BB75" i="3" s="1"/>
  <c r="D75" i="9" s="1"/>
  <c r="AL75" i="3"/>
  <c r="AS75" i="3" s="1"/>
  <c r="AJ75" i="3"/>
  <c r="AC75" i="3"/>
  <c r="AA75" i="3"/>
  <c r="T75" i="3"/>
  <c r="K75" i="3"/>
  <c r="R75" i="3" s="1"/>
  <c r="B75" i="3"/>
  <c r="I75" i="3" s="1"/>
  <c r="CA74" i="3"/>
  <c r="CA80" i="3" s="1"/>
  <c r="BZ74" i="3"/>
  <c r="BZ80" i="3" s="1"/>
  <c r="BY74" i="3"/>
  <c r="BX74" i="3"/>
  <c r="BW74" i="3"/>
  <c r="CC72" i="3"/>
  <c r="CB72" i="3"/>
  <c r="CA72" i="3"/>
  <c r="BZ72" i="3"/>
  <c r="BY72" i="3"/>
  <c r="BX72" i="3"/>
  <c r="BW72" i="3"/>
  <c r="BV72" i="3"/>
  <c r="BT72" i="3"/>
  <c r="BS72" i="3"/>
  <c r="BR72" i="3"/>
  <c r="BQ72" i="3"/>
  <c r="BP72" i="3"/>
  <c r="BO72" i="3"/>
  <c r="BN72" i="3"/>
  <c r="BM72" i="3"/>
  <c r="BK72" i="3"/>
  <c r="BJ72" i="3"/>
  <c r="BI72" i="3"/>
  <c r="BH72" i="3"/>
  <c r="BG72" i="3"/>
  <c r="BF72" i="3"/>
  <c r="BE72" i="3"/>
  <c r="BD72" i="3"/>
  <c r="BB72" i="3"/>
  <c r="BA72" i="3"/>
  <c r="AZ72" i="3"/>
  <c r="AY72" i="3"/>
  <c r="AX72" i="3"/>
  <c r="AW72" i="3"/>
  <c r="AV72" i="3"/>
  <c r="AU72" i="3"/>
  <c r="AS72" i="3"/>
  <c r="AR72" i="3"/>
  <c r="AQ72" i="3"/>
  <c r="AP72" i="3"/>
  <c r="AO72" i="3"/>
  <c r="AN72" i="3"/>
  <c r="AM72" i="3"/>
  <c r="AL72" i="3"/>
  <c r="AJ72" i="3"/>
  <c r="AI72" i="3"/>
  <c r="AH72" i="3"/>
  <c r="AG72" i="3"/>
  <c r="AF72" i="3"/>
  <c r="AE72" i="3"/>
  <c r="AD72" i="3"/>
  <c r="AC72" i="3"/>
  <c r="AA72" i="3"/>
  <c r="Z72" i="3"/>
  <c r="Y72" i="3"/>
  <c r="X72" i="3"/>
  <c r="W72" i="3"/>
  <c r="V72" i="3"/>
  <c r="U72" i="3"/>
  <c r="T72" i="3"/>
  <c r="R72" i="3"/>
  <c r="Q72" i="3"/>
  <c r="P72" i="3"/>
  <c r="O72" i="3"/>
  <c r="N72" i="3"/>
  <c r="M72" i="3"/>
  <c r="L72" i="3"/>
  <c r="K72" i="3"/>
  <c r="I72" i="3"/>
  <c r="H72" i="3"/>
  <c r="G72" i="3"/>
  <c r="F72" i="3"/>
  <c r="E72" i="3"/>
  <c r="D72" i="3"/>
  <c r="C72" i="3"/>
  <c r="B72" i="3"/>
  <c r="CB64" i="3"/>
  <c r="BM64" i="3"/>
  <c r="AL64" i="3"/>
  <c r="K64" i="3"/>
  <c r="BZ63" i="3"/>
  <c r="BY63" i="3"/>
  <c r="BP63" i="3"/>
  <c r="BP65" i="3" s="1"/>
  <c r="BN63" i="3"/>
  <c r="BM63" i="3"/>
  <c r="BI63" i="3"/>
  <c r="BH63" i="3"/>
  <c r="BG63" i="3"/>
  <c r="BF63" i="3"/>
  <c r="AZ63" i="3"/>
  <c r="AZ65" i="3" s="1"/>
  <c r="AY63" i="3"/>
  <c r="AX63" i="3"/>
  <c r="AV63" i="3"/>
  <c r="AR63" i="3"/>
  <c r="AO63" i="3"/>
  <c r="AO65" i="3" s="1"/>
  <c r="AO141" i="3" s="1"/>
  <c r="AL63" i="3"/>
  <c r="AG63" i="3"/>
  <c r="AF63" i="3"/>
  <c r="W63" i="3"/>
  <c r="U63" i="3"/>
  <c r="T63" i="3"/>
  <c r="T65" i="3" s="1"/>
  <c r="Q63" i="3"/>
  <c r="N63" i="3"/>
  <c r="N65" i="3" s="1"/>
  <c r="L63" i="3"/>
  <c r="K63" i="3"/>
  <c r="F63" i="3"/>
  <c r="E63" i="3"/>
  <c r="D63" i="3"/>
  <c r="D65" i="3" s="1"/>
  <c r="CB61" i="3"/>
  <c r="CA61" i="3"/>
  <c r="CA64" i="3" s="1"/>
  <c r="BZ61" i="3"/>
  <c r="BZ64" i="3" s="1"/>
  <c r="BS61" i="3"/>
  <c r="BS64" i="3" s="1"/>
  <c r="BR61" i="3"/>
  <c r="BR64" i="3" s="1"/>
  <c r="BQ61" i="3"/>
  <c r="BQ64" i="3" s="1"/>
  <c r="BP61" i="3"/>
  <c r="BP64" i="3" s="1"/>
  <c r="BO61" i="3"/>
  <c r="BO64" i="3" s="1"/>
  <c r="BN61" i="3"/>
  <c r="BN64" i="3" s="1"/>
  <c r="BM61" i="3"/>
  <c r="BJ61" i="3"/>
  <c r="BJ64" i="3" s="1"/>
  <c r="BI61" i="3"/>
  <c r="BI64" i="3" s="1"/>
  <c r="BH61" i="3"/>
  <c r="BH64" i="3" s="1"/>
  <c r="BH65" i="3" s="1"/>
  <c r="BG61" i="3"/>
  <c r="BG64" i="3" s="1"/>
  <c r="BG65" i="3" s="1"/>
  <c r="BF61" i="3"/>
  <c r="BF64" i="3" s="1"/>
  <c r="BE61" i="3"/>
  <c r="BE64" i="3" s="1"/>
  <c r="BD61" i="3"/>
  <c r="BD64" i="3" s="1"/>
  <c r="BA61" i="3"/>
  <c r="BA64" i="3" s="1"/>
  <c r="AZ61" i="3"/>
  <c r="AZ64" i="3" s="1"/>
  <c r="AY61" i="3"/>
  <c r="AY64" i="3" s="1"/>
  <c r="AX61" i="3"/>
  <c r="AX64" i="3" s="1"/>
  <c r="AW61" i="3"/>
  <c r="AW64" i="3" s="1"/>
  <c r="AV61" i="3"/>
  <c r="AV64" i="3" s="1"/>
  <c r="AU61" i="3"/>
  <c r="AU64" i="3" s="1"/>
  <c r="AR61" i="3"/>
  <c r="AR64" i="3" s="1"/>
  <c r="AQ61" i="3"/>
  <c r="AQ64" i="3" s="1"/>
  <c r="AP61" i="3"/>
  <c r="AP64" i="3" s="1"/>
  <c r="AO61" i="3"/>
  <c r="AO64" i="3" s="1"/>
  <c r="AN61" i="3"/>
  <c r="AN64" i="3" s="1"/>
  <c r="AM61" i="3"/>
  <c r="AM64" i="3" s="1"/>
  <c r="AL61" i="3"/>
  <c r="AI61" i="3"/>
  <c r="AI64" i="3" s="1"/>
  <c r="AH61" i="3"/>
  <c r="AH64" i="3" s="1"/>
  <c r="AG61" i="3"/>
  <c r="AG64" i="3" s="1"/>
  <c r="AG65" i="3" s="1"/>
  <c r="AF61" i="3"/>
  <c r="AF64" i="3" s="1"/>
  <c r="AF65" i="3" s="1"/>
  <c r="AE61" i="3"/>
  <c r="AE64" i="3" s="1"/>
  <c r="AD61" i="3"/>
  <c r="AD64" i="3" s="1"/>
  <c r="AC61" i="3"/>
  <c r="AC64" i="3" s="1"/>
  <c r="Z61" i="3"/>
  <c r="Z64" i="3" s="1"/>
  <c r="Y61" i="3"/>
  <c r="Y64" i="3" s="1"/>
  <c r="X61" i="3"/>
  <c r="X64" i="3" s="1"/>
  <c r="W61" i="3"/>
  <c r="W64" i="3" s="1"/>
  <c r="V61" i="3"/>
  <c r="V64" i="3" s="1"/>
  <c r="U61" i="3"/>
  <c r="U64" i="3" s="1"/>
  <c r="T61" i="3"/>
  <c r="T64" i="3" s="1"/>
  <c r="Q61" i="3"/>
  <c r="Q64" i="3" s="1"/>
  <c r="Q65" i="3" s="1"/>
  <c r="P61" i="3"/>
  <c r="P64" i="3" s="1"/>
  <c r="O61" i="3"/>
  <c r="O64" i="3" s="1"/>
  <c r="N61" i="3"/>
  <c r="N64" i="3" s="1"/>
  <c r="M61" i="3"/>
  <c r="M64" i="3" s="1"/>
  <c r="L61" i="3"/>
  <c r="L64" i="3" s="1"/>
  <c r="K61" i="3"/>
  <c r="H61" i="3"/>
  <c r="H64" i="3" s="1"/>
  <c r="G61" i="3"/>
  <c r="G64" i="3" s="1"/>
  <c r="F61" i="3"/>
  <c r="F64" i="3" s="1"/>
  <c r="F65" i="3" s="1"/>
  <c r="E61" i="3"/>
  <c r="E64" i="3" s="1"/>
  <c r="E65" i="3" s="1"/>
  <c r="D61" i="3"/>
  <c r="D64" i="3" s="1"/>
  <c r="C61" i="3"/>
  <c r="C64" i="3" s="1"/>
  <c r="B61" i="3"/>
  <c r="B64" i="3" s="1"/>
  <c r="CA60" i="3"/>
  <c r="BZ60" i="3"/>
  <c r="BY60" i="3"/>
  <c r="BX60" i="3"/>
  <c r="BW60" i="3"/>
  <c r="BV60" i="3"/>
  <c r="CC60" i="3" s="1"/>
  <c r="BT60" i="3"/>
  <c r="BK60" i="3"/>
  <c r="BB60" i="3"/>
  <c r="AS60" i="3"/>
  <c r="AJ60" i="3"/>
  <c r="AA60" i="3"/>
  <c r="R60" i="3"/>
  <c r="I60" i="3"/>
  <c r="CC59" i="3"/>
  <c r="CA59" i="3"/>
  <c r="BZ59" i="3"/>
  <c r="BY59" i="3"/>
  <c r="BX59" i="3"/>
  <c r="BW59" i="3"/>
  <c r="BV59" i="3"/>
  <c r="BT59" i="3"/>
  <c r="BK59" i="3"/>
  <c r="BB59" i="3"/>
  <c r="AS59" i="3"/>
  <c r="AJ59" i="3"/>
  <c r="AA59" i="3"/>
  <c r="R59" i="3"/>
  <c r="I59" i="3"/>
  <c r="CA58" i="3"/>
  <c r="BZ58" i="3"/>
  <c r="BY58" i="3"/>
  <c r="CC58" i="3" s="1"/>
  <c r="BX58" i="3"/>
  <c r="BW58" i="3"/>
  <c r="BV58" i="3"/>
  <c r="BT58" i="3"/>
  <c r="BK58" i="3"/>
  <c r="BB58" i="3"/>
  <c r="AS58" i="3"/>
  <c r="AJ58" i="3"/>
  <c r="AA58" i="3"/>
  <c r="R58" i="3"/>
  <c r="I58" i="3"/>
  <c r="CA57" i="3"/>
  <c r="BZ57" i="3"/>
  <c r="BY57" i="3"/>
  <c r="BX57" i="3"/>
  <c r="BW57" i="3"/>
  <c r="BV57" i="3"/>
  <c r="CC57" i="3" s="1"/>
  <c r="BT57" i="3"/>
  <c r="BK57" i="3"/>
  <c r="BB57" i="3"/>
  <c r="AS57" i="3"/>
  <c r="AJ57" i="3"/>
  <c r="AA57" i="3"/>
  <c r="R57" i="3"/>
  <c r="I57" i="3"/>
  <c r="CA56" i="3"/>
  <c r="BZ56" i="3"/>
  <c r="BY56" i="3"/>
  <c r="BX56" i="3"/>
  <c r="BW56" i="3"/>
  <c r="BV56" i="3"/>
  <c r="CC56" i="3" s="1"/>
  <c r="BT56" i="3"/>
  <c r="BK56" i="3"/>
  <c r="BB56" i="3"/>
  <c r="AS56" i="3"/>
  <c r="AJ56" i="3"/>
  <c r="AA56" i="3"/>
  <c r="R56" i="3"/>
  <c r="I56" i="3"/>
  <c r="CC55" i="3"/>
  <c r="CA55" i="3"/>
  <c r="BZ55" i="3"/>
  <c r="BY55" i="3"/>
  <c r="BX55" i="3"/>
  <c r="BW55" i="3"/>
  <c r="BV55" i="3"/>
  <c r="BT55" i="3"/>
  <c r="BK55" i="3"/>
  <c r="BB55" i="3"/>
  <c r="AS55" i="3"/>
  <c r="AJ55" i="3"/>
  <c r="AA55" i="3"/>
  <c r="R55" i="3"/>
  <c r="I55" i="3"/>
  <c r="CA54" i="3"/>
  <c r="BZ54" i="3"/>
  <c r="BY54" i="3"/>
  <c r="CC54" i="3" s="1"/>
  <c r="BX54" i="3"/>
  <c r="BW54" i="3"/>
  <c r="BV54" i="3"/>
  <c r="BT54" i="3"/>
  <c r="BK54" i="3"/>
  <c r="BB54" i="3"/>
  <c r="AS54" i="3"/>
  <c r="AJ54" i="3"/>
  <c r="AA54" i="3"/>
  <c r="R54" i="3"/>
  <c r="I54" i="3"/>
  <c r="CA53" i="3"/>
  <c r="BZ53" i="3"/>
  <c r="BY53" i="3"/>
  <c r="BX53" i="3"/>
  <c r="BW53" i="3"/>
  <c r="BV53" i="3"/>
  <c r="CC53" i="3" s="1"/>
  <c r="BT53" i="3"/>
  <c r="BK53" i="3"/>
  <c r="BB53" i="3"/>
  <c r="AS53" i="3"/>
  <c r="AJ53" i="3"/>
  <c r="AA53" i="3"/>
  <c r="R53" i="3"/>
  <c r="I53" i="3"/>
  <c r="CA52" i="3"/>
  <c r="BZ52" i="3"/>
  <c r="BY52" i="3"/>
  <c r="BX52" i="3"/>
  <c r="BW52" i="3"/>
  <c r="BV52" i="3"/>
  <c r="BT52" i="3"/>
  <c r="BK52" i="3"/>
  <c r="BB52" i="3"/>
  <c r="AS52" i="3"/>
  <c r="AJ52" i="3"/>
  <c r="AA52" i="3"/>
  <c r="R52" i="3"/>
  <c r="I52" i="3"/>
  <c r="CC51" i="3"/>
  <c r="CA51" i="3"/>
  <c r="BZ51" i="3"/>
  <c r="BY51" i="3"/>
  <c r="BX51" i="3"/>
  <c r="BW51" i="3"/>
  <c r="BV51" i="3"/>
  <c r="BT51" i="3"/>
  <c r="BK51" i="3"/>
  <c r="BB51" i="3"/>
  <c r="AS51" i="3"/>
  <c r="AJ51" i="3"/>
  <c r="AA51" i="3"/>
  <c r="R51" i="3"/>
  <c r="I51" i="3"/>
  <c r="CA50" i="3"/>
  <c r="BZ50" i="3"/>
  <c r="BY50" i="3"/>
  <c r="CC50" i="3" s="1"/>
  <c r="BX50" i="3"/>
  <c r="BW50" i="3"/>
  <c r="BV50" i="3"/>
  <c r="BT50" i="3"/>
  <c r="BK50" i="3"/>
  <c r="BB50" i="3"/>
  <c r="AS50" i="3"/>
  <c r="AJ50" i="3"/>
  <c r="AA50" i="3"/>
  <c r="R50" i="3"/>
  <c r="I50" i="3"/>
  <c r="CA49" i="3"/>
  <c r="BZ49" i="3"/>
  <c r="BY49" i="3"/>
  <c r="BX49" i="3"/>
  <c r="BW49" i="3"/>
  <c r="BV49" i="3"/>
  <c r="CC49" i="3" s="1"/>
  <c r="BT49" i="3"/>
  <c r="BK49" i="3"/>
  <c r="BB49" i="3"/>
  <c r="AS49" i="3"/>
  <c r="AJ49" i="3"/>
  <c r="AA49" i="3"/>
  <c r="R49" i="3"/>
  <c r="I49" i="3"/>
  <c r="CA48" i="3"/>
  <c r="BZ48" i="3"/>
  <c r="BY48" i="3"/>
  <c r="BX48" i="3"/>
  <c r="BW48" i="3"/>
  <c r="BV48" i="3"/>
  <c r="BT48" i="3"/>
  <c r="BK48" i="3"/>
  <c r="BB48" i="3"/>
  <c r="AS48" i="3"/>
  <c r="AJ48" i="3"/>
  <c r="AA48" i="3"/>
  <c r="R48" i="3"/>
  <c r="I48" i="3"/>
  <c r="CC47" i="3"/>
  <c r="CA47" i="3"/>
  <c r="BZ47" i="3"/>
  <c r="BY47" i="3"/>
  <c r="BX47" i="3"/>
  <c r="BW47" i="3"/>
  <c r="BV47" i="3"/>
  <c r="BT47" i="3"/>
  <c r="BK47" i="3"/>
  <c r="BB47" i="3"/>
  <c r="AS47" i="3"/>
  <c r="AJ47" i="3"/>
  <c r="AA47" i="3"/>
  <c r="R47" i="3"/>
  <c r="I47" i="3"/>
  <c r="CA46" i="3"/>
  <c r="BZ46" i="3"/>
  <c r="BY46" i="3"/>
  <c r="CC46" i="3" s="1"/>
  <c r="BX46" i="3"/>
  <c r="BW46" i="3"/>
  <c r="BV46" i="3"/>
  <c r="BT46" i="3"/>
  <c r="BK46" i="3"/>
  <c r="BB46" i="3"/>
  <c r="AS46" i="3"/>
  <c r="AJ46" i="3"/>
  <c r="AA46" i="3"/>
  <c r="R46" i="3"/>
  <c r="I46" i="3"/>
  <c r="CA45" i="3"/>
  <c r="BZ45" i="3"/>
  <c r="BY45" i="3"/>
  <c r="BX45" i="3"/>
  <c r="BW45" i="3"/>
  <c r="BV45" i="3"/>
  <c r="CC45" i="3" s="1"/>
  <c r="BT45" i="3"/>
  <c r="BK45" i="3"/>
  <c r="BB45" i="3"/>
  <c r="AS45" i="3"/>
  <c r="AJ45" i="3"/>
  <c r="AA45" i="3"/>
  <c r="R45" i="3"/>
  <c r="I45" i="3"/>
  <c r="CA44" i="3"/>
  <c r="BZ44" i="3"/>
  <c r="BY44" i="3"/>
  <c r="BX44" i="3"/>
  <c r="BW44" i="3"/>
  <c r="BV44" i="3"/>
  <c r="CC44" i="3" s="1"/>
  <c r="BT44" i="3"/>
  <c r="BK44" i="3"/>
  <c r="BB44" i="3"/>
  <c r="AS44" i="3"/>
  <c r="AJ44" i="3"/>
  <c r="AA44" i="3"/>
  <c r="R44" i="3"/>
  <c r="I44" i="3"/>
  <c r="CC43" i="3"/>
  <c r="CA43" i="3"/>
  <c r="BZ43" i="3"/>
  <c r="BY43" i="3"/>
  <c r="BX43" i="3"/>
  <c r="BW43" i="3"/>
  <c r="BV43" i="3"/>
  <c r="BT43" i="3"/>
  <c r="BK43" i="3"/>
  <c r="BB43" i="3"/>
  <c r="AS43" i="3"/>
  <c r="AJ43" i="3"/>
  <c r="AA43" i="3"/>
  <c r="R43" i="3"/>
  <c r="I43" i="3"/>
  <c r="CA42" i="3"/>
  <c r="BZ42" i="3"/>
  <c r="BY42" i="3"/>
  <c r="CC42" i="3" s="1"/>
  <c r="BX42" i="3"/>
  <c r="BW42" i="3"/>
  <c r="BV42" i="3"/>
  <c r="BT42" i="3"/>
  <c r="BK42" i="3"/>
  <c r="BK61" i="3" s="1"/>
  <c r="BK64" i="3" s="1"/>
  <c r="BB42" i="3"/>
  <c r="AS42" i="3"/>
  <c r="AJ42" i="3"/>
  <c r="AA42" i="3"/>
  <c r="R42" i="3"/>
  <c r="I42" i="3"/>
  <c r="CA41" i="3"/>
  <c r="BZ41" i="3"/>
  <c r="BY41" i="3"/>
  <c r="BX41" i="3"/>
  <c r="BW41" i="3"/>
  <c r="BW61" i="3" s="1"/>
  <c r="BW64" i="3" s="1"/>
  <c r="BV41" i="3"/>
  <c r="CC41" i="3" s="1"/>
  <c r="BT41" i="3"/>
  <c r="BK41" i="3"/>
  <c r="BB41" i="3"/>
  <c r="AS41" i="3"/>
  <c r="AJ41" i="3"/>
  <c r="AA41" i="3"/>
  <c r="R41" i="3"/>
  <c r="I41" i="3"/>
  <c r="CA40" i="3"/>
  <c r="BZ40" i="3"/>
  <c r="BY40" i="3"/>
  <c r="BX40" i="3"/>
  <c r="BW40" i="3"/>
  <c r="BV40" i="3"/>
  <c r="CC40" i="3" s="1"/>
  <c r="BT40" i="3"/>
  <c r="BK40" i="3"/>
  <c r="BB40" i="3"/>
  <c r="AS40" i="3"/>
  <c r="AJ40" i="3"/>
  <c r="AA40" i="3"/>
  <c r="R40" i="3"/>
  <c r="I40" i="3"/>
  <c r="I61" i="3" s="1"/>
  <c r="I64" i="3" s="1"/>
  <c r="CC39" i="3"/>
  <c r="CA39" i="3"/>
  <c r="BZ39" i="3"/>
  <c r="BY39" i="3"/>
  <c r="BX39" i="3"/>
  <c r="BX61" i="3" s="1"/>
  <c r="BX64" i="3" s="1"/>
  <c r="BW39" i="3"/>
  <c r="BV39" i="3"/>
  <c r="BV61" i="3" s="1"/>
  <c r="BV64" i="3" s="1"/>
  <c r="BT39" i="3"/>
  <c r="BT61" i="3" s="1"/>
  <c r="BT64" i="3" s="1"/>
  <c r="BK39" i="3"/>
  <c r="BB39" i="3"/>
  <c r="AS39" i="3"/>
  <c r="AS61" i="3" s="1"/>
  <c r="AS64" i="3" s="1"/>
  <c r="AJ39" i="3"/>
  <c r="AJ61" i="3" s="1"/>
  <c r="AJ64" i="3" s="1"/>
  <c r="AA39" i="3"/>
  <c r="R39" i="3"/>
  <c r="R61" i="3" s="1"/>
  <c r="R64" i="3" s="1"/>
  <c r="I39" i="3"/>
  <c r="CC38" i="3"/>
  <c r="CB38" i="3"/>
  <c r="CA38" i="3"/>
  <c r="BZ38" i="3"/>
  <c r="BY38" i="3"/>
  <c r="BX38" i="3"/>
  <c r="BW38" i="3"/>
  <c r="BV38" i="3"/>
  <c r="BT38" i="3"/>
  <c r="BS38" i="3"/>
  <c r="BR38" i="3"/>
  <c r="BQ38" i="3"/>
  <c r="BP38" i="3"/>
  <c r="BO38" i="3"/>
  <c r="BN38" i="3"/>
  <c r="BM38" i="3"/>
  <c r="BK38" i="3"/>
  <c r="BJ38" i="3"/>
  <c r="BI38" i="3"/>
  <c r="BH38" i="3"/>
  <c r="BG38" i="3"/>
  <c r="BF38" i="3"/>
  <c r="BE38" i="3"/>
  <c r="BD38" i="3"/>
  <c r="BB38" i="3"/>
  <c r="BA38" i="3"/>
  <c r="AZ38" i="3"/>
  <c r="AY38" i="3"/>
  <c r="AX38" i="3"/>
  <c r="AW38" i="3"/>
  <c r="AV38" i="3"/>
  <c r="AU38" i="3"/>
  <c r="AS38" i="3"/>
  <c r="AR38" i="3"/>
  <c r="AQ38" i="3"/>
  <c r="AP38" i="3"/>
  <c r="AO38" i="3"/>
  <c r="AN38" i="3"/>
  <c r="AM38" i="3"/>
  <c r="AL38" i="3"/>
  <c r="AJ38" i="3"/>
  <c r="AI38" i="3"/>
  <c r="AH38" i="3"/>
  <c r="AG38" i="3"/>
  <c r="AF38" i="3"/>
  <c r="AE38" i="3"/>
  <c r="AD38" i="3"/>
  <c r="AC38" i="3"/>
  <c r="AA38" i="3"/>
  <c r="Z38" i="3"/>
  <c r="Y38" i="3"/>
  <c r="X38" i="3"/>
  <c r="W38" i="3"/>
  <c r="V38" i="3"/>
  <c r="U38" i="3"/>
  <c r="T38" i="3"/>
  <c r="R38" i="3"/>
  <c r="Q38" i="3"/>
  <c r="P38" i="3"/>
  <c r="O38" i="3"/>
  <c r="N38" i="3"/>
  <c r="M38" i="3"/>
  <c r="L38" i="3"/>
  <c r="K38" i="3"/>
  <c r="I38" i="3"/>
  <c r="H38" i="3"/>
  <c r="G38" i="3"/>
  <c r="F38" i="3"/>
  <c r="E38" i="3"/>
  <c r="D38" i="3"/>
  <c r="C38" i="3"/>
  <c r="B38" i="3"/>
  <c r="CB36" i="3"/>
  <c r="CB63" i="3" s="1"/>
  <c r="CB65" i="3" s="1"/>
  <c r="BS36" i="3"/>
  <c r="BR36" i="3"/>
  <c r="BQ36" i="3"/>
  <c r="BQ63" i="3" s="1"/>
  <c r="BQ65" i="3" s="1"/>
  <c r="BO36" i="3"/>
  <c r="BO63" i="3" s="1"/>
  <c r="BN36" i="3"/>
  <c r="BN135" i="3" s="1"/>
  <c r="BM36" i="3"/>
  <c r="BM135" i="3" s="1"/>
  <c r="BJ36" i="3"/>
  <c r="BI36" i="3"/>
  <c r="BH36" i="3"/>
  <c r="BH140" i="3" s="1"/>
  <c r="BF36" i="3"/>
  <c r="BF135" i="3" s="1"/>
  <c r="BE36" i="3"/>
  <c r="BD36" i="3"/>
  <c r="BB36" i="3"/>
  <c r="BB63" i="3" s="1"/>
  <c r="BA36" i="3"/>
  <c r="BA63" i="3" s="1"/>
  <c r="BA65" i="3" s="1"/>
  <c r="AZ36" i="3"/>
  <c r="AY36" i="3"/>
  <c r="AW36" i="3"/>
  <c r="AV36" i="3"/>
  <c r="AU36" i="3"/>
  <c r="AR36" i="3"/>
  <c r="AQ36" i="3"/>
  <c r="AQ135" i="3" s="1"/>
  <c r="AP36" i="3"/>
  <c r="AN36" i="3"/>
  <c r="AN63" i="3" s="1"/>
  <c r="AM36" i="3"/>
  <c r="AL36" i="3"/>
  <c r="AL135" i="3" s="1"/>
  <c r="AI36" i="3"/>
  <c r="AH36" i="3"/>
  <c r="AG36" i="3"/>
  <c r="AE36" i="3"/>
  <c r="AE140" i="3" s="1"/>
  <c r="AD36" i="3"/>
  <c r="AC36" i="3"/>
  <c r="AC135" i="3" s="1"/>
  <c r="Z36" i="3"/>
  <c r="Y36" i="3"/>
  <c r="Y135" i="3" s="1"/>
  <c r="X36" i="3"/>
  <c r="X63" i="3" s="1"/>
  <c r="X65" i="3" s="1"/>
  <c r="V36" i="3"/>
  <c r="V63" i="3" s="1"/>
  <c r="U36" i="3"/>
  <c r="T36" i="3"/>
  <c r="Q36" i="3"/>
  <c r="P36" i="3"/>
  <c r="P63" i="3" s="1"/>
  <c r="P65" i="3" s="1"/>
  <c r="O36" i="3"/>
  <c r="O63" i="3" s="1"/>
  <c r="O65" i="3" s="1"/>
  <c r="M36" i="3"/>
  <c r="M140" i="3" s="1"/>
  <c r="L36" i="3"/>
  <c r="K36" i="3"/>
  <c r="K140" i="3" s="1"/>
  <c r="H36" i="3"/>
  <c r="G36" i="3"/>
  <c r="G63" i="3" s="1"/>
  <c r="F36" i="3"/>
  <c r="D36" i="3"/>
  <c r="C36" i="3"/>
  <c r="C63" i="3" s="1"/>
  <c r="B36" i="3"/>
  <c r="B63" i="3" s="1"/>
  <c r="B65" i="3" s="1"/>
  <c r="CA35" i="3"/>
  <c r="BZ35" i="3"/>
  <c r="BY35" i="3"/>
  <c r="BX35" i="3"/>
  <c r="BW35" i="3"/>
  <c r="BV35" i="3"/>
  <c r="CC35" i="3" s="1"/>
  <c r="BT35" i="3"/>
  <c r="BK35" i="3"/>
  <c r="BB35" i="3"/>
  <c r="AS35" i="3"/>
  <c r="AJ35" i="3"/>
  <c r="AA35" i="3"/>
  <c r="R35" i="3"/>
  <c r="I35" i="3"/>
  <c r="CA34" i="3"/>
  <c r="BZ34" i="3"/>
  <c r="BY34" i="3"/>
  <c r="BX34" i="3"/>
  <c r="BW34" i="3"/>
  <c r="BV34" i="3"/>
  <c r="BT34" i="3"/>
  <c r="BK34" i="3"/>
  <c r="BB34" i="3"/>
  <c r="AS34" i="3"/>
  <c r="AJ34" i="3"/>
  <c r="AA34" i="3"/>
  <c r="R34" i="3"/>
  <c r="I34" i="3"/>
  <c r="CC33" i="3"/>
  <c r="CA33" i="3"/>
  <c r="BZ33" i="3"/>
  <c r="BY33" i="3"/>
  <c r="BX33" i="3"/>
  <c r="BW33" i="3"/>
  <c r="BV33" i="3"/>
  <c r="BT33" i="3"/>
  <c r="BK33" i="3"/>
  <c r="BB33" i="3"/>
  <c r="AS33" i="3"/>
  <c r="AJ33" i="3"/>
  <c r="AA33" i="3"/>
  <c r="R33" i="3"/>
  <c r="I33" i="3"/>
  <c r="CA32" i="3"/>
  <c r="BZ32" i="3"/>
  <c r="BY32" i="3"/>
  <c r="CC32" i="3" s="1"/>
  <c r="BX32" i="3"/>
  <c r="BW32" i="3"/>
  <c r="BV32" i="3"/>
  <c r="BT32" i="3"/>
  <c r="BK32" i="3"/>
  <c r="BB32" i="3"/>
  <c r="AS32" i="3"/>
  <c r="AJ32" i="3"/>
  <c r="AA32" i="3"/>
  <c r="R32" i="3"/>
  <c r="I32" i="3"/>
  <c r="CA31" i="3"/>
  <c r="BZ31" i="3"/>
  <c r="BY31" i="3"/>
  <c r="BX31" i="3"/>
  <c r="BW31" i="3"/>
  <c r="BV31" i="3"/>
  <c r="CC31" i="3" s="1"/>
  <c r="BT31" i="3"/>
  <c r="BK31" i="3"/>
  <c r="BB31" i="3"/>
  <c r="AS31" i="3"/>
  <c r="AJ31" i="3"/>
  <c r="AA31" i="3"/>
  <c r="R31" i="3"/>
  <c r="I31" i="3"/>
  <c r="CA30" i="3"/>
  <c r="BZ30" i="3"/>
  <c r="BZ36" i="3" s="1"/>
  <c r="BY30" i="3"/>
  <c r="BX30" i="3"/>
  <c r="BW30" i="3"/>
  <c r="BV30" i="3"/>
  <c r="BT30" i="3"/>
  <c r="BK30" i="3"/>
  <c r="BB30" i="3"/>
  <c r="AS30" i="3"/>
  <c r="AJ30" i="3"/>
  <c r="AA30" i="3"/>
  <c r="R30" i="3"/>
  <c r="I30" i="3"/>
  <c r="I36" i="3" s="1"/>
  <c r="I63" i="3" s="1"/>
  <c r="CC29" i="3"/>
  <c r="CA29" i="3"/>
  <c r="BZ29" i="3"/>
  <c r="BY29" i="3"/>
  <c r="BX29" i="3"/>
  <c r="BW29" i="3"/>
  <c r="BV29" i="3"/>
  <c r="BT29" i="3"/>
  <c r="BK29" i="3"/>
  <c r="BB29" i="3"/>
  <c r="AS29" i="3"/>
  <c r="AJ29" i="3"/>
  <c r="AA29" i="3"/>
  <c r="R29" i="3"/>
  <c r="I29" i="3"/>
  <c r="CA28" i="3"/>
  <c r="BZ28" i="3"/>
  <c r="BY28" i="3"/>
  <c r="CC28" i="3" s="1"/>
  <c r="BX28" i="3"/>
  <c r="BX36" i="3" s="1"/>
  <c r="BX63" i="3" s="1"/>
  <c r="BW28" i="3"/>
  <c r="BV28" i="3"/>
  <c r="BT28" i="3"/>
  <c r="BK28" i="3"/>
  <c r="BB28" i="3"/>
  <c r="AS28" i="3"/>
  <c r="AJ28" i="3"/>
  <c r="AA28" i="3"/>
  <c r="R28" i="3"/>
  <c r="R36" i="3" s="1"/>
  <c r="R63" i="3" s="1"/>
  <c r="R65" i="3" s="1"/>
  <c r="I28" i="3"/>
  <c r="CA27" i="3"/>
  <c r="CA36" i="3" s="1"/>
  <c r="CA63" i="3" s="1"/>
  <c r="CA65" i="3" s="1"/>
  <c r="BZ27" i="3"/>
  <c r="BY27" i="3"/>
  <c r="BX27" i="3"/>
  <c r="BW27" i="3"/>
  <c r="BW36" i="3" s="1"/>
  <c r="BW63" i="3" s="1"/>
  <c r="BW65" i="3" s="1"/>
  <c r="BV27" i="3"/>
  <c r="BT27" i="3"/>
  <c r="BT36" i="3" s="1"/>
  <c r="BT63" i="3" s="1"/>
  <c r="BK27" i="3"/>
  <c r="BB27" i="3"/>
  <c r="AS27" i="3"/>
  <c r="AS36" i="3" s="1"/>
  <c r="AS63" i="3" s="1"/>
  <c r="AS65" i="3" s="1"/>
  <c r="AJ27" i="3"/>
  <c r="AA27" i="3"/>
  <c r="R27" i="3"/>
  <c r="I27" i="3"/>
  <c r="CC26" i="3"/>
  <c r="CB26" i="3"/>
  <c r="CA26" i="3"/>
  <c r="BZ26" i="3"/>
  <c r="BY26" i="3"/>
  <c r="BX26" i="3"/>
  <c r="BW26" i="3"/>
  <c r="BV26" i="3"/>
  <c r="BT26" i="3"/>
  <c r="BS26" i="3"/>
  <c r="BR26" i="3"/>
  <c r="BQ26" i="3"/>
  <c r="BP26" i="3"/>
  <c r="BO26" i="3"/>
  <c r="BN26" i="3"/>
  <c r="BM26" i="3"/>
  <c r="BK26" i="3"/>
  <c r="BJ26" i="3"/>
  <c r="BI26" i="3"/>
  <c r="BH26" i="3"/>
  <c r="BG26" i="3"/>
  <c r="BF26" i="3"/>
  <c r="BE26" i="3"/>
  <c r="BD26" i="3"/>
  <c r="BB26" i="3"/>
  <c r="BA26" i="3"/>
  <c r="AZ26" i="3"/>
  <c r="AY26" i="3"/>
  <c r="AX26" i="3"/>
  <c r="AW26" i="3"/>
  <c r="AV26" i="3"/>
  <c r="AU26" i="3"/>
  <c r="AS26" i="3"/>
  <c r="AR26" i="3"/>
  <c r="AQ26" i="3"/>
  <c r="AP26" i="3"/>
  <c r="AO26" i="3"/>
  <c r="AN26" i="3"/>
  <c r="AM26" i="3"/>
  <c r="AL26" i="3"/>
  <c r="AJ26" i="3"/>
  <c r="AI26" i="3"/>
  <c r="AH26" i="3"/>
  <c r="AG26" i="3"/>
  <c r="AF26" i="3"/>
  <c r="AE26" i="3"/>
  <c r="AD26" i="3"/>
  <c r="AC26" i="3"/>
  <c r="AA26" i="3"/>
  <c r="Z26" i="3"/>
  <c r="Y26" i="3"/>
  <c r="X26" i="3"/>
  <c r="W26" i="3"/>
  <c r="V26" i="3"/>
  <c r="U26" i="3"/>
  <c r="T26" i="3"/>
  <c r="R26" i="3"/>
  <c r="Q26" i="3"/>
  <c r="P26" i="3"/>
  <c r="O26" i="3"/>
  <c r="N26" i="3"/>
  <c r="M26" i="3"/>
  <c r="L26" i="3"/>
  <c r="K26" i="3"/>
  <c r="I26" i="3"/>
  <c r="H26" i="3"/>
  <c r="G26" i="3"/>
  <c r="F26" i="3"/>
  <c r="E26" i="3"/>
  <c r="D26" i="3"/>
  <c r="C26" i="3"/>
  <c r="B26" i="3"/>
  <c r="CA24" i="3"/>
  <c r="BZ24" i="3"/>
  <c r="BY24" i="3"/>
  <c r="BX24" i="3"/>
  <c r="BW24" i="3"/>
  <c r="BV24" i="3"/>
  <c r="CC24" i="3" s="1"/>
  <c r="BT24" i="3"/>
  <c r="BK24" i="3"/>
  <c r="BB24" i="3"/>
  <c r="AS24" i="3"/>
  <c r="AJ24" i="3"/>
  <c r="AA24" i="3"/>
  <c r="R24" i="3"/>
  <c r="I24" i="3"/>
  <c r="CC23" i="3"/>
  <c r="CA23" i="3"/>
  <c r="BZ23" i="3"/>
  <c r="BY23" i="3"/>
  <c r="BX23" i="3"/>
  <c r="BW23" i="3"/>
  <c r="BV23" i="3"/>
  <c r="BT23" i="3"/>
  <c r="BK23" i="3"/>
  <c r="BB23" i="3"/>
  <c r="AS23" i="3"/>
  <c r="AJ23" i="3"/>
  <c r="AA23" i="3"/>
  <c r="R23" i="3"/>
  <c r="I23" i="3"/>
  <c r="CA22" i="3"/>
  <c r="BZ22" i="3"/>
  <c r="BY22" i="3"/>
  <c r="BX22" i="3"/>
  <c r="BW22" i="3"/>
  <c r="BT22" i="3"/>
  <c r="BK22" i="3"/>
  <c r="D22" i="11" s="1"/>
  <c r="BB22" i="3"/>
  <c r="D22" i="9" s="1"/>
  <c r="AS22" i="3"/>
  <c r="AL76" i="3"/>
  <c r="AS76" i="3" s="1"/>
  <c r="AJ22" i="3"/>
  <c r="T76" i="3"/>
  <c r="AA76" i="3" s="1"/>
  <c r="R22" i="3"/>
  <c r="K76" i="3"/>
  <c r="R76" i="3" s="1"/>
  <c r="I22" i="3"/>
  <c r="CA21" i="3"/>
  <c r="BZ21" i="3"/>
  <c r="BY21" i="3"/>
  <c r="BX21" i="3"/>
  <c r="BW21" i="3"/>
  <c r="BV21" i="3"/>
  <c r="BT21" i="3"/>
  <c r="BK21" i="3"/>
  <c r="D21" i="11" s="1"/>
  <c r="BB21" i="3"/>
  <c r="D21" i="9" s="1"/>
  <c r="AS21" i="3"/>
  <c r="AJ21" i="3"/>
  <c r="AA21" i="3"/>
  <c r="R21" i="3"/>
  <c r="I21" i="3"/>
  <c r="CA20" i="3"/>
  <c r="BZ20" i="3"/>
  <c r="BY20" i="3"/>
  <c r="BX20" i="3"/>
  <c r="BW20" i="3"/>
  <c r="BV20" i="3"/>
  <c r="BT20" i="3"/>
  <c r="BK20" i="3"/>
  <c r="D20" i="11" s="1"/>
  <c r="BB20" i="3"/>
  <c r="D20" i="9" s="1"/>
  <c r="AS20" i="3"/>
  <c r="AJ20" i="3"/>
  <c r="AA20" i="3"/>
  <c r="R20" i="3"/>
  <c r="I20" i="3"/>
  <c r="CC19" i="3"/>
  <c r="CB19" i="3"/>
  <c r="CA19" i="3"/>
  <c r="BZ19" i="3"/>
  <c r="BY19" i="3"/>
  <c r="BX19" i="3"/>
  <c r="BW19" i="3"/>
  <c r="BV19" i="3"/>
  <c r="BT19" i="3"/>
  <c r="BS19" i="3"/>
  <c r="BR19" i="3"/>
  <c r="BQ19" i="3"/>
  <c r="BP19" i="3"/>
  <c r="BO19" i="3"/>
  <c r="BN19" i="3"/>
  <c r="BM19" i="3"/>
  <c r="BK19" i="3"/>
  <c r="BJ19" i="3"/>
  <c r="BI19" i="3"/>
  <c r="BH19" i="3"/>
  <c r="BG19" i="3"/>
  <c r="BF19" i="3"/>
  <c r="BE19" i="3"/>
  <c r="BD19" i="3"/>
  <c r="BB19" i="3"/>
  <c r="BA19" i="3"/>
  <c r="AZ19" i="3"/>
  <c r="AY19" i="3"/>
  <c r="AX19" i="3"/>
  <c r="AW19" i="3"/>
  <c r="AV19" i="3"/>
  <c r="AU19" i="3"/>
  <c r="AS19" i="3"/>
  <c r="AR19" i="3"/>
  <c r="AQ19" i="3"/>
  <c r="AP19" i="3"/>
  <c r="AO19" i="3"/>
  <c r="AN19" i="3"/>
  <c r="AM19" i="3"/>
  <c r="AL19" i="3"/>
  <c r="AJ19" i="3"/>
  <c r="AI19" i="3"/>
  <c r="AH19" i="3"/>
  <c r="AG19" i="3"/>
  <c r="AF19" i="3"/>
  <c r="AE19" i="3"/>
  <c r="AD19" i="3"/>
  <c r="AC19" i="3"/>
  <c r="AA19" i="3"/>
  <c r="Z19" i="3"/>
  <c r="Y19" i="3"/>
  <c r="X19" i="3"/>
  <c r="W19" i="3"/>
  <c r="V19" i="3"/>
  <c r="U19" i="3"/>
  <c r="T19" i="3"/>
  <c r="R19" i="3"/>
  <c r="Q19" i="3"/>
  <c r="P19" i="3"/>
  <c r="O19" i="3"/>
  <c r="N19" i="3"/>
  <c r="M19" i="3"/>
  <c r="L19" i="3"/>
  <c r="K19" i="3"/>
  <c r="I19" i="3"/>
  <c r="H19" i="3"/>
  <c r="G19" i="3"/>
  <c r="F19" i="3"/>
  <c r="E19" i="3"/>
  <c r="D19" i="3"/>
  <c r="C19" i="3"/>
  <c r="B19" i="3"/>
  <c r="CB17" i="3"/>
  <c r="BS17" i="3"/>
  <c r="BR17" i="3"/>
  <c r="BQ17" i="3"/>
  <c r="BO17" i="3"/>
  <c r="BN17" i="3"/>
  <c r="BM17" i="3"/>
  <c r="BO84" i="3" s="1"/>
  <c r="BJ17" i="3"/>
  <c r="BI17" i="3"/>
  <c r="BH17" i="3"/>
  <c r="BF17" i="3"/>
  <c r="BE17" i="3"/>
  <c r="BD17" i="3"/>
  <c r="BA17" i="3"/>
  <c r="AZ17" i="3"/>
  <c r="AY17" i="3"/>
  <c r="AW17" i="3"/>
  <c r="AV17" i="3"/>
  <c r="AU17" i="3"/>
  <c r="AU159" i="3" s="1"/>
  <c r="AR17" i="3"/>
  <c r="AQ17" i="3"/>
  <c r="AP17" i="3"/>
  <c r="AN17" i="3"/>
  <c r="AM17" i="3"/>
  <c r="AI17" i="3"/>
  <c r="AH17" i="3"/>
  <c r="AG17" i="3"/>
  <c r="AE17" i="3"/>
  <c r="AD17" i="3"/>
  <c r="Z17" i="3"/>
  <c r="Y17" i="3"/>
  <c r="X17" i="3"/>
  <c r="V17" i="3"/>
  <c r="U17" i="3"/>
  <c r="T17" i="3"/>
  <c r="Q17" i="3"/>
  <c r="P17" i="3"/>
  <c r="O17" i="3"/>
  <c r="M17" i="3"/>
  <c r="L17" i="3"/>
  <c r="H17" i="3"/>
  <c r="G17" i="3"/>
  <c r="F17" i="3"/>
  <c r="D17" i="3"/>
  <c r="C17" i="3"/>
  <c r="CA16" i="3"/>
  <c r="BZ16" i="3"/>
  <c r="BY16" i="3"/>
  <c r="BX16" i="3"/>
  <c r="BW16" i="3"/>
  <c r="BV16" i="3"/>
  <c r="CC16" i="3" s="1"/>
  <c r="BT16" i="3"/>
  <c r="BK16" i="3"/>
  <c r="BB16" i="3"/>
  <c r="AS16" i="3"/>
  <c r="AJ16" i="3"/>
  <c r="AA16" i="3"/>
  <c r="R16" i="3"/>
  <c r="I16" i="3"/>
  <c r="CA15" i="3"/>
  <c r="BZ15" i="3"/>
  <c r="BY15" i="3"/>
  <c r="BX15" i="3"/>
  <c r="BW15" i="3"/>
  <c r="BV15" i="3"/>
  <c r="CC15" i="3" s="1"/>
  <c r="BT15" i="3"/>
  <c r="BK15" i="3"/>
  <c r="BB15" i="3"/>
  <c r="AS15" i="3"/>
  <c r="AT15" i="3" s="1"/>
  <c r="AJ15" i="3"/>
  <c r="AA15" i="3"/>
  <c r="R15" i="3"/>
  <c r="I15" i="3"/>
  <c r="CA14" i="3"/>
  <c r="BZ14" i="3"/>
  <c r="BY14" i="3"/>
  <c r="BX14" i="3"/>
  <c r="BW14" i="3"/>
  <c r="BV14" i="3"/>
  <c r="BT14" i="3"/>
  <c r="BK14" i="3"/>
  <c r="BB14" i="3"/>
  <c r="AS14" i="3"/>
  <c r="AT14" i="3" s="1"/>
  <c r="AJ14" i="3"/>
  <c r="AA14" i="3"/>
  <c r="R14" i="3"/>
  <c r="I14" i="3"/>
  <c r="CA13" i="3"/>
  <c r="BZ13" i="3"/>
  <c r="BY13" i="3"/>
  <c r="BX13" i="3"/>
  <c r="BW13" i="3"/>
  <c r="BV13" i="3"/>
  <c r="CC13" i="3" s="1"/>
  <c r="BT13" i="3"/>
  <c r="BK13" i="3"/>
  <c r="BB13" i="3"/>
  <c r="AS13" i="3"/>
  <c r="AT13" i="3" s="1"/>
  <c r="AJ13" i="3"/>
  <c r="AA13" i="3"/>
  <c r="R13" i="3"/>
  <c r="I13" i="3"/>
  <c r="CA12" i="3"/>
  <c r="BZ12" i="3"/>
  <c r="BY12" i="3"/>
  <c r="BX12" i="3"/>
  <c r="BW12" i="3"/>
  <c r="BV12" i="3"/>
  <c r="CC12" i="3" s="1"/>
  <c r="BT12" i="3"/>
  <c r="BK12" i="3"/>
  <c r="BB12" i="3"/>
  <c r="AS12" i="3"/>
  <c r="AT12" i="3" s="1"/>
  <c r="AJ12" i="3"/>
  <c r="AC3" i="3"/>
  <c r="AA12" i="3"/>
  <c r="R12" i="3"/>
  <c r="I12" i="3"/>
  <c r="CA11" i="3"/>
  <c r="BZ11" i="3"/>
  <c r="BY11" i="3"/>
  <c r="BX11" i="3"/>
  <c r="BW11" i="3"/>
  <c r="BV11" i="3"/>
  <c r="BT11" i="3"/>
  <c r="BK11" i="3"/>
  <c r="BB11" i="3"/>
  <c r="AS11" i="3"/>
  <c r="AT11" i="3" s="1"/>
  <c r="AJ11" i="3"/>
  <c r="AA11" i="3"/>
  <c r="R11" i="3"/>
  <c r="I11" i="3"/>
  <c r="CA10" i="3"/>
  <c r="BZ10" i="3"/>
  <c r="BY10" i="3"/>
  <c r="BX10" i="3"/>
  <c r="BW10" i="3"/>
  <c r="BV10" i="3"/>
  <c r="BT10" i="3"/>
  <c r="BK10" i="3"/>
  <c r="BB10" i="3"/>
  <c r="AS10" i="3"/>
  <c r="AT10" i="3" s="1"/>
  <c r="AJ10" i="3"/>
  <c r="AA10" i="3"/>
  <c r="R10" i="3"/>
  <c r="I10" i="3"/>
  <c r="CA9" i="3"/>
  <c r="BZ9" i="3"/>
  <c r="BY9" i="3"/>
  <c r="BX9" i="3"/>
  <c r="BW9" i="3"/>
  <c r="BV9" i="3"/>
  <c r="CC9" i="3" s="1"/>
  <c r="BT9" i="3"/>
  <c r="BT17" i="3" s="1"/>
  <c r="BK9" i="3"/>
  <c r="BB9" i="3"/>
  <c r="AS9" i="3"/>
  <c r="AJ9" i="3"/>
  <c r="AA9" i="3"/>
  <c r="R9" i="3"/>
  <c r="I9" i="3"/>
  <c r="J9" i="3" s="1"/>
  <c r="CA8" i="3"/>
  <c r="BZ8" i="3"/>
  <c r="BY8" i="3"/>
  <c r="BX8" i="3"/>
  <c r="BW8" i="3"/>
  <c r="BT8" i="3"/>
  <c r="BK8" i="3"/>
  <c r="BB8" i="3"/>
  <c r="AS8" i="3"/>
  <c r="AJ8" i="3"/>
  <c r="AA8" i="3"/>
  <c r="R8" i="3"/>
  <c r="CA7" i="3"/>
  <c r="BZ7" i="3"/>
  <c r="BY7" i="3"/>
  <c r="BX7" i="3"/>
  <c r="BW7" i="3"/>
  <c r="BT7" i="3"/>
  <c r="BK7" i="3"/>
  <c r="BB7" i="3"/>
  <c r="AL7" i="3"/>
  <c r="AJ7" i="3"/>
  <c r="AA7" i="3"/>
  <c r="R7" i="3"/>
  <c r="I7" i="3"/>
  <c r="CA6" i="3"/>
  <c r="BZ6" i="3"/>
  <c r="BY6" i="3"/>
  <c r="BX6" i="3"/>
  <c r="BW6" i="3"/>
  <c r="BT6" i="3"/>
  <c r="BK6" i="3"/>
  <c r="BB6" i="3"/>
  <c r="AS6" i="3"/>
  <c r="AL6" i="3"/>
  <c r="AJ6" i="3"/>
  <c r="AA6" i="3"/>
  <c r="T6" i="3"/>
  <c r="R6" i="3"/>
  <c r="B6" i="3"/>
  <c r="BV6" i="3" s="1"/>
  <c r="CC6" i="3" s="1"/>
  <c r="CA5" i="3"/>
  <c r="BZ5" i="3"/>
  <c r="BY5" i="3"/>
  <c r="BX5" i="3"/>
  <c r="BW5" i="3"/>
  <c r="BT5" i="3"/>
  <c r="BK5" i="3"/>
  <c r="BB5" i="3"/>
  <c r="AL5" i="3"/>
  <c r="AS5" i="3" s="1"/>
  <c r="AJ5" i="3"/>
  <c r="T5" i="3"/>
  <c r="AA5" i="3" s="1"/>
  <c r="R5" i="3"/>
  <c r="K5" i="3"/>
  <c r="I5" i="3"/>
  <c r="CA4" i="3"/>
  <c r="BZ4" i="3"/>
  <c r="BZ17" i="3" s="1"/>
  <c r="BY4" i="3"/>
  <c r="BX4" i="3"/>
  <c r="BX17" i="3" s="1"/>
  <c r="BW4" i="3"/>
  <c r="BW17" i="3" s="1"/>
  <c r="BT4" i="3"/>
  <c r="BK4" i="3"/>
  <c r="BB4" i="3"/>
  <c r="AS4" i="3"/>
  <c r="AL4" i="3"/>
  <c r="AJ4" i="3"/>
  <c r="T4" i="3"/>
  <c r="AA4" i="3" s="1"/>
  <c r="K4" i="3"/>
  <c r="I4" i="3"/>
  <c r="B4" i="3"/>
  <c r="BV4" i="3" s="1"/>
  <c r="BM3" i="3"/>
  <c r="BM74" i="3" s="1"/>
  <c r="BD3" i="3"/>
  <c r="BD74" i="3" s="1"/>
  <c r="AU3" i="3"/>
  <c r="AU74" i="3" s="1"/>
  <c r="AL3" i="3"/>
  <c r="T3" i="3"/>
  <c r="AA3" i="3" s="1"/>
  <c r="CC2" i="3"/>
  <c r="BT2" i="3"/>
  <c r="BK2" i="3"/>
  <c r="BB2" i="3"/>
  <c r="AS2" i="3"/>
  <c r="AJ2" i="3"/>
  <c r="AA2" i="3"/>
  <c r="R2" i="3"/>
  <c r="I2" i="3"/>
  <c r="BT218" i="2"/>
  <c r="BT217" i="2"/>
  <c r="BT216" i="2"/>
  <c r="BT215" i="2"/>
  <c r="BT214" i="2"/>
  <c r="BT213" i="2"/>
  <c r="BS209" i="2"/>
  <c r="BR209" i="2"/>
  <c r="BQ209" i="2"/>
  <c r="BP209" i="2"/>
  <c r="BO209" i="2"/>
  <c r="BN209" i="2"/>
  <c r="BM209" i="2"/>
  <c r="BT208" i="2"/>
  <c r="BT207" i="2"/>
  <c r="BT206" i="2"/>
  <c r="BT205" i="2"/>
  <c r="BT204" i="2"/>
  <c r="BT203" i="2"/>
  <c r="BT202" i="2"/>
  <c r="BT201" i="2"/>
  <c r="BT200" i="2"/>
  <c r="BT199" i="2"/>
  <c r="BT209" i="2" s="1"/>
  <c r="BT198" i="2"/>
  <c r="BS198" i="2"/>
  <c r="BR198" i="2"/>
  <c r="BQ198" i="2"/>
  <c r="BP198" i="2"/>
  <c r="BO198" i="2"/>
  <c r="BN198" i="2"/>
  <c r="BM198" i="2"/>
  <c r="BS197" i="2"/>
  <c r="BR197" i="2"/>
  <c r="BQ197" i="2"/>
  <c r="BP197" i="2"/>
  <c r="BN197" i="2"/>
  <c r="BM197" i="2"/>
  <c r="BT196" i="2"/>
  <c r="BT195" i="2"/>
  <c r="BT193" i="2"/>
  <c r="BT192" i="2"/>
  <c r="BT191" i="2"/>
  <c r="BT190" i="2"/>
  <c r="BT189" i="2"/>
  <c r="BT188" i="2"/>
  <c r="BT187" i="2"/>
  <c r="BT186" i="2"/>
  <c r="BT185" i="2"/>
  <c r="BT184" i="2"/>
  <c r="BO183" i="2"/>
  <c r="BO197" i="2" s="1"/>
  <c r="BT182" i="2"/>
  <c r="BT181" i="2"/>
  <c r="BT180" i="2"/>
  <c r="BT179" i="2"/>
  <c r="BT178" i="2"/>
  <c r="BT177" i="2"/>
  <c r="BT176" i="2"/>
  <c r="BT175" i="2"/>
  <c r="BT174" i="2"/>
  <c r="BT173" i="2"/>
  <c r="BT172" i="2"/>
  <c r="BT171" i="2"/>
  <c r="BS171" i="2"/>
  <c r="BR171" i="2"/>
  <c r="BQ171" i="2"/>
  <c r="BP171" i="2"/>
  <c r="BO171" i="2"/>
  <c r="BN171" i="2"/>
  <c r="BM171" i="2"/>
  <c r="BP170" i="2"/>
  <c r="BO170" i="2"/>
  <c r="BT169" i="2"/>
  <c r="BT165" i="2"/>
  <c r="BT164" i="2"/>
  <c r="BT163" i="2"/>
  <c r="BT162" i="2"/>
  <c r="BT159" i="2"/>
  <c r="BT158" i="2"/>
  <c r="BN157" i="2"/>
  <c r="BT157" i="2" s="1"/>
  <c r="BT156" i="2"/>
  <c r="BT155" i="2"/>
  <c r="BS155" i="2"/>
  <c r="BR155" i="2"/>
  <c r="BQ155" i="2"/>
  <c r="BP155" i="2"/>
  <c r="BO155" i="2"/>
  <c r="BN155" i="2"/>
  <c r="BM155" i="2"/>
  <c r="BS154" i="2"/>
  <c r="BR154" i="2"/>
  <c r="BQ154" i="2"/>
  <c r="BP154" i="2"/>
  <c r="BO154" i="2"/>
  <c r="BN154" i="2"/>
  <c r="BT152" i="2"/>
  <c r="BN151" i="2"/>
  <c r="BM151" i="2"/>
  <c r="BT151" i="2" s="1"/>
  <c r="BT145" i="2"/>
  <c r="BM144" i="2"/>
  <c r="BT144" i="2" s="1"/>
  <c r="BT143" i="2"/>
  <c r="BS143" i="2"/>
  <c r="BR143" i="2"/>
  <c r="BQ143" i="2"/>
  <c r="BP143" i="2"/>
  <c r="BO143" i="2"/>
  <c r="BN143" i="2"/>
  <c r="BM143" i="2"/>
  <c r="BQ140" i="2"/>
  <c r="BT139" i="2"/>
  <c r="BT138" i="2"/>
  <c r="BT137" i="2"/>
  <c r="BQ135" i="2"/>
  <c r="BP135" i="2"/>
  <c r="BO135" i="2"/>
  <c r="BN135" i="2"/>
  <c r="BS131" i="2"/>
  <c r="BR131" i="2"/>
  <c r="BQ131" i="2"/>
  <c r="BP130" i="2"/>
  <c r="BP140" i="2" s="1"/>
  <c r="BO130" i="2"/>
  <c r="BO131" i="2" s="1"/>
  <c r="BN130" i="2"/>
  <c r="BT130" i="2" s="1"/>
  <c r="BM130" i="2"/>
  <c r="BN129" i="2"/>
  <c r="BN131" i="2" s="1"/>
  <c r="BM129" i="2"/>
  <c r="BM131" i="2" s="1"/>
  <c r="BM132" i="2" s="1"/>
  <c r="BT128" i="2"/>
  <c r="BT127" i="2"/>
  <c r="BT126" i="2"/>
  <c r="BT125" i="2"/>
  <c r="BT124" i="2"/>
  <c r="BT123" i="2"/>
  <c r="BS121" i="2"/>
  <c r="BS132" i="2" s="1"/>
  <c r="BR121" i="2"/>
  <c r="BR132" i="2" s="1"/>
  <c r="BP121" i="2"/>
  <c r="BO121" i="2"/>
  <c r="BM121" i="2"/>
  <c r="BO120" i="2"/>
  <c r="BT120" i="2" s="1"/>
  <c r="BT119" i="2"/>
  <c r="BM119" i="2"/>
  <c r="BT118" i="2"/>
  <c r="BQ118" i="2"/>
  <c r="BQ121" i="2" s="1"/>
  <c r="BQ132" i="2" s="1"/>
  <c r="BO118" i="2"/>
  <c r="BN118" i="2"/>
  <c r="BM118" i="2"/>
  <c r="BT117" i="2"/>
  <c r="BM117" i="2"/>
  <c r="BT116" i="2"/>
  <c r="BM116" i="2"/>
  <c r="BN115" i="2"/>
  <c r="BT115" i="2" s="1"/>
  <c r="BT114" i="2"/>
  <c r="BT113" i="2"/>
  <c r="BT112" i="2"/>
  <c r="BM111" i="2"/>
  <c r="BT111" i="2" s="1"/>
  <c r="BT110" i="2"/>
  <c r="BT109" i="2"/>
  <c r="BT108" i="2"/>
  <c r="BT107" i="2"/>
  <c r="BT105" i="2"/>
  <c r="BS105" i="2"/>
  <c r="BR105" i="2"/>
  <c r="BQ105" i="2"/>
  <c r="BP105" i="2"/>
  <c r="BO105" i="2"/>
  <c r="BN105" i="2"/>
  <c r="BM105" i="2"/>
  <c r="BS103" i="2"/>
  <c r="BP103" i="2"/>
  <c r="BO103" i="2"/>
  <c r="BN103" i="2"/>
  <c r="BM103" i="2"/>
  <c r="BT102" i="2"/>
  <c r="BT101" i="2"/>
  <c r="BS100" i="2"/>
  <c r="BR100" i="2"/>
  <c r="BR103" i="2" s="1"/>
  <c r="BQ100" i="2"/>
  <c r="BT100" i="2" s="1"/>
  <c r="BT99" i="2"/>
  <c r="BO96" i="2"/>
  <c r="BN96" i="2"/>
  <c r="BM96" i="2"/>
  <c r="BT95" i="2"/>
  <c r="BT94" i="2"/>
  <c r="BT92" i="2"/>
  <c r="BS90" i="2"/>
  <c r="BR90" i="2"/>
  <c r="BQ90" i="2"/>
  <c r="BN90" i="2"/>
  <c r="BM90" i="2"/>
  <c r="BT88" i="2"/>
  <c r="BT87" i="2"/>
  <c r="BT86" i="2"/>
  <c r="BT85" i="2"/>
  <c r="BT83" i="2"/>
  <c r="BT82" i="2"/>
  <c r="BS80" i="2"/>
  <c r="BR80" i="2"/>
  <c r="BQ80" i="2"/>
  <c r="BO80" i="2"/>
  <c r="BN80" i="2"/>
  <c r="BN97" i="2" s="1"/>
  <c r="BN79" i="2"/>
  <c r="BT79" i="2" s="1"/>
  <c r="BT78" i="2"/>
  <c r="BT77" i="2"/>
  <c r="BM77" i="2"/>
  <c r="BT76" i="2"/>
  <c r="BM76" i="2"/>
  <c r="BM75" i="2"/>
  <c r="BT75" i="2" s="1"/>
  <c r="BT72" i="2"/>
  <c r="BS72" i="2"/>
  <c r="BR72" i="2"/>
  <c r="BQ72" i="2"/>
  <c r="BP72" i="2"/>
  <c r="BO72" i="2"/>
  <c r="BN72" i="2"/>
  <c r="BM72" i="2"/>
  <c r="BS64" i="2"/>
  <c r="BQ64" i="2"/>
  <c r="BP63" i="2"/>
  <c r="BO63" i="2"/>
  <c r="BO65" i="2" s="1"/>
  <c r="BO136" i="2" s="1"/>
  <c r="BM63" i="2"/>
  <c r="BS61" i="2"/>
  <c r="BR61" i="2"/>
  <c r="BR64" i="2" s="1"/>
  <c r="BQ61" i="2"/>
  <c r="BP61" i="2"/>
  <c r="BP64" i="2" s="1"/>
  <c r="BP65" i="2" s="1"/>
  <c r="BO61" i="2"/>
  <c r="BO64" i="2" s="1"/>
  <c r="BN61" i="2"/>
  <c r="BN64" i="2" s="1"/>
  <c r="BM61" i="2"/>
  <c r="BM64" i="2" s="1"/>
  <c r="BT60" i="2"/>
  <c r="BT59" i="2"/>
  <c r="BT58" i="2"/>
  <c r="BT57" i="2"/>
  <c r="BT56" i="2"/>
  <c r="BT55" i="2"/>
  <c r="BT54" i="2"/>
  <c r="BT53" i="2"/>
  <c r="BT52" i="2"/>
  <c r="BT51" i="2"/>
  <c r="BT50" i="2"/>
  <c r="BT49" i="2"/>
  <c r="BT48" i="2"/>
  <c r="BT47" i="2"/>
  <c r="BT46" i="2"/>
  <c r="BT45" i="2"/>
  <c r="BT44" i="2"/>
  <c r="BT43" i="2"/>
  <c r="BT42" i="2"/>
  <c r="BT41" i="2"/>
  <c r="BT40" i="2"/>
  <c r="BT61" i="2" s="1"/>
  <c r="BT64" i="2" s="1"/>
  <c r="BT39" i="2"/>
  <c r="BT38" i="2"/>
  <c r="BS38" i="2"/>
  <c r="BR38" i="2"/>
  <c r="BQ38" i="2"/>
  <c r="BP38" i="2"/>
  <c r="BO38" i="2"/>
  <c r="BN38" i="2"/>
  <c r="BM38" i="2"/>
  <c r="BS36" i="2"/>
  <c r="BS135" i="2" s="1"/>
  <c r="BR36" i="2"/>
  <c r="BR135" i="2" s="1"/>
  <c r="BQ36" i="2"/>
  <c r="BQ63" i="2" s="1"/>
  <c r="BQ65" i="2" s="1"/>
  <c r="BO36" i="2"/>
  <c r="BO140" i="2" s="1"/>
  <c r="BN36" i="2"/>
  <c r="BN140" i="2" s="1"/>
  <c r="BM36" i="2"/>
  <c r="BM135" i="2" s="1"/>
  <c r="BT135" i="2" s="1"/>
  <c r="BT35" i="2"/>
  <c r="BT34" i="2"/>
  <c r="BT33" i="2"/>
  <c r="BT32" i="2"/>
  <c r="BT31" i="2"/>
  <c r="BT30" i="2"/>
  <c r="BT29" i="2"/>
  <c r="BT28" i="2"/>
  <c r="BT27" i="2"/>
  <c r="BT36" i="2" s="1"/>
  <c r="BT63" i="2" s="1"/>
  <c r="BT65" i="2" s="1"/>
  <c r="BT26" i="2"/>
  <c r="BS26" i="2"/>
  <c r="BR26" i="2"/>
  <c r="BQ26" i="2"/>
  <c r="BP26" i="2"/>
  <c r="BO26" i="2"/>
  <c r="BN26" i="2"/>
  <c r="BM26" i="2"/>
  <c r="BT24" i="2"/>
  <c r="BT23" i="2"/>
  <c r="BT22" i="2"/>
  <c r="BT21" i="2"/>
  <c r="BT20" i="2"/>
  <c r="BT19" i="2"/>
  <c r="BS19" i="2"/>
  <c r="BR19" i="2"/>
  <c r="BQ19" i="2"/>
  <c r="BP19" i="2"/>
  <c r="BO19" i="2"/>
  <c r="BN19" i="2"/>
  <c r="BM19" i="2"/>
  <c r="BS17" i="2"/>
  <c r="BR17" i="2"/>
  <c r="BQ17" i="2"/>
  <c r="BO17" i="2"/>
  <c r="BN17" i="2"/>
  <c r="BM17" i="2"/>
  <c r="BM153" i="2" s="1"/>
  <c r="BT153" i="2" s="1"/>
  <c r="BT16" i="2"/>
  <c r="BT15" i="2"/>
  <c r="BT14" i="2"/>
  <c r="BT13" i="2"/>
  <c r="BT12" i="2"/>
  <c r="BT11" i="2"/>
  <c r="BT10" i="2"/>
  <c r="BT9" i="2"/>
  <c r="BT8" i="2"/>
  <c r="BT7" i="2"/>
  <c r="BT6" i="2"/>
  <c r="BT5" i="2"/>
  <c r="BT17" i="2" s="1"/>
  <c r="BT4" i="2"/>
  <c r="BM3" i="2"/>
  <c r="BM74" i="2" s="1"/>
  <c r="BT2" i="2"/>
  <c r="BK218" i="2"/>
  <c r="BK217" i="2"/>
  <c r="BK216" i="2"/>
  <c r="BK215" i="2"/>
  <c r="BK214" i="2"/>
  <c r="BJ209" i="2"/>
  <c r="BI209" i="2"/>
  <c r="BH209" i="2"/>
  <c r="BG209" i="2"/>
  <c r="BF209" i="2"/>
  <c r="BE209" i="2"/>
  <c r="BK208" i="2"/>
  <c r="BK207" i="2"/>
  <c r="BK206" i="2"/>
  <c r="BK205" i="2"/>
  <c r="BK204" i="2"/>
  <c r="BK203" i="2"/>
  <c r="BK202" i="2"/>
  <c r="BD201" i="2"/>
  <c r="BK201" i="2" s="1"/>
  <c r="BD200" i="2"/>
  <c r="BK200" i="2" s="1"/>
  <c r="BK199" i="2"/>
  <c r="BK198" i="2"/>
  <c r="BJ198" i="2"/>
  <c r="BI198" i="2"/>
  <c r="BH198" i="2"/>
  <c r="BG198" i="2"/>
  <c r="BF198" i="2"/>
  <c r="BE198" i="2"/>
  <c r="BD198" i="2"/>
  <c r="BJ197" i="2"/>
  <c r="BI197" i="2"/>
  <c r="BH197" i="2"/>
  <c r="BG197" i="2"/>
  <c r="BE197" i="2"/>
  <c r="BK196" i="2"/>
  <c r="BK195" i="2"/>
  <c r="BK194" i="2"/>
  <c r="BK193" i="2"/>
  <c r="BK192" i="2"/>
  <c r="BK191" i="2"/>
  <c r="BK190" i="2"/>
  <c r="BK189" i="2"/>
  <c r="BK188" i="2"/>
  <c r="BK186" i="2"/>
  <c r="BK185" i="2"/>
  <c r="BK184" i="2"/>
  <c r="BK181" i="2"/>
  <c r="BK180" i="2"/>
  <c r="BK179" i="2"/>
  <c r="BK178" i="2"/>
  <c r="BK177" i="2"/>
  <c r="BK176" i="2"/>
  <c r="BK175" i="2"/>
  <c r="BK174" i="2"/>
  <c r="BK173" i="2"/>
  <c r="BD173" i="2"/>
  <c r="BK172" i="2"/>
  <c r="BD172" i="2"/>
  <c r="BK171" i="2"/>
  <c r="BJ171" i="2"/>
  <c r="BI171" i="2"/>
  <c r="BH171" i="2"/>
  <c r="BG171" i="2"/>
  <c r="BF171" i="2"/>
  <c r="BE171" i="2"/>
  <c r="BD171" i="2"/>
  <c r="BH170" i="2"/>
  <c r="BG170" i="2"/>
  <c r="BF170" i="2"/>
  <c r="BK169" i="2"/>
  <c r="BK165" i="2"/>
  <c r="BK163" i="2"/>
  <c r="BK162" i="2"/>
  <c r="BD160" i="2"/>
  <c r="BK159" i="2"/>
  <c r="BK158" i="2"/>
  <c r="BK156" i="2"/>
  <c r="BK155" i="2"/>
  <c r="BJ155" i="2"/>
  <c r="BI155" i="2"/>
  <c r="BH155" i="2"/>
  <c r="BG155" i="2"/>
  <c r="BF155" i="2"/>
  <c r="BE155" i="2"/>
  <c r="BD155" i="2"/>
  <c r="BJ154" i="2"/>
  <c r="BI154" i="2"/>
  <c r="BH154" i="2"/>
  <c r="BG154" i="2"/>
  <c r="BF154" i="2"/>
  <c r="BD153" i="2"/>
  <c r="BK153" i="2" s="1"/>
  <c r="BK152" i="2"/>
  <c r="BE151" i="2"/>
  <c r="BE154" i="2" s="1"/>
  <c r="BD151" i="2"/>
  <c r="BK151" i="2" s="1"/>
  <c r="BD147" i="2"/>
  <c r="BK146" i="2"/>
  <c r="BD146" i="2"/>
  <c r="BK145" i="2"/>
  <c r="BD144" i="2"/>
  <c r="BK144" i="2" s="1"/>
  <c r="BK143" i="2"/>
  <c r="BJ143" i="2"/>
  <c r="BI143" i="2"/>
  <c r="BH143" i="2"/>
  <c r="BG143" i="2"/>
  <c r="BF143" i="2"/>
  <c r="BE143" i="2"/>
  <c r="BD143" i="2"/>
  <c r="BH140" i="2"/>
  <c r="BG140" i="2"/>
  <c r="BE140" i="2"/>
  <c r="BD140" i="2"/>
  <c r="BK139" i="2"/>
  <c r="BK138" i="2"/>
  <c r="BK137" i="2"/>
  <c r="BE135" i="2"/>
  <c r="BJ131" i="2"/>
  <c r="BI131" i="2"/>
  <c r="BH131" i="2"/>
  <c r="BG131" i="2"/>
  <c r="BD131" i="2"/>
  <c r="BK130" i="2"/>
  <c r="BG130" i="2"/>
  <c r="BF130" i="2"/>
  <c r="BF131" i="2" s="1"/>
  <c r="BE130" i="2"/>
  <c r="BD130" i="2"/>
  <c r="BK129" i="2"/>
  <c r="BE129" i="2"/>
  <c r="BE131" i="2" s="1"/>
  <c r="BD129" i="2"/>
  <c r="BK128" i="2"/>
  <c r="BK127" i="2"/>
  <c r="BK126" i="2"/>
  <c r="BK125" i="2"/>
  <c r="BK124" i="2"/>
  <c r="BK131" i="2" s="1"/>
  <c r="BK123" i="2"/>
  <c r="BF120" i="2"/>
  <c r="BK120" i="2" s="1"/>
  <c r="BK119" i="2"/>
  <c r="BD119" i="2"/>
  <c r="BK118" i="2"/>
  <c r="BJ118" i="2"/>
  <c r="BJ121" i="2" s="1"/>
  <c r="BJ132" i="2" s="1"/>
  <c r="BI118" i="2"/>
  <c r="BI121" i="2" s="1"/>
  <c r="BI132" i="2" s="1"/>
  <c r="BH118" i="2"/>
  <c r="BH121" i="2" s="1"/>
  <c r="BH132" i="2" s="1"/>
  <c r="BG118" i="2"/>
  <c r="BG121" i="2" s="1"/>
  <c r="BG132" i="2" s="1"/>
  <c r="BF118" i="2"/>
  <c r="BF121" i="2" s="1"/>
  <c r="BF132" i="2" s="1"/>
  <c r="BE118" i="2"/>
  <c r="BD118" i="2"/>
  <c r="BD117" i="2"/>
  <c r="BK117" i="2" s="1"/>
  <c r="BK116" i="2"/>
  <c r="BD116" i="2"/>
  <c r="BK113" i="2"/>
  <c r="BK112" i="2"/>
  <c r="BK111" i="2"/>
  <c r="BK110" i="2"/>
  <c r="BD109" i="2"/>
  <c r="BK108" i="2"/>
  <c r="BD108" i="2"/>
  <c r="BK107" i="2"/>
  <c r="BK105" i="2"/>
  <c r="BJ105" i="2"/>
  <c r="BI105" i="2"/>
  <c r="BH105" i="2"/>
  <c r="BG105" i="2"/>
  <c r="BF105" i="2"/>
  <c r="BE105" i="2"/>
  <c r="BD105" i="2"/>
  <c r="BJ103" i="2"/>
  <c r="BG103" i="2"/>
  <c r="BF103" i="2"/>
  <c r="BE103" i="2"/>
  <c r="BD103" i="2"/>
  <c r="BK102" i="2"/>
  <c r="BK101" i="2"/>
  <c r="BJ100" i="2"/>
  <c r="BI100" i="2"/>
  <c r="BI103" i="2" s="1"/>
  <c r="BH100" i="2"/>
  <c r="BK100" i="2" s="1"/>
  <c r="BK103" i="2" s="1"/>
  <c r="BK99" i="2"/>
  <c r="BI96" i="2"/>
  <c r="BH96" i="2"/>
  <c r="BF96" i="2"/>
  <c r="BE96" i="2"/>
  <c r="BD96" i="2"/>
  <c r="BK95" i="2"/>
  <c r="BK94" i="2"/>
  <c r="BK92" i="2"/>
  <c r="BJ90" i="2"/>
  <c r="BI90" i="2"/>
  <c r="BH90" i="2"/>
  <c r="BE90" i="2"/>
  <c r="BD90" i="2"/>
  <c r="BK88" i="2"/>
  <c r="BK87" i="2"/>
  <c r="BK86" i="2"/>
  <c r="BK85" i="2"/>
  <c r="BF84" i="2"/>
  <c r="BK84" i="2" s="1"/>
  <c r="BF83" i="2"/>
  <c r="BK83" i="2" s="1"/>
  <c r="BK82" i="2"/>
  <c r="BK90" i="2" s="1"/>
  <c r="BE82" i="2"/>
  <c r="BJ80" i="2"/>
  <c r="BI80" i="2"/>
  <c r="BI97" i="2" s="1"/>
  <c r="BH80" i="2"/>
  <c r="BH97" i="2" s="1"/>
  <c r="BF80" i="2"/>
  <c r="BK79" i="2"/>
  <c r="BE79" i="2"/>
  <c r="BE80" i="2" s="1"/>
  <c r="BE97" i="2" s="1"/>
  <c r="BK78" i="2"/>
  <c r="BK77" i="2"/>
  <c r="BD77" i="2"/>
  <c r="BK76" i="2"/>
  <c r="BD76" i="2"/>
  <c r="BD75" i="2"/>
  <c r="BK75" i="2" s="1"/>
  <c r="BK72" i="2"/>
  <c r="BJ72" i="2"/>
  <c r="BI72" i="2"/>
  <c r="BH72" i="2"/>
  <c r="BG72" i="2"/>
  <c r="BF72" i="2"/>
  <c r="BE72" i="2"/>
  <c r="BD72" i="2"/>
  <c r="BI64" i="2"/>
  <c r="BF64" i="2"/>
  <c r="BD64" i="2"/>
  <c r="BH63" i="2"/>
  <c r="BG63" i="2"/>
  <c r="BJ61" i="2"/>
  <c r="BJ64" i="2" s="1"/>
  <c r="BI61" i="2"/>
  <c r="BH61" i="2"/>
  <c r="BH64" i="2" s="1"/>
  <c r="BH65" i="2" s="1"/>
  <c r="BH134" i="2" s="1"/>
  <c r="BG61" i="2"/>
  <c r="BG64" i="2" s="1"/>
  <c r="BG65" i="2" s="1"/>
  <c r="BG134" i="2" s="1"/>
  <c r="BF61" i="2"/>
  <c r="BE61" i="2"/>
  <c r="BE64" i="2" s="1"/>
  <c r="BD61" i="2"/>
  <c r="BK60" i="2"/>
  <c r="BK59" i="2"/>
  <c r="BK58" i="2"/>
  <c r="BK57" i="2"/>
  <c r="BK56" i="2"/>
  <c r="BK55" i="2"/>
  <c r="BK54" i="2"/>
  <c r="BK53" i="2"/>
  <c r="BK52" i="2"/>
  <c r="BK51" i="2"/>
  <c r="BK50" i="2"/>
  <c r="BK49" i="2"/>
  <c r="BK48" i="2"/>
  <c r="BK47" i="2"/>
  <c r="BK46" i="2"/>
  <c r="BK45" i="2"/>
  <c r="BK44" i="2"/>
  <c r="BK43" i="2"/>
  <c r="BK42" i="2"/>
  <c r="BK41" i="2"/>
  <c r="BK40" i="2"/>
  <c r="BK61" i="2" s="1"/>
  <c r="BK64" i="2" s="1"/>
  <c r="BK39" i="2"/>
  <c r="BK38" i="2"/>
  <c r="BJ38" i="2"/>
  <c r="BI38" i="2"/>
  <c r="BH38" i="2"/>
  <c r="BG38" i="2"/>
  <c r="BF38" i="2"/>
  <c r="BE38" i="2"/>
  <c r="BD38" i="2"/>
  <c r="BJ36" i="2"/>
  <c r="BJ140" i="2" s="1"/>
  <c r="BI36" i="2"/>
  <c r="BI140" i="2" s="1"/>
  <c r="BH36" i="2"/>
  <c r="BF36" i="2"/>
  <c r="BF63" i="2" s="1"/>
  <c r="BF65" i="2" s="1"/>
  <c r="BE36" i="2"/>
  <c r="BE115" i="2" s="1"/>
  <c r="BD36" i="2"/>
  <c r="BD135" i="2" s="1"/>
  <c r="BK35" i="2"/>
  <c r="BK34" i="2"/>
  <c r="BK33" i="2"/>
  <c r="BK32" i="2"/>
  <c r="BK31" i="2"/>
  <c r="BK30" i="2"/>
  <c r="BK29" i="2"/>
  <c r="BK28" i="2"/>
  <c r="BK27" i="2"/>
  <c r="BK36" i="2" s="1"/>
  <c r="BK63" i="2" s="1"/>
  <c r="BK65" i="2" s="1"/>
  <c r="BK26" i="2"/>
  <c r="BJ26" i="2"/>
  <c r="BI26" i="2"/>
  <c r="BH26" i="2"/>
  <c r="BG26" i="2"/>
  <c r="BF26" i="2"/>
  <c r="BE26" i="2"/>
  <c r="BD26" i="2"/>
  <c r="BK24" i="2"/>
  <c r="BK23" i="2"/>
  <c r="BK22" i="2"/>
  <c r="BK21" i="2"/>
  <c r="BK20" i="2"/>
  <c r="BK19" i="2"/>
  <c r="BJ19" i="2"/>
  <c r="BI19" i="2"/>
  <c r="BH19" i="2"/>
  <c r="BG19" i="2"/>
  <c r="BF19" i="2"/>
  <c r="BE19" i="2"/>
  <c r="BD19" i="2"/>
  <c r="BJ17" i="2"/>
  <c r="BI17" i="2"/>
  <c r="BH17" i="2"/>
  <c r="BF17" i="2"/>
  <c r="BE17" i="2"/>
  <c r="BD17" i="2"/>
  <c r="BF182" i="2" s="1"/>
  <c r="BK16" i="2"/>
  <c r="BK15" i="2"/>
  <c r="BK14" i="2"/>
  <c r="BK13" i="2"/>
  <c r="BK12" i="2"/>
  <c r="BK11" i="2"/>
  <c r="BK10" i="2"/>
  <c r="BK9" i="2"/>
  <c r="BK8" i="2"/>
  <c r="BK17" i="2" s="1"/>
  <c r="BK7" i="2"/>
  <c r="BK6" i="2"/>
  <c r="BK5" i="2"/>
  <c r="BK4" i="2"/>
  <c r="BD3" i="2"/>
  <c r="BD74" i="2" s="1"/>
  <c r="BK2" i="2"/>
  <c r="BB218" i="2"/>
  <c r="BB217" i="2"/>
  <c r="BB216" i="2"/>
  <c r="BB215" i="2"/>
  <c r="BB214" i="2"/>
  <c r="BB213" i="2"/>
  <c r="BA209" i="2"/>
  <c r="AZ209" i="2"/>
  <c r="AY209" i="2"/>
  <c r="AX209" i="2"/>
  <c r="AW209" i="2"/>
  <c r="AV209" i="2"/>
  <c r="AU209" i="2"/>
  <c r="BB208" i="2"/>
  <c r="BB207" i="2"/>
  <c r="BB206" i="2"/>
  <c r="BB205" i="2"/>
  <c r="BB204" i="2"/>
  <c r="BB203" i="2"/>
  <c r="BB202" i="2"/>
  <c r="BB201" i="2"/>
  <c r="BB200" i="2"/>
  <c r="BB199" i="2"/>
  <c r="BB209" i="2" s="1"/>
  <c r="BB198" i="2"/>
  <c r="BA198" i="2"/>
  <c r="AZ198" i="2"/>
  <c r="AY198" i="2"/>
  <c r="AX198" i="2"/>
  <c r="AW198" i="2"/>
  <c r="AV198" i="2"/>
  <c r="AU198" i="2"/>
  <c r="BA197" i="2"/>
  <c r="AZ197" i="2"/>
  <c r="AY197" i="2"/>
  <c r="AX197" i="2"/>
  <c r="AV197" i="2"/>
  <c r="BB195" i="2"/>
  <c r="BB193" i="2"/>
  <c r="BB192" i="2"/>
  <c r="BB191" i="2"/>
  <c r="BB190" i="2"/>
  <c r="BB189" i="2"/>
  <c r="BB188" i="2"/>
  <c r="BB186" i="2"/>
  <c r="BB185" i="2"/>
  <c r="BB184" i="2"/>
  <c r="BB182" i="2"/>
  <c r="BB181" i="2"/>
  <c r="BB180" i="2"/>
  <c r="BB179" i="2"/>
  <c r="BB178" i="2"/>
  <c r="BB177" i="2"/>
  <c r="BB176" i="2"/>
  <c r="BB175" i="2"/>
  <c r="BB174" i="2"/>
  <c r="BB173" i="2"/>
  <c r="BB172" i="2"/>
  <c r="BB171" i="2"/>
  <c r="BA171" i="2"/>
  <c r="AZ171" i="2"/>
  <c r="AY171" i="2"/>
  <c r="AX171" i="2"/>
  <c r="AW171" i="2"/>
  <c r="AV171" i="2"/>
  <c r="AU171" i="2"/>
  <c r="AX170" i="2"/>
  <c r="AW170" i="2"/>
  <c r="BB169" i="2"/>
  <c r="BB165" i="2"/>
  <c r="BB163" i="2"/>
  <c r="BB162" i="2"/>
  <c r="AV157" i="2"/>
  <c r="AV170" i="2" s="1"/>
  <c r="BB156" i="2"/>
  <c r="AU156" i="2"/>
  <c r="BB155" i="2"/>
  <c r="BA155" i="2"/>
  <c r="AZ155" i="2"/>
  <c r="AY155" i="2"/>
  <c r="AX155" i="2"/>
  <c r="AW155" i="2"/>
  <c r="AV155" i="2"/>
  <c r="AU155" i="2"/>
  <c r="BA154" i="2"/>
  <c r="AZ154" i="2"/>
  <c r="AY154" i="2"/>
  <c r="AX154" i="2"/>
  <c r="AW154" i="2"/>
  <c r="AV154" i="2"/>
  <c r="BB153" i="2"/>
  <c r="BB152" i="2"/>
  <c r="BB151" i="2"/>
  <c r="AV151" i="2"/>
  <c r="BB150" i="2"/>
  <c r="AU149" i="2"/>
  <c r="BB149" i="2" s="1"/>
  <c r="BB146" i="2"/>
  <c r="AU145" i="2"/>
  <c r="BB144" i="2"/>
  <c r="AU144" i="2"/>
  <c r="BB143" i="2"/>
  <c r="BA143" i="2"/>
  <c r="AZ143" i="2"/>
  <c r="AY143" i="2"/>
  <c r="AX143" i="2"/>
  <c r="AW143" i="2"/>
  <c r="AV143" i="2"/>
  <c r="AU143" i="2"/>
  <c r="BA140" i="2"/>
  <c r="AZ140" i="2"/>
  <c r="AX140" i="2"/>
  <c r="BB139" i="2"/>
  <c r="BB138" i="2"/>
  <c r="AY135" i="2"/>
  <c r="AX135" i="2"/>
  <c r="AW135" i="2"/>
  <c r="AV135" i="2"/>
  <c r="AU135" i="2"/>
  <c r="BA131" i="2"/>
  <c r="AZ131" i="2"/>
  <c r="AY131" i="2"/>
  <c r="AX131" i="2"/>
  <c r="AX130" i="2"/>
  <c r="AW130" i="2"/>
  <c r="AW140" i="2" s="1"/>
  <c r="AV130" i="2"/>
  <c r="AV140" i="2" s="1"/>
  <c r="AU130" i="2"/>
  <c r="BB130" i="2" s="1"/>
  <c r="AV129" i="2"/>
  <c r="AV131" i="2" s="1"/>
  <c r="AV132" i="2" s="1"/>
  <c r="AU129" i="2"/>
  <c r="BB129" i="2" s="1"/>
  <c r="BB128" i="2"/>
  <c r="BB127" i="2"/>
  <c r="BB126" i="2"/>
  <c r="BB125" i="2"/>
  <c r="BB124" i="2"/>
  <c r="BB123" i="2"/>
  <c r="BA121" i="2"/>
  <c r="BA132" i="2" s="1"/>
  <c r="AZ121" i="2"/>
  <c r="AZ132" i="2" s="1"/>
  <c r="AV121" i="2"/>
  <c r="BB120" i="2"/>
  <c r="AU119" i="2"/>
  <c r="BB119" i="2" s="1"/>
  <c r="AY118" i="2"/>
  <c r="AY121" i="2" s="1"/>
  <c r="AY132" i="2" s="1"/>
  <c r="AX118" i="2"/>
  <c r="AX121" i="2" s="1"/>
  <c r="AX132" i="2" s="1"/>
  <c r="AW118" i="2"/>
  <c r="AW121" i="2" s="1"/>
  <c r="AV118" i="2"/>
  <c r="AU118" i="2"/>
  <c r="BB118" i="2" s="1"/>
  <c r="AU117" i="2"/>
  <c r="BB117" i="2" s="1"/>
  <c r="BB116" i="2"/>
  <c r="AV115" i="2"/>
  <c r="BB115" i="2" s="1"/>
  <c r="BB113" i="2"/>
  <c r="BB112" i="2"/>
  <c r="BB111" i="2"/>
  <c r="AU111" i="2"/>
  <c r="BB110" i="2"/>
  <c r="BB109" i="2"/>
  <c r="BB108" i="2"/>
  <c r="BB107" i="2"/>
  <c r="BB105" i="2"/>
  <c r="BA105" i="2"/>
  <c r="AZ105" i="2"/>
  <c r="AY105" i="2"/>
  <c r="AX105" i="2"/>
  <c r="AW105" i="2"/>
  <c r="AV105" i="2"/>
  <c r="AU105" i="2"/>
  <c r="BA103" i="2"/>
  <c r="AX103" i="2"/>
  <c r="AW103" i="2"/>
  <c r="AV103" i="2"/>
  <c r="AU103" i="2"/>
  <c r="BB102" i="2"/>
  <c r="BB101" i="2"/>
  <c r="BB100" i="2"/>
  <c r="BA100" i="2"/>
  <c r="AZ100" i="2"/>
  <c r="AZ103" i="2" s="1"/>
  <c r="AY100" i="2"/>
  <c r="AY103" i="2" s="1"/>
  <c r="BB99" i="2"/>
  <c r="BB103" i="2" s="1"/>
  <c r="AW96" i="2"/>
  <c r="AV96" i="2"/>
  <c r="AU96" i="2"/>
  <c r="BB95" i="2"/>
  <c r="BB94" i="2"/>
  <c r="BB92" i="2"/>
  <c r="BA90" i="2"/>
  <c r="AZ90" i="2"/>
  <c r="AY90" i="2"/>
  <c r="AV90" i="2"/>
  <c r="AU90" i="2"/>
  <c r="BB88" i="2"/>
  <c r="BB87" i="2"/>
  <c r="BB86" i="2"/>
  <c r="BB85" i="2"/>
  <c r="BB83" i="2"/>
  <c r="BB82" i="2"/>
  <c r="BA80" i="2"/>
  <c r="AZ80" i="2"/>
  <c r="AY80" i="2"/>
  <c r="AW80" i="2"/>
  <c r="AV80" i="2"/>
  <c r="AV97" i="2" s="1"/>
  <c r="BB79" i="2"/>
  <c r="AV79" i="2"/>
  <c r="BB78" i="2"/>
  <c r="AU77" i="2"/>
  <c r="BB77" i="2" s="1"/>
  <c r="AU76" i="2"/>
  <c r="BB76" i="2" s="1"/>
  <c r="AU75" i="2"/>
  <c r="BB75" i="2" s="1"/>
  <c r="BB72" i="2"/>
  <c r="BA72" i="2"/>
  <c r="AZ72" i="2"/>
  <c r="AY72" i="2"/>
  <c r="AX72" i="2"/>
  <c r="AW72" i="2"/>
  <c r="AV72" i="2"/>
  <c r="AU72" i="2"/>
  <c r="AY64" i="2"/>
  <c r="AX64" i="2"/>
  <c r="AX65" i="2" s="1"/>
  <c r="AW64" i="2"/>
  <c r="AV64" i="2"/>
  <c r="AU64" i="2"/>
  <c r="AX63" i="2"/>
  <c r="AW63" i="2"/>
  <c r="AW65" i="2" s="1"/>
  <c r="AU63" i="2"/>
  <c r="AU65" i="2" s="1"/>
  <c r="BA61" i="2"/>
  <c r="BA64" i="2" s="1"/>
  <c r="AZ61" i="2"/>
  <c r="AZ64" i="2" s="1"/>
  <c r="AY61" i="2"/>
  <c r="AX61" i="2"/>
  <c r="AW61" i="2"/>
  <c r="AV61" i="2"/>
  <c r="AU61" i="2"/>
  <c r="BB60" i="2"/>
  <c r="BB59" i="2"/>
  <c r="BB58" i="2"/>
  <c r="BB57" i="2"/>
  <c r="BB56" i="2"/>
  <c r="BB55" i="2"/>
  <c r="BB54" i="2"/>
  <c r="BB53" i="2"/>
  <c r="BB52" i="2"/>
  <c r="BB51" i="2"/>
  <c r="BB50" i="2"/>
  <c r="BB49" i="2"/>
  <c r="BB48" i="2"/>
  <c r="BB47" i="2"/>
  <c r="BB46" i="2"/>
  <c r="BB45" i="2"/>
  <c r="BB44" i="2"/>
  <c r="BB43" i="2"/>
  <c r="BB61" i="2" s="1"/>
  <c r="BB64" i="2" s="1"/>
  <c r="BB42" i="2"/>
  <c r="BB41" i="2"/>
  <c r="BB40" i="2"/>
  <c r="BB39" i="2"/>
  <c r="BB38" i="2"/>
  <c r="BA38" i="2"/>
  <c r="AZ38" i="2"/>
  <c r="AY38" i="2"/>
  <c r="AX38" i="2"/>
  <c r="AW38" i="2"/>
  <c r="AV38" i="2"/>
  <c r="AU38" i="2"/>
  <c r="BA36" i="2"/>
  <c r="BA63" i="2" s="1"/>
  <c r="BA65" i="2" s="1"/>
  <c r="AZ36" i="2"/>
  <c r="AZ63" i="2" s="1"/>
  <c r="AZ65" i="2" s="1"/>
  <c r="AY36" i="2"/>
  <c r="AY140" i="2" s="1"/>
  <c r="AW36" i="2"/>
  <c r="AV36" i="2"/>
  <c r="AV63" i="2" s="1"/>
  <c r="AV65" i="2" s="1"/>
  <c r="AU36" i="2"/>
  <c r="AU140" i="2" s="1"/>
  <c r="BB140" i="2" s="1"/>
  <c r="BB35" i="2"/>
  <c r="BB34" i="2"/>
  <c r="BB33" i="2"/>
  <c r="BB32" i="2"/>
  <c r="BB31" i="2"/>
  <c r="BB30" i="2"/>
  <c r="BB29" i="2"/>
  <c r="BB28" i="2"/>
  <c r="BB27" i="2"/>
  <c r="BB36" i="2" s="1"/>
  <c r="BB63" i="2" s="1"/>
  <c r="BB65" i="2" s="1"/>
  <c r="BB26" i="2"/>
  <c r="BA26" i="2"/>
  <c r="AZ26" i="2"/>
  <c r="AY26" i="2"/>
  <c r="AX26" i="2"/>
  <c r="AW26" i="2"/>
  <c r="AV26" i="2"/>
  <c r="AU26" i="2"/>
  <c r="BB24" i="2"/>
  <c r="BB23" i="2"/>
  <c r="BB22" i="2"/>
  <c r="BB21" i="2"/>
  <c r="BB20" i="2"/>
  <c r="BB19" i="2"/>
  <c r="BA19" i="2"/>
  <c r="AZ19" i="2"/>
  <c r="AY19" i="2"/>
  <c r="AX19" i="2"/>
  <c r="AW19" i="2"/>
  <c r="AV19" i="2"/>
  <c r="AU19" i="2"/>
  <c r="BA17" i="2"/>
  <c r="AZ17" i="2"/>
  <c r="AY17" i="2"/>
  <c r="AW17" i="2"/>
  <c r="AV17" i="2"/>
  <c r="AU17" i="2"/>
  <c r="AU148" i="2" s="1"/>
  <c r="BB148" i="2" s="1"/>
  <c r="BB16" i="2"/>
  <c r="BB15" i="2"/>
  <c r="BB14" i="2"/>
  <c r="BB13" i="2"/>
  <c r="BB12" i="2"/>
  <c r="BB11" i="2"/>
  <c r="BB10" i="2"/>
  <c r="BB9" i="2"/>
  <c r="BB8" i="2"/>
  <c r="BB7" i="2"/>
  <c r="BB6" i="2"/>
  <c r="BB5" i="2"/>
  <c r="BB17" i="2" s="1"/>
  <c r="BB4" i="2"/>
  <c r="AU3" i="2"/>
  <c r="AU74" i="2" s="1"/>
  <c r="BB2" i="2"/>
  <c r="AS218" i="2"/>
  <c r="AS217" i="2"/>
  <c r="AS216" i="2"/>
  <c r="AS215" i="2"/>
  <c r="AS214" i="2"/>
  <c r="AS213" i="2"/>
  <c r="AR209" i="2"/>
  <c r="AQ209" i="2"/>
  <c r="AP209" i="2"/>
  <c r="AO209" i="2"/>
  <c r="AN209" i="2"/>
  <c r="AM209" i="2"/>
  <c r="AS208" i="2"/>
  <c r="AL208" i="2"/>
  <c r="AL207" i="2"/>
  <c r="AS207" i="2" s="1"/>
  <c r="AS206" i="2"/>
  <c r="AS205" i="2"/>
  <c r="AL204" i="2"/>
  <c r="AS204" i="2" s="1"/>
  <c r="AL203" i="2"/>
  <c r="AL209" i="2" s="1"/>
  <c r="AS202" i="2"/>
  <c r="AS201" i="2"/>
  <c r="AS200" i="2"/>
  <c r="AS199" i="2"/>
  <c r="AS198" i="2"/>
  <c r="AR198" i="2"/>
  <c r="AQ198" i="2"/>
  <c r="AP198" i="2"/>
  <c r="AO198" i="2"/>
  <c r="AN198" i="2"/>
  <c r="AM198" i="2"/>
  <c r="AL198" i="2"/>
  <c r="AR197" i="2"/>
  <c r="AQ197" i="2"/>
  <c r="AP197" i="2"/>
  <c r="AO197" i="2"/>
  <c r="AM197" i="2"/>
  <c r="AS195" i="2"/>
  <c r="AS194" i="2"/>
  <c r="AS193" i="2"/>
  <c r="AS192" i="2"/>
  <c r="AS191" i="2"/>
  <c r="AL191" i="2"/>
  <c r="AS190" i="2"/>
  <c r="AS189" i="2"/>
  <c r="AS188" i="2"/>
  <c r="AS186" i="2"/>
  <c r="AS185" i="2"/>
  <c r="AS184" i="2"/>
  <c r="AS182" i="2"/>
  <c r="AS181" i="2"/>
  <c r="AS180" i="2"/>
  <c r="AS179" i="2"/>
  <c r="AS178" i="2"/>
  <c r="AS177" i="2"/>
  <c r="AS176" i="2"/>
  <c r="AS175" i="2"/>
  <c r="AS174" i="2"/>
  <c r="AS173" i="2"/>
  <c r="AL173" i="2"/>
  <c r="AL172" i="2"/>
  <c r="AS172" i="2" s="1"/>
  <c r="AS171" i="2"/>
  <c r="AR171" i="2"/>
  <c r="AQ171" i="2"/>
  <c r="AP171" i="2"/>
  <c r="AO171" i="2"/>
  <c r="AN171" i="2"/>
  <c r="AM171" i="2"/>
  <c r="AL171" i="2"/>
  <c r="AO170" i="2"/>
  <c r="AN170" i="2"/>
  <c r="AS169" i="2"/>
  <c r="AS165" i="2"/>
  <c r="AS163" i="2"/>
  <c r="AS162" i="2"/>
  <c r="AS159" i="2"/>
  <c r="AS158" i="2"/>
  <c r="AS156" i="2"/>
  <c r="AL156" i="2"/>
  <c r="AS155" i="2"/>
  <c r="AR155" i="2"/>
  <c r="AQ155" i="2"/>
  <c r="AP155" i="2"/>
  <c r="AO155" i="2"/>
  <c r="AN155" i="2"/>
  <c r="AM155" i="2"/>
  <c r="AL155" i="2"/>
  <c r="AR154" i="2"/>
  <c r="AQ154" i="2"/>
  <c r="AP154" i="2"/>
  <c r="AN154" i="2"/>
  <c r="AS152" i="2"/>
  <c r="AM151" i="2"/>
  <c r="AS151" i="2" s="1"/>
  <c r="AL151" i="2"/>
  <c r="AL146" i="2"/>
  <c r="AS146" i="2" s="1"/>
  <c r="AS145" i="2"/>
  <c r="AL144" i="2"/>
  <c r="AS144" i="2" s="1"/>
  <c r="AS143" i="2"/>
  <c r="AR143" i="2"/>
  <c r="AQ143" i="2"/>
  <c r="AP143" i="2"/>
  <c r="AO143" i="2"/>
  <c r="AN143" i="2"/>
  <c r="AM143" i="2"/>
  <c r="AL143" i="2"/>
  <c r="AO140" i="2"/>
  <c r="AS139" i="2"/>
  <c r="AS138" i="2"/>
  <c r="AS137" i="2"/>
  <c r="AO135" i="2"/>
  <c r="AP131" i="2"/>
  <c r="AO131" i="2"/>
  <c r="AO132" i="2" s="1"/>
  <c r="AN131" i="2"/>
  <c r="AR130" i="2"/>
  <c r="AR131" i="2" s="1"/>
  <c r="AR132" i="2" s="1"/>
  <c r="AQ130" i="2"/>
  <c r="AQ131" i="2" s="1"/>
  <c r="AP130" i="2"/>
  <c r="AO130" i="2"/>
  <c r="AN130" i="2"/>
  <c r="AM130" i="2"/>
  <c r="AL130" i="2"/>
  <c r="AS130" i="2" s="1"/>
  <c r="AM129" i="2"/>
  <c r="BW129" i="2" s="1"/>
  <c r="AL129" i="2"/>
  <c r="AS128" i="2"/>
  <c r="AL128" i="2"/>
  <c r="AL131" i="2" s="1"/>
  <c r="AM127" i="2"/>
  <c r="AS127" i="2" s="1"/>
  <c r="AS126" i="2"/>
  <c r="AM126" i="2"/>
  <c r="AM125" i="2"/>
  <c r="AM131" i="2" s="1"/>
  <c r="AS124" i="2"/>
  <c r="AS123" i="2"/>
  <c r="AR121" i="2"/>
  <c r="AQ121" i="2"/>
  <c r="AS120" i="2"/>
  <c r="AN120" i="2"/>
  <c r="AL119" i="2"/>
  <c r="AS119" i="2" s="1"/>
  <c r="AP118" i="2"/>
  <c r="AP121" i="2" s="1"/>
  <c r="AP132" i="2" s="1"/>
  <c r="AO118" i="2"/>
  <c r="AN118" i="2"/>
  <c r="AN121" i="2" s="1"/>
  <c r="AN132" i="2" s="1"/>
  <c r="AM118" i="2"/>
  <c r="AL118" i="2"/>
  <c r="AL117" i="2"/>
  <c r="AS117" i="2" s="1"/>
  <c r="AS116" i="2"/>
  <c r="AL116" i="2"/>
  <c r="AL114" i="2"/>
  <c r="AS114" i="2" s="1"/>
  <c r="AS113" i="2"/>
  <c r="AL112" i="2"/>
  <c r="AS112" i="2" s="1"/>
  <c r="AL111" i="2"/>
  <c r="AS111" i="2" s="1"/>
  <c r="AS110" i="2"/>
  <c r="AL110" i="2"/>
  <c r="AS109" i="2"/>
  <c r="AL108" i="2"/>
  <c r="AS108" i="2" s="1"/>
  <c r="AL107" i="2"/>
  <c r="AL121" i="2" s="1"/>
  <c r="AS105" i="2"/>
  <c r="AR105" i="2"/>
  <c r="AQ105" i="2"/>
  <c r="AP105" i="2"/>
  <c r="AO105" i="2"/>
  <c r="AN105" i="2"/>
  <c r="AM105" i="2"/>
  <c r="AL105" i="2"/>
  <c r="AR103" i="2"/>
  <c r="AQ103" i="2"/>
  <c r="AP103" i="2"/>
  <c r="AO103" i="2"/>
  <c r="AN103" i="2"/>
  <c r="AM103" i="2"/>
  <c r="AL103" i="2"/>
  <c r="AS102" i="2"/>
  <c r="AS101" i="2"/>
  <c r="AR100" i="2"/>
  <c r="AQ100" i="2"/>
  <c r="AP100" i="2"/>
  <c r="AS100" i="2" s="1"/>
  <c r="AS99" i="2"/>
  <c r="AQ96" i="2"/>
  <c r="AN96" i="2"/>
  <c r="AM96" i="2"/>
  <c r="AL96" i="2"/>
  <c r="AS95" i="2"/>
  <c r="AS94" i="2"/>
  <c r="AS92" i="2"/>
  <c r="AR90" i="2"/>
  <c r="AQ90" i="2"/>
  <c r="AP90" i="2"/>
  <c r="AM90" i="2"/>
  <c r="AL90" i="2"/>
  <c r="AS88" i="2"/>
  <c r="AS87" i="2"/>
  <c r="AS86" i="2"/>
  <c r="AS85" i="2"/>
  <c r="AS83" i="2"/>
  <c r="AS82" i="2"/>
  <c r="AR80" i="2"/>
  <c r="AQ80" i="2"/>
  <c r="AQ97" i="2" s="1"/>
  <c r="AP80" i="2"/>
  <c r="AN80" i="2"/>
  <c r="AS79" i="2"/>
  <c r="AM79" i="2"/>
  <c r="AM80" i="2" s="1"/>
  <c r="AM97" i="2" s="1"/>
  <c r="AS78" i="2"/>
  <c r="AL77" i="2"/>
  <c r="AS77" i="2" s="1"/>
  <c r="AL76" i="2"/>
  <c r="AS76" i="2" s="1"/>
  <c r="AS75" i="2"/>
  <c r="AL75" i="2"/>
  <c r="AS72" i="2"/>
  <c r="AR72" i="2"/>
  <c r="AQ72" i="2"/>
  <c r="AP72" i="2"/>
  <c r="AO72" i="2"/>
  <c r="AN72" i="2"/>
  <c r="AM72" i="2"/>
  <c r="AL72" i="2"/>
  <c r="AR63" i="2"/>
  <c r="AQ63" i="2"/>
  <c r="AQ65" i="2" s="1"/>
  <c r="AP63" i="2"/>
  <c r="AO63" i="2"/>
  <c r="AR61" i="2"/>
  <c r="AR64" i="2" s="1"/>
  <c r="AQ61" i="2"/>
  <c r="AQ64" i="2" s="1"/>
  <c r="AP61" i="2"/>
  <c r="AP64" i="2" s="1"/>
  <c r="AO61" i="2"/>
  <c r="AO64" i="2" s="1"/>
  <c r="AN61" i="2"/>
  <c r="AN64" i="2" s="1"/>
  <c r="AM61" i="2"/>
  <c r="AM64" i="2" s="1"/>
  <c r="AL61" i="2"/>
  <c r="AL64" i="2" s="1"/>
  <c r="AS60" i="2"/>
  <c r="AS59" i="2"/>
  <c r="AS58" i="2"/>
  <c r="AS57" i="2"/>
  <c r="AS56" i="2"/>
  <c r="AS55" i="2"/>
  <c r="AS54" i="2"/>
  <c r="AS53" i="2"/>
  <c r="AS52" i="2"/>
  <c r="AS51" i="2"/>
  <c r="AS50" i="2"/>
  <c r="AS49" i="2"/>
  <c r="AS48" i="2"/>
  <c r="AS47" i="2"/>
  <c r="AS46" i="2"/>
  <c r="AS45" i="2"/>
  <c r="AS44" i="2"/>
  <c r="AS43" i="2"/>
  <c r="AS42" i="2"/>
  <c r="AS41" i="2"/>
  <c r="AS40" i="2"/>
  <c r="AS39" i="2"/>
  <c r="AS61" i="2" s="1"/>
  <c r="AS64" i="2" s="1"/>
  <c r="AS38" i="2"/>
  <c r="AR38" i="2"/>
  <c r="AQ38" i="2"/>
  <c r="AP38" i="2"/>
  <c r="AO38" i="2"/>
  <c r="AN38" i="2"/>
  <c r="AM38" i="2"/>
  <c r="AL38" i="2"/>
  <c r="AR36" i="2"/>
  <c r="AR135" i="2" s="1"/>
  <c r="AQ36" i="2"/>
  <c r="AQ135" i="2" s="1"/>
  <c r="AP36" i="2"/>
  <c r="AP135" i="2" s="1"/>
  <c r="AN36" i="2"/>
  <c r="AN63" i="2" s="1"/>
  <c r="AN65" i="2" s="1"/>
  <c r="AM36" i="2"/>
  <c r="AM63" i="2" s="1"/>
  <c r="AM65" i="2" s="1"/>
  <c r="AL36" i="2"/>
  <c r="AL140" i="2" s="1"/>
  <c r="AS35" i="2"/>
  <c r="AS34" i="2"/>
  <c r="AS33" i="2"/>
  <c r="AS32" i="2"/>
  <c r="AS31" i="2"/>
  <c r="AS30" i="2"/>
  <c r="AS29" i="2"/>
  <c r="AS28" i="2"/>
  <c r="AS27" i="2"/>
  <c r="AS36" i="2" s="1"/>
  <c r="AS63" i="2" s="1"/>
  <c r="AS65" i="2" s="1"/>
  <c r="AS26" i="2"/>
  <c r="AR26" i="2"/>
  <c r="AQ26" i="2"/>
  <c r="AP26" i="2"/>
  <c r="AO26" i="2"/>
  <c r="AN26" i="2"/>
  <c r="AM26" i="2"/>
  <c r="AL26" i="2"/>
  <c r="AS24" i="2"/>
  <c r="AS23" i="2"/>
  <c r="AL22" i="2"/>
  <c r="BV22" i="2" s="1"/>
  <c r="AS21" i="2"/>
  <c r="AS20" i="2"/>
  <c r="AS19" i="2"/>
  <c r="AR19" i="2"/>
  <c r="AQ19" i="2"/>
  <c r="AP19" i="2"/>
  <c r="AO19" i="2"/>
  <c r="AN19" i="2"/>
  <c r="AM19" i="2"/>
  <c r="AL19" i="2"/>
  <c r="AR17" i="2"/>
  <c r="AQ17" i="2"/>
  <c r="AP17" i="2"/>
  <c r="AN17" i="2"/>
  <c r="AM17" i="2"/>
  <c r="AS16" i="2"/>
  <c r="AS15" i="2"/>
  <c r="AS14" i="2"/>
  <c r="AS13" i="2"/>
  <c r="AS12" i="2"/>
  <c r="AS11" i="2"/>
  <c r="AS10" i="2"/>
  <c r="AS9" i="2"/>
  <c r="AS8" i="2"/>
  <c r="AS7" i="2"/>
  <c r="AL7" i="2"/>
  <c r="AL6" i="2"/>
  <c r="AS6" i="2" s="1"/>
  <c r="AL5" i="2"/>
  <c r="AS5" i="2" s="1"/>
  <c r="AL4" i="2"/>
  <c r="AL17" i="2" s="1"/>
  <c r="AL3" i="2"/>
  <c r="AL74" i="2" s="1"/>
  <c r="AS2" i="2"/>
  <c r="AJ218" i="2"/>
  <c r="AJ217" i="2"/>
  <c r="AJ216" i="2"/>
  <c r="AJ215" i="2"/>
  <c r="AJ214" i="2"/>
  <c r="AJ213" i="2"/>
  <c r="AI209" i="2"/>
  <c r="AH209" i="2"/>
  <c r="AG209" i="2"/>
  <c r="AF209" i="2"/>
  <c r="AE209" i="2"/>
  <c r="AD209" i="2"/>
  <c r="AJ208" i="2"/>
  <c r="AC208" i="2"/>
  <c r="AC207" i="2"/>
  <c r="AJ207" i="2" s="1"/>
  <c r="AJ206" i="2"/>
  <c r="AJ205" i="2"/>
  <c r="AJ204" i="2"/>
  <c r="AC204" i="2"/>
  <c r="AC203" i="2"/>
  <c r="AC209" i="2" s="1"/>
  <c r="AJ202" i="2"/>
  <c r="AJ201" i="2"/>
  <c r="AJ200" i="2"/>
  <c r="AJ199" i="2"/>
  <c r="AJ198" i="2"/>
  <c r="AI198" i="2"/>
  <c r="AH198" i="2"/>
  <c r="AG198" i="2"/>
  <c r="AF198" i="2"/>
  <c r="AE198" i="2"/>
  <c r="AD198" i="2"/>
  <c r="AC198" i="2"/>
  <c r="AI197" i="2"/>
  <c r="AH197" i="2"/>
  <c r="AG197" i="2"/>
  <c r="AF197" i="2"/>
  <c r="AD197" i="2"/>
  <c r="AJ195" i="2"/>
  <c r="AJ194" i="2"/>
  <c r="AJ193" i="2"/>
  <c r="AJ192" i="2"/>
  <c r="AJ191" i="2"/>
  <c r="AJ190" i="2"/>
  <c r="AJ189" i="2"/>
  <c r="AJ188" i="2"/>
  <c r="AJ186" i="2"/>
  <c r="AJ185" i="2"/>
  <c r="AJ184" i="2"/>
  <c r="AJ182" i="2"/>
  <c r="AJ181" i="2"/>
  <c r="AJ180" i="2"/>
  <c r="AJ179" i="2"/>
  <c r="AJ178" i="2"/>
  <c r="AJ177" i="2"/>
  <c r="AJ176" i="2"/>
  <c r="AJ175" i="2"/>
  <c r="AJ174" i="2"/>
  <c r="AC173" i="2"/>
  <c r="AJ172" i="2"/>
  <c r="AC172" i="2"/>
  <c r="AJ171" i="2"/>
  <c r="AI171" i="2"/>
  <c r="AH171" i="2"/>
  <c r="AG171" i="2"/>
  <c r="AF171" i="2"/>
  <c r="AE171" i="2"/>
  <c r="AD171" i="2"/>
  <c r="AC171" i="2"/>
  <c r="AF170" i="2"/>
  <c r="AE170" i="2"/>
  <c r="AJ169" i="2"/>
  <c r="AJ165" i="2"/>
  <c r="AJ163" i="2"/>
  <c r="AJ162" i="2"/>
  <c r="AJ159" i="2"/>
  <c r="AJ158" i="2"/>
  <c r="AJ156" i="2"/>
  <c r="AC156" i="2"/>
  <c r="AJ155" i="2"/>
  <c r="AI155" i="2"/>
  <c r="AH155" i="2"/>
  <c r="AG155" i="2"/>
  <c r="AF155" i="2"/>
  <c r="AE155" i="2"/>
  <c r="AD155" i="2"/>
  <c r="AC155" i="2"/>
  <c r="AI154" i="2"/>
  <c r="AH154" i="2"/>
  <c r="AG154" i="2"/>
  <c r="AF154" i="2"/>
  <c r="AE154" i="2"/>
  <c r="AJ152" i="2"/>
  <c r="AD151" i="2"/>
  <c r="AJ151" i="2" s="1"/>
  <c r="AC151" i="2"/>
  <c r="AJ146" i="2"/>
  <c r="AC146" i="2"/>
  <c r="AJ145" i="2"/>
  <c r="AC145" i="2"/>
  <c r="AJ143" i="2"/>
  <c r="AI143" i="2"/>
  <c r="AH143" i="2"/>
  <c r="AG143" i="2"/>
  <c r="AF143" i="2"/>
  <c r="AE143" i="2"/>
  <c r="AD143" i="2"/>
  <c r="AC143" i="2"/>
  <c r="AI140" i="2"/>
  <c r="AE140" i="2"/>
  <c r="AC140" i="2"/>
  <c r="AJ139" i="2"/>
  <c r="AJ138" i="2"/>
  <c r="AJ137" i="2"/>
  <c r="AH135" i="2"/>
  <c r="AF135" i="2"/>
  <c r="AC135" i="2"/>
  <c r="AF131" i="2"/>
  <c r="AE131" i="2"/>
  <c r="AC131" i="2"/>
  <c r="AI130" i="2"/>
  <c r="AI131" i="2" s="1"/>
  <c r="AH130" i="2"/>
  <c r="AH131" i="2" s="1"/>
  <c r="AG130" i="2"/>
  <c r="AG131" i="2" s="1"/>
  <c r="AF130" i="2"/>
  <c r="AJ130" i="2" s="1"/>
  <c r="AE130" i="2"/>
  <c r="AD130" i="2"/>
  <c r="AC130" i="2"/>
  <c r="AJ129" i="2"/>
  <c r="AD129" i="2"/>
  <c r="AC129" i="2"/>
  <c r="AJ128" i="2"/>
  <c r="AC128" i="2"/>
  <c r="AJ127" i="2"/>
  <c r="AD127" i="2"/>
  <c r="AJ126" i="2"/>
  <c r="AJ125" i="2"/>
  <c r="AD125" i="2"/>
  <c r="AD124" i="2"/>
  <c r="AJ124" i="2" s="1"/>
  <c r="AJ123" i="2"/>
  <c r="AD123" i="2"/>
  <c r="AD131" i="2" s="1"/>
  <c r="AI121" i="2"/>
  <c r="AI132" i="2" s="1"/>
  <c r="AH121" i="2"/>
  <c r="AD121" i="2"/>
  <c r="AE120" i="2"/>
  <c r="AJ120" i="2" s="1"/>
  <c r="AJ119" i="2"/>
  <c r="AC119" i="2"/>
  <c r="AG118" i="2"/>
  <c r="AG121" i="2" s="1"/>
  <c r="AG132" i="2" s="1"/>
  <c r="AF118" i="2"/>
  <c r="AF121" i="2" s="1"/>
  <c r="AF132" i="2" s="1"/>
  <c r="AE118" i="2"/>
  <c r="AE121" i="2" s="1"/>
  <c r="AE132" i="2" s="1"/>
  <c r="AD118" i="2"/>
  <c r="AC118" i="2"/>
  <c r="AJ118" i="2" s="1"/>
  <c r="AJ117" i="2"/>
  <c r="AC117" i="2"/>
  <c r="AC116" i="2"/>
  <c r="AJ116" i="2" s="1"/>
  <c r="AJ115" i="2"/>
  <c r="AD115" i="2"/>
  <c r="AC114" i="2"/>
  <c r="AJ114" i="2" s="1"/>
  <c r="AC113" i="2"/>
  <c r="AJ113" i="2" s="1"/>
  <c r="AC112" i="2"/>
  <c r="AJ112" i="2" s="1"/>
  <c r="AJ111" i="2"/>
  <c r="AC111" i="2"/>
  <c r="AC110" i="2"/>
  <c r="AJ110" i="2" s="1"/>
  <c r="AJ109" i="2"/>
  <c r="AJ108" i="2"/>
  <c r="AC108" i="2"/>
  <c r="AJ107" i="2"/>
  <c r="AC107" i="2"/>
  <c r="AC121" i="2" s="1"/>
  <c r="AC132" i="2" s="1"/>
  <c r="AJ105" i="2"/>
  <c r="AI105" i="2"/>
  <c r="AH105" i="2"/>
  <c r="AG105" i="2"/>
  <c r="AF105" i="2"/>
  <c r="AE105" i="2"/>
  <c r="AD105" i="2"/>
  <c r="AC105" i="2"/>
  <c r="AH103" i="2"/>
  <c r="AF103" i="2"/>
  <c r="AE103" i="2"/>
  <c r="AD103" i="2"/>
  <c r="AC103" i="2"/>
  <c r="AJ102" i="2"/>
  <c r="AJ101" i="2"/>
  <c r="AI100" i="2"/>
  <c r="AI103" i="2" s="1"/>
  <c r="AH100" i="2"/>
  <c r="AG100" i="2"/>
  <c r="AG103" i="2" s="1"/>
  <c r="AJ99" i="2"/>
  <c r="AF97" i="2"/>
  <c r="AH96" i="2"/>
  <c r="AF96" i="2"/>
  <c r="AE96" i="2"/>
  <c r="AD96" i="2"/>
  <c r="AC96" i="2"/>
  <c r="AJ95" i="2"/>
  <c r="AJ94" i="2"/>
  <c r="AC94" i="2"/>
  <c r="AJ92" i="2"/>
  <c r="AI90" i="2"/>
  <c r="AH90" i="2"/>
  <c r="AH97" i="2" s="1"/>
  <c r="AG90" i="2"/>
  <c r="AF90" i="2"/>
  <c r="AD90" i="2"/>
  <c r="AC90" i="2"/>
  <c r="AJ88" i="2"/>
  <c r="AJ87" i="2"/>
  <c r="AJ86" i="2"/>
  <c r="AJ85" i="2"/>
  <c r="AJ83" i="2"/>
  <c r="AJ82" i="2"/>
  <c r="AI80" i="2"/>
  <c r="AH80" i="2"/>
  <c r="AG80" i="2"/>
  <c r="AF80" i="2"/>
  <c r="AE80" i="2"/>
  <c r="AD80" i="2"/>
  <c r="AD97" i="2" s="1"/>
  <c r="AJ79" i="2"/>
  <c r="AD79" i="2"/>
  <c r="AJ78" i="2"/>
  <c r="AC77" i="2"/>
  <c r="AJ77" i="2" s="1"/>
  <c r="AC75" i="2"/>
  <c r="AJ75" i="2" s="1"/>
  <c r="AJ72" i="2"/>
  <c r="AI72" i="2"/>
  <c r="AH72" i="2"/>
  <c r="AG72" i="2"/>
  <c r="AF72" i="2"/>
  <c r="AE72" i="2"/>
  <c r="AD72" i="2"/>
  <c r="AC72" i="2"/>
  <c r="AH64" i="2"/>
  <c r="AG64" i="2"/>
  <c r="AF64" i="2"/>
  <c r="AF65" i="2" s="1"/>
  <c r="AF134" i="2" s="1"/>
  <c r="AE64" i="2"/>
  <c r="AC64" i="2"/>
  <c r="AH63" i="2"/>
  <c r="AH65" i="2" s="1"/>
  <c r="AF63" i="2"/>
  <c r="AD63" i="2"/>
  <c r="AC63" i="2"/>
  <c r="AC65" i="2" s="1"/>
  <c r="AI61" i="2"/>
  <c r="AI64" i="2" s="1"/>
  <c r="AH61" i="2"/>
  <c r="AG61" i="2"/>
  <c r="AF61" i="2"/>
  <c r="AE61" i="2"/>
  <c r="AD61" i="2"/>
  <c r="AD64" i="2" s="1"/>
  <c r="AC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61" i="2" s="1"/>
  <c r="AJ64" i="2" s="1"/>
  <c r="AJ38" i="2"/>
  <c r="AI38" i="2"/>
  <c r="AH38" i="2"/>
  <c r="AG38" i="2"/>
  <c r="AF38" i="2"/>
  <c r="AE38" i="2"/>
  <c r="AD38" i="2"/>
  <c r="AC38" i="2"/>
  <c r="AI36" i="2"/>
  <c r="AI135" i="2" s="1"/>
  <c r="AH36" i="2"/>
  <c r="AH140" i="2" s="1"/>
  <c r="AG36" i="2"/>
  <c r="AG135" i="2" s="1"/>
  <c r="AE36" i="2"/>
  <c r="AE135" i="2" s="1"/>
  <c r="AD36" i="2"/>
  <c r="AD140" i="2" s="1"/>
  <c r="AC36" i="2"/>
  <c r="AJ35" i="2"/>
  <c r="AJ34" i="2"/>
  <c r="AJ33" i="2"/>
  <c r="AJ32" i="2"/>
  <c r="AJ31" i="2"/>
  <c r="AJ30" i="2"/>
  <c r="AJ36" i="2" s="1"/>
  <c r="AJ63" i="2" s="1"/>
  <c r="AJ65" i="2" s="1"/>
  <c r="AJ29" i="2"/>
  <c r="AJ28" i="2"/>
  <c r="AJ27" i="2"/>
  <c r="AJ26" i="2"/>
  <c r="AI26" i="2"/>
  <c r="AH26" i="2"/>
  <c r="AG26" i="2"/>
  <c r="AF26" i="2"/>
  <c r="AE26" i="2"/>
  <c r="AD26" i="2"/>
  <c r="AC26" i="2"/>
  <c r="AJ24" i="2"/>
  <c r="AJ23" i="2"/>
  <c r="AC22" i="2"/>
  <c r="AJ22" i="2" s="1"/>
  <c r="AJ21" i="2"/>
  <c r="AJ20" i="2"/>
  <c r="AJ19" i="2"/>
  <c r="AI19" i="2"/>
  <c r="AH19" i="2"/>
  <c r="AG19" i="2"/>
  <c r="AF19" i="2"/>
  <c r="AE19" i="2"/>
  <c r="AD19" i="2"/>
  <c r="AC19" i="2"/>
  <c r="AI17" i="2"/>
  <c r="AH17" i="2"/>
  <c r="AG17" i="2"/>
  <c r="AE17" i="2"/>
  <c r="AD17" i="2"/>
  <c r="AC17" i="2"/>
  <c r="AE183" i="2" s="1"/>
  <c r="AJ16" i="2"/>
  <c r="AJ15" i="2"/>
  <c r="AJ14" i="2"/>
  <c r="AJ13" i="2"/>
  <c r="AJ12" i="2"/>
  <c r="AC12" i="2"/>
  <c r="AJ11" i="2"/>
  <c r="AJ10" i="2"/>
  <c r="AJ9" i="2"/>
  <c r="AJ8" i="2"/>
  <c r="AJ7" i="2"/>
  <c r="AJ6" i="2"/>
  <c r="AJ5" i="2"/>
  <c r="AJ4" i="2"/>
  <c r="AJ17" i="2" s="1"/>
  <c r="AJ3" i="2"/>
  <c r="AC3" i="2"/>
  <c r="AC74" i="2" s="1"/>
  <c r="AJ2" i="2"/>
  <c r="AA218" i="2"/>
  <c r="AA217" i="2"/>
  <c r="AA216" i="2"/>
  <c r="AA215" i="2"/>
  <c r="AA214" i="2"/>
  <c r="AA213" i="2"/>
  <c r="Z209" i="2"/>
  <c r="Y209" i="2"/>
  <c r="X209" i="2"/>
  <c r="W209" i="2"/>
  <c r="V209" i="2"/>
  <c r="U209" i="2"/>
  <c r="AA208" i="2"/>
  <c r="T208" i="2"/>
  <c r="T207" i="2"/>
  <c r="AA207" i="2" s="1"/>
  <c r="AA206" i="2"/>
  <c r="AA205" i="2"/>
  <c r="T204" i="2"/>
  <c r="T209" i="2" s="1"/>
  <c r="AA203" i="2"/>
  <c r="AA202" i="2"/>
  <c r="AA201" i="2"/>
  <c r="AA200" i="2"/>
  <c r="AA199" i="2"/>
  <c r="AA198" i="2"/>
  <c r="Z198" i="2"/>
  <c r="Y198" i="2"/>
  <c r="X198" i="2"/>
  <c r="W198" i="2"/>
  <c r="V198" i="2"/>
  <c r="U198" i="2"/>
  <c r="T198" i="2"/>
  <c r="Z197" i="2"/>
  <c r="Y197" i="2"/>
  <c r="X197" i="2"/>
  <c r="W197" i="2"/>
  <c r="U197" i="2"/>
  <c r="AA195" i="2"/>
  <c r="AA194" i="2"/>
  <c r="AA193" i="2"/>
  <c r="AA192" i="2"/>
  <c r="AA191" i="2"/>
  <c r="AA190" i="2"/>
  <c r="AA189" i="2"/>
  <c r="AA188" i="2"/>
  <c r="AA186" i="2"/>
  <c r="AA185" i="2"/>
  <c r="AA184" i="2"/>
  <c r="AA182" i="2"/>
  <c r="AA181" i="2"/>
  <c r="AA180" i="2"/>
  <c r="AA179" i="2"/>
  <c r="AA178" i="2"/>
  <c r="AA177" i="2"/>
  <c r="AA176" i="2"/>
  <c r="AA175" i="2"/>
  <c r="AA174" i="2"/>
  <c r="AA173" i="2"/>
  <c r="T173" i="2"/>
  <c r="AA172" i="2"/>
  <c r="T172" i="2"/>
  <c r="AA171" i="2"/>
  <c r="Z171" i="2"/>
  <c r="Y171" i="2"/>
  <c r="X171" i="2"/>
  <c r="W171" i="2"/>
  <c r="V171" i="2"/>
  <c r="U171" i="2"/>
  <c r="T171" i="2"/>
  <c r="W170" i="2"/>
  <c r="W211" i="2" s="1"/>
  <c r="V170" i="2"/>
  <c r="AA169" i="2"/>
  <c r="AA165" i="2"/>
  <c r="AA163" i="2"/>
  <c r="AA162" i="2"/>
  <c r="AA159" i="2"/>
  <c r="AA158" i="2"/>
  <c r="AA156" i="2"/>
  <c r="T156" i="2"/>
  <c r="AA155" i="2"/>
  <c r="Z155" i="2"/>
  <c r="Y155" i="2"/>
  <c r="X155" i="2"/>
  <c r="W155" i="2"/>
  <c r="V155" i="2"/>
  <c r="U155" i="2"/>
  <c r="T155" i="2"/>
  <c r="Z154" i="2"/>
  <c r="Y154" i="2"/>
  <c r="X154" i="2"/>
  <c r="V154" i="2"/>
  <c r="AA152" i="2"/>
  <c r="AA151" i="2"/>
  <c r="U151" i="2"/>
  <c r="U154" i="2" s="1"/>
  <c r="T151" i="2"/>
  <c r="AA146" i="2"/>
  <c r="AA145" i="2"/>
  <c r="T144" i="2"/>
  <c r="AA144" i="2" s="1"/>
  <c r="AA143" i="2"/>
  <c r="Z143" i="2"/>
  <c r="Y143" i="2"/>
  <c r="X143" i="2"/>
  <c r="W143" i="2"/>
  <c r="V143" i="2"/>
  <c r="U143" i="2"/>
  <c r="T143" i="2"/>
  <c r="AA139" i="2"/>
  <c r="AA138" i="2"/>
  <c r="AA137" i="2"/>
  <c r="Y135" i="2"/>
  <c r="X135" i="2"/>
  <c r="W135" i="2"/>
  <c r="V135" i="2"/>
  <c r="U135" i="2"/>
  <c r="W133" i="2"/>
  <c r="Z130" i="2"/>
  <c r="Z140" i="2" s="1"/>
  <c r="Y130" i="2"/>
  <c r="Y140" i="2" s="1"/>
  <c r="X130" i="2"/>
  <c r="X140" i="2" s="1"/>
  <c r="W130" i="2"/>
  <c r="W140" i="2" s="1"/>
  <c r="V130" i="2"/>
  <c r="V140" i="2" s="1"/>
  <c r="U130" i="2"/>
  <c r="U140" i="2" s="1"/>
  <c r="T130" i="2"/>
  <c r="T129" i="2"/>
  <c r="AA129" i="2" s="1"/>
  <c r="T128" i="2"/>
  <c r="AA128" i="2" s="1"/>
  <c r="AA127" i="2"/>
  <c r="U127" i="2"/>
  <c r="AA126" i="2"/>
  <c r="U126" i="2"/>
  <c r="BW126" i="2" s="1"/>
  <c r="AA125" i="2"/>
  <c r="U125" i="2"/>
  <c r="AA124" i="2"/>
  <c r="U124" i="2"/>
  <c r="U123" i="2"/>
  <c r="AA123" i="2" s="1"/>
  <c r="Y121" i="2"/>
  <c r="AA120" i="2"/>
  <c r="V120" i="2"/>
  <c r="AA119" i="2"/>
  <c r="T119" i="2"/>
  <c r="Z118" i="2"/>
  <c r="Z121" i="2" s="1"/>
  <c r="Y118" i="2"/>
  <c r="X118" i="2"/>
  <c r="X121" i="2" s="1"/>
  <c r="W118" i="2"/>
  <c r="V118" i="2"/>
  <c r="V121" i="2" s="1"/>
  <c r="U118" i="2"/>
  <c r="T118" i="2"/>
  <c r="AA118" i="2" s="1"/>
  <c r="AA117" i="2"/>
  <c r="T117" i="2"/>
  <c r="AA116" i="2"/>
  <c r="T116" i="2"/>
  <c r="AA113" i="2"/>
  <c r="AA112" i="2"/>
  <c r="T112" i="2"/>
  <c r="AA111" i="2"/>
  <c r="T111" i="2"/>
  <c r="AA110" i="2"/>
  <c r="AA109" i="2"/>
  <c r="AA108" i="2"/>
  <c r="T108" i="2"/>
  <c r="T107" i="2"/>
  <c r="AA107" i="2" s="1"/>
  <c r="AA105" i="2"/>
  <c r="Z105" i="2"/>
  <c r="Y105" i="2"/>
  <c r="X105" i="2"/>
  <c r="W105" i="2"/>
  <c r="V105" i="2"/>
  <c r="U105" i="2"/>
  <c r="T105" i="2"/>
  <c r="W103" i="2"/>
  <c r="W219" i="2" s="1"/>
  <c r="W220" i="2" s="1"/>
  <c r="V103" i="2"/>
  <c r="U103" i="2"/>
  <c r="T103" i="2"/>
  <c r="AA102" i="2"/>
  <c r="AA101" i="2"/>
  <c r="AA100" i="2"/>
  <c r="AA103" i="2" s="1"/>
  <c r="Z100" i="2"/>
  <c r="Z103" i="2" s="1"/>
  <c r="Y100" i="2"/>
  <c r="Y103" i="2" s="1"/>
  <c r="X100" i="2"/>
  <c r="X103" i="2" s="1"/>
  <c r="AA99" i="2"/>
  <c r="Y96" i="2"/>
  <c r="V96" i="2"/>
  <c r="U96" i="2"/>
  <c r="T96" i="2"/>
  <c r="AA95" i="2"/>
  <c r="AA94" i="2"/>
  <c r="AA92" i="2"/>
  <c r="Z90" i="2"/>
  <c r="Y90" i="2"/>
  <c r="X90" i="2"/>
  <c r="U90" i="2"/>
  <c r="T90" i="2"/>
  <c r="AA88" i="2"/>
  <c r="AA87" i="2"/>
  <c r="AA86" i="2"/>
  <c r="AA85" i="2"/>
  <c r="AA83" i="2"/>
  <c r="AA82" i="2"/>
  <c r="Z80" i="2"/>
  <c r="Y80" i="2"/>
  <c r="Y97" i="2" s="1"/>
  <c r="X80" i="2"/>
  <c r="V80" i="2"/>
  <c r="U80" i="2"/>
  <c r="U97" i="2" s="1"/>
  <c r="AA79" i="2"/>
  <c r="U79" i="2"/>
  <c r="AA78" i="2"/>
  <c r="T77" i="2"/>
  <c r="AA77" i="2" s="1"/>
  <c r="AA75" i="2"/>
  <c r="T75" i="2"/>
  <c r="AA72" i="2"/>
  <c r="Z72" i="2"/>
  <c r="Y72" i="2"/>
  <c r="X72" i="2"/>
  <c r="W72" i="2"/>
  <c r="V72" i="2"/>
  <c r="U72" i="2"/>
  <c r="T72" i="2"/>
  <c r="Z64" i="2"/>
  <c r="Y64" i="2"/>
  <c r="X64" i="2"/>
  <c r="W64" i="2"/>
  <c r="V64" i="2"/>
  <c r="U64" i="2"/>
  <c r="T64" i="2"/>
  <c r="W63" i="2"/>
  <c r="W65" i="2" s="1"/>
  <c r="V63" i="2"/>
  <c r="V65" i="2" s="1"/>
  <c r="U63" i="2"/>
  <c r="U65" i="2" s="1"/>
  <c r="Z61" i="2"/>
  <c r="Y61" i="2"/>
  <c r="X61" i="2"/>
  <c r="W61" i="2"/>
  <c r="V61" i="2"/>
  <c r="U61" i="2"/>
  <c r="T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61" i="2" s="1"/>
  <c r="AA64" i="2" s="1"/>
  <c r="AA43" i="2"/>
  <c r="AA42" i="2"/>
  <c r="AA41" i="2"/>
  <c r="AA40" i="2"/>
  <c r="AA39" i="2"/>
  <c r="AA38" i="2"/>
  <c r="Z38" i="2"/>
  <c r="Y38" i="2"/>
  <c r="X38" i="2"/>
  <c r="W38" i="2"/>
  <c r="V38" i="2"/>
  <c r="U38" i="2"/>
  <c r="T38" i="2"/>
  <c r="Z36" i="2"/>
  <c r="Z63" i="2" s="1"/>
  <c r="Z65" i="2" s="1"/>
  <c r="Y36" i="2"/>
  <c r="Y63" i="2" s="1"/>
  <c r="Y65" i="2" s="1"/>
  <c r="X36" i="2"/>
  <c r="X63" i="2" s="1"/>
  <c r="X65" i="2" s="1"/>
  <c r="V36" i="2"/>
  <c r="U36" i="2"/>
  <c r="U115" i="2" s="1"/>
  <c r="T36" i="2"/>
  <c r="T63" i="2" s="1"/>
  <c r="T65" i="2" s="1"/>
  <c r="AA35" i="2"/>
  <c r="AA34" i="2"/>
  <c r="AA33" i="2"/>
  <c r="AA32" i="2"/>
  <c r="AA31" i="2"/>
  <c r="AA30" i="2"/>
  <c r="AA36" i="2" s="1"/>
  <c r="AA63" i="2" s="1"/>
  <c r="AA29" i="2"/>
  <c r="AA28" i="2"/>
  <c r="AA27" i="2"/>
  <c r="AA26" i="2"/>
  <c r="Z26" i="2"/>
  <c r="Y26" i="2"/>
  <c r="X26" i="2"/>
  <c r="W26" i="2"/>
  <c r="V26" i="2"/>
  <c r="U26" i="2"/>
  <c r="T26" i="2"/>
  <c r="AA24" i="2"/>
  <c r="AA23" i="2"/>
  <c r="T22" i="2"/>
  <c r="AA22" i="2" s="1"/>
  <c r="AA21" i="2"/>
  <c r="AA20" i="2"/>
  <c r="AA19" i="2"/>
  <c r="Z19" i="2"/>
  <c r="Y19" i="2"/>
  <c r="X19" i="2"/>
  <c r="W19" i="2"/>
  <c r="V19" i="2"/>
  <c r="U19" i="2"/>
  <c r="T19" i="2"/>
  <c r="Z17" i="2"/>
  <c r="Y17" i="2"/>
  <c r="X17" i="2"/>
  <c r="V17" i="2"/>
  <c r="U17" i="2"/>
  <c r="AA16" i="2"/>
  <c r="AA15" i="2"/>
  <c r="AA14" i="2"/>
  <c r="AA13" i="2"/>
  <c r="AA12" i="2"/>
  <c r="AA11" i="2"/>
  <c r="AA10" i="2"/>
  <c r="AA9" i="2"/>
  <c r="AA8" i="2"/>
  <c r="AA7" i="2"/>
  <c r="T6" i="2"/>
  <c r="BV6" i="2" s="1"/>
  <c r="T5" i="2"/>
  <c r="AA5" i="2" s="1"/>
  <c r="AA4" i="2"/>
  <c r="T4" i="2"/>
  <c r="T3" i="2" s="1"/>
  <c r="AA2" i="2"/>
  <c r="R218" i="2"/>
  <c r="R217" i="2"/>
  <c r="R216" i="2"/>
  <c r="R215" i="2"/>
  <c r="R214" i="2"/>
  <c r="R213" i="2"/>
  <c r="Q209" i="2"/>
  <c r="P209" i="2"/>
  <c r="O209" i="2"/>
  <c r="N209" i="2"/>
  <c r="M209" i="2"/>
  <c r="L209" i="2"/>
  <c r="R208" i="2"/>
  <c r="K208" i="2"/>
  <c r="K207" i="2"/>
  <c r="R207" i="2" s="1"/>
  <c r="R206" i="2"/>
  <c r="R205" i="2"/>
  <c r="K204" i="2"/>
  <c r="K209" i="2" s="1"/>
  <c r="R203" i="2"/>
  <c r="R202" i="2"/>
  <c r="R201" i="2"/>
  <c r="R200" i="2"/>
  <c r="R199" i="2"/>
  <c r="R198" i="2"/>
  <c r="Q198" i="2"/>
  <c r="P198" i="2"/>
  <c r="O198" i="2"/>
  <c r="N198" i="2"/>
  <c r="M198" i="2"/>
  <c r="L198" i="2"/>
  <c r="K198" i="2"/>
  <c r="Q197" i="2"/>
  <c r="P197" i="2"/>
  <c r="O197" i="2"/>
  <c r="N197" i="2"/>
  <c r="L197" i="2"/>
  <c r="R195" i="2"/>
  <c r="R194" i="2"/>
  <c r="R193" i="2"/>
  <c r="R192" i="2"/>
  <c r="R191" i="2"/>
  <c r="R190" i="2"/>
  <c r="R189" i="2"/>
  <c r="R188" i="2"/>
  <c r="R186" i="2"/>
  <c r="R185" i="2"/>
  <c r="R184" i="2"/>
  <c r="R182" i="2"/>
  <c r="R181" i="2"/>
  <c r="R180" i="2"/>
  <c r="R179" i="2"/>
  <c r="R178" i="2"/>
  <c r="R177" i="2"/>
  <c r="R176" i="2"/>
  <c r="R175" i="2"/>
  <c r="R174" i="2"/>
  <c r="K173" i="2"/>
  <c r="R173" i="2" s="1"/>
  <c r="R172" i="2"/>
  <c r="K172" i="2"/>
  <c r="R171" i="2"/>
  <c r="Q171" i="2"/>
  <c r="P171" i="2"/>
  <c r="O171" i="2"/>
  <c r="N171" i="2"/>
  <c r="M171" i="2"/>
  <c r="L171" i="2"/>
  <c r="K171" i="2"/>
  <c r="N170" i="2"/>
  <c r="N211" i="2" s="1"/>
  <c r="M170" i="2"/>
  <c r="R169" i="2"/>
  <c r="R165" i="2"/>
  <c r="R163" i="2"/>
  <c r="R162" i="2"/>
  <c r="R159" i="2"/>
  <c r="K158" i="2"/>
  <c r="R158" i="2" s="1"/>
  <c r="K156" i="2"/>
  <c r="R155" i="2"/>
  <c r="Q155" i="2"/>
  <c r="P155" i="2"/>
  <c r="O155" i="2"/>
  <c r="N155" i="2"/>
  <c r="M155" i="2"/>
  <c r="L155" i="2"/>
  <c r="K155" i="2"/>
  <c r="Q154" i="2"/>
  <c r="P154" i="2"/>
  <c r="O154" i="2"/>
  <c r="M154" i="2"/>
  <c r="R152" i="2"/>
  <c r="L151" i="2"/>
  <c r="L154" i="2" s="1"/>
  <c r="K151" i="2"/>
  <c r="R151" i="2" s="1"/>
  <c r="R146" i="2"/>
  <c r="R145" i="2"/>
  <c r="R144" i="2"/>
  <c r="K144" i="2"/>
  <c r="R143" i="2"/>
  <c r="Q143" i="2"/>
  <c r="P143" i="2"/>
  <c r="O143" i="2"/>
  <c r="N143" i="2"/>
  <c r="M143" i="2"/>
  <c r="L143" i="2"/>
  <c r="K143" i="2"/>
  <c r="N140" i="2"/>
  <c r="R139" i="2"/>
  <c r="R138" i="2"/>
  <c r="R137" i="2"/>
  <c r="P135" i="2"/>
  <c r="O135" i="2"/>
  <c r="N135" i="2"/>
  <c r="Q130" i="2"/>
  <c r="Q131" i="2" s="1"/>
  <c r="P130" i="2"/>
  <c r="P131" i="2" s="1"/>
  <c r="O130" i="2"/>
  <c r="O131" i="2" s="1"/>
  <c r="N130" i="2"/>
  <c r="M130" i="2"/>
  <c r="M131" i="2" s="1"/>
  <c r="M132" i="2" s="1"/>
  <c r="L130" i="2"/>
  <c r="K130" i="2"/>
  <c r="R130" i="2" s="1"/>
  <c r="L129" i="2"/>
  <c r="K129" i="2"/>
  <c r="R129" i="2" s="1"/>
  <c r="R128" i="2"/>
  <c r="K128" i="2"/>
  <c r="L127" i="2"/>
  <c r="R127" i="2" s="1"/>
  <c r="R126" i="2"/>
  <c r="L125" i="2"/>
  <c r="R125" i="2" s="1"/>
  <c r="R124" i="2"/>
  <c r="L123" i="2"/>
  <c r="R123" i="2" s="1"/>
  <c r="Q121" i="2"/>
  <c r="Q132" i="2" s="1"/>
  <c r="P121" i="2"/>
  <c r="P132" i="2" s="1"/>
  <c r="M121" i="2"/>
  <c r="M120" i="2"/>
  <c r="R120" i="2" s="1"/>
  <c r="R119" i="2"/>
  <c r="K119" i="2"/>
  <c r="O118" i="2"/>
  <c r="O121" i="2" s="1"/>
  <c r="N118" i="2"/>
  <c r="M118" i="2"/>
  <c r="L118" i="2"/>
  <c r="K118" i="2"/>
  <c r="R118" i="2" s="1"/>
  <c r="K117" i="2"/>
  <c r="R117" i="2" s="1"/>
  <c r="K116" i="2"/>
  <c r="R116" i="2" s="1"/>
  <c r="R113" i="2"/>
  <c r="R112" i="2"/>
  <c r="K112" i="2"/>
  <c r="K111" i="2"/>
  <c r="R111" i="2" s="1"/>
  <c r="R110" i="2"/>
  <c r="R109" i="2"/>
  <c r="R108" i="2"/>
  <c r="K108" i="2"/>
  <c r="K107" i="2"/>
  <c r="R107" i="2" s="1"/>
  <c r="R105" i="2"/>
  <c r="Q105" i="2"/>
  <c r="P105" i="2"/>
  <c r="O105" i="2"/>
  <c r="N105" i="2"/>
  <c r="M105" i="2"/>
  <c r="L105" i="2"/>
  <c r="K105" i="2"/>
  <c r="Q103" i="2"/>
  <c r="O103" i="2"/>
  <c r="N103" i="2"/>
  <c r="N219" i="2" s="1"/>
  <c r="N220" i="2" s="1"/>
  <c r="M103" i="2"/>
  <c r="L103" i="2"/>
  <c r="K103" i="2"/>
  <c r="R102" i="2"/>
  <c r="R101" i="2"/>
  <c r="R100" i="2"/>
  <c r="R103" i="2" s="1"/>
  <c r="Q100" i="2"/>
  <c r="P100" i="2"/>
  <c r="P103" i="2" s="1"/>
  <c r="O100" i="2"/>
  <c r="R99" i="2"/>
  <c r="P96" i="2"/>
  <c r="M96" i="2"/>
  <c r="L96" i="2"/>
  <c r="K96" i="2"/>
  <c r="R95" i="2"/>
  <c r="R94" i="2"/>
  <c r="R92" i="2"/>
  <c r="Q90" i="2"/>
  <c r="P90" i="2"/>
  <c r="O90" i="2"/>
  <c r="L90" i="2"/>
  <c r="K90" i="2"/>
  <c r="R88" i="2"/>
  <c r="R87" i="2"/>
  <c r="R86" i="2"/>
  <c r="R85" i="2"/>
  <c r="R83" i="2"/>
  <c r="R82" i="2"/>
  <c r="Q80" i="2"/>
  <c r="P80" i="2"/>
  <c r="P97" i="2" s="1"/>
  <c r="O80" i="2"/>
  <c r="M80" i="2"/>
  <c r="L79" i="2"/>
  <c r="L80" i="2" s="1"/>
  <c r="L97" i="2" s="1"/>
  <c r="R78" i="2"/>
  <c r="R77" i="2"/>
  <c r="K77" i="2"/>
  <c r="K75" i="2"/>
  <c r="R75" i="2" s="1"/>
  <c r="R72" i="2"/>
  <c r="Q72" i="2"/>
  <c r="P72" i="2"/>
  <c r="O72" i="2"/>
  <c r="N72" i="2"/>
  <c r="M72" i="2"/>
  <c r="L72" i="2"/>
  <c r="K72" i="2"/>
  <c r="N64" i="2"/>
  <c r="M64" i="2"/>
  <c r="L64" i="2"/>
  <c r="Q63" i="2"/>
  <c r="N63" i="2"/>
  <c r="N65" i="2" s="1"/>
  <c r="N134" i="2" s="1"/>
  <c r="M63" i="2"/>
  <c r="M65" i="2" s="1"/>
  <c r="Q61" i="2"/>
  <c r="Q64" i="2" s="1"/>
  <c r="Q65" i="2" s="1"/>
  <c r="P61" i="2"/>
  <c r="P64" i="2" s="1"/>
  <c r="O61" i="2"/>
  <c r="O64" i="2" s="1"/>
  <c r="N61" i="2"/>
  <c r="M61" i="2"/>
  <c r="L61" i="2"/>
  <c r="K61" i="2"/>
  <c r="K64" i="2" s="1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61" i="2" s="1"/>
  <c r="R64" i="2" s="1"/>
  <c r="R41" i="2"/>
  <c r="R40" i="2"/>
  <c r="R39" i="2"/>
  <c r="R38" i="2"/>
  <c r="Q38" i="2"/>
  <c r="P38" i="2"/>
  <c r="O38" i="2"/>
  <c r="N38" i="2"/>
  <c r="M38" i="2"/>
  <c r="L38" i="2"/>
  <c r="K38" i="2"/>
  <c r="Q36" i="2"/>
  <c r="Q140" i="2" s="1"/>
  <c r="P36" i="2"/>
  <c r="P140" i="2" s="1"/>
  <c r="O36" i="2"/>
  <c r="O140" i="2" s="1"/>
  <c r="M36" i="2"/>
  <c r="M135" i="2" s="1"/>
  <c r="L36" i="2"/>
  <c r="L135" i="2" s="1"/>
  <c r="K36" i="2"/>
  <c r="K135" i="2" s="1"/>
  <c r="R35" i="2"/>
  <c r="R34" i="2"/>
  <c r="R33" i="2"/>
  <c r="R32" i="2"/>
  <c r="R31" i="2"/>
  <c r="R30" i="2"/>
  <c r="R36" i="2" s="1"/>
  <c r="R63" i="2" s="1"/>
  <c r="R65" i="2" s="1"/>
  <c r="R29" i="2"/>
  <c r="R28" i="2"/>
  <c r="R27" i="2"/>
  <c r="R26" i="2"/>
  <c r="Q26" i="2"/>
  <c r="P26" i="2"/>
  <c r="O26" i="2"/>
  <c r="N26" i="2"/>
  <c r="M26" i="2"/>
  <c r="L26" i="2"/>
  <c r="K26" i="2"/>
  <c r="R24" i="2"/>
  <c r="R23" i="2"/>
  <c r="K22" i="2"/>
  <c r="R22" i="2" s="1"/>
  <c r="R21" i="2"/>
  <c r="R20" i="2"/>
  <c r="R19" i="2"/>
  <c r="Q19" i="2"/>
  <c r="P19" i="2"/>
  <c r="O19" i="2"/>
  <c r="N19" i="2"/>
  <c r="M19" i="2"/>
  <c r="L19" i="2"/>
  <c r="K19" i="2"/>
  <c r="Q17" i="2"/>
  <c r="P17" i="2"/>
  <c r="O17" i="2"/>
  <c r="M17" i="2"/>
  <c r="L17" i="2"/>
  <c r="R16" i="2"/>
  <c r="R15" i="2"/>
  <c r="R14" i="2"/>
  <c r="R13" i="2"/>
  <c r="R12" i="2"/>
  <c r="R11" i="2"/>
  <c r="R10" i="2"/>
  <c r="R9" i="2"/>
  <c r="R8" i="2"/>
  <c r="R7" i="2"/>
  <c r="R6" i="2"/>
  <c r="K6" i="2"/>
  <c r="K5" i="2"/>
  <c r="R5" i="2" s="1"/>
  <c r="K4" i="2"/>
  <c r="K3" i="2" s="1"/>
  <c r="R2" i="2"/>
  <c r="I218" i="2"/>
  <c r="I217" i="2"/>
  <c r="B216" i="2"/>
  <c r="I216" i="2" s="1"/>
  <c r="I215" i="2"/>
  <c r="I214" i="2"/>
  <c r="I213" i="2"/>
  <c r="H209" i="2"/>
  <c r="G209" i="2"/>
  <c r="F209" i="2"/>
  <c r="E209" i="2"/>
  <c r="D209" i="2"/>
  <c r="C209" i="2"/>
  <c r="B208" i="2"/>
  <c r="I208" i="2" s="1"/>
  <c r="B207" i="2"/>
  <c r="B209" i="2" s="1"/>
  <c r="I206" i="2"/>
  <c r="I205" i="2"/>
  <c r="I204" i="2"/>
  <c r="B204" i="2"/>
  <c r="I203" i="2"/>
  <c r="I202" i="2"/>
  <c r="I201" i="2"/>
  <c r="I200" i="2"/>
  <c r="I199" i="2"/>
  <c r="I198" i="2"/>
  <c r="H198" i="2"/>
  <c r="G198" i="2"/>
  <c r="F198" i="2"/>
  <c r="E198" i="2"/>
  <c r="D198" i="2"/>
  <c r="C198" i="2"/>
  <c r="B198" i="2"/>
  <c r="H197" i="2"/>
  <c r="G197" i="2"/>
  <c r="F197" i="2"/>
  <c r="E197" i="2"/>
  <c r="C197" i="2"/>
  <c r="I195" i="2"/>
  <c r="I194" i="2"/>
  <c r="I193" i="2"/>
  <c r="I192" i="2"/>
  <c r="I191" i="2"/>
  <c r="I190" i="2"/>
  <c r="I189" i="2"/>
  <c r="I188" i="2"/>
  <c r="I186" i="2"/>
  <c r="I185" i="2"/>
  <c r="I184" i="2"/>
  <c r="I182" i="2"/>
  <c r="I181" i="2"/>
  <c r="I180" i="2"/>
  <c r="I179" i="2"/>
  <c r="I178" i="2"/>
  <c r="I177" i="2"/>
  <c r="I176" i="2"/>
  <c r="I175" i="2"/>
  <c r="I174" i="2"/>
  <c r="B173" i="2"/>
  <c r="B172" i="2"/>
  <c r="I172" i="2" s="1"/>
  <c r="I171" i="2"/>
  <c r="H171" i="2"/>
  <c r="G171" i="2"/>
  <c r="F171" i="2"/>
  <c r="E171" i="2"/>
  <c r="D171" i="2"/>
  <c r="C171" i="2"/>
  <c r="B171" i="2"/>
  <c r="E170" i="2"/>
  <c r="D170" i="2"/>
  <c r="I169" i="2"/>
  <c r="I165" i="2"/>
  <c r="I163" i="2"/>
  <c r="I162" i="2"/>
  <c r="I159" i="2"/>
  <c r="I158" i="2"/>
  <c r="I156" i="2"/>
  <c r="B156" i="2"/>
  <c r="I155" i="2"/>
  <c r="H155" i="2"/>
  <c r="G155" i="2"/>
  <c r="F155" i="2"/>
  <c r="E155" i="2"/>
  <c r="D155" i="2"/>
  <c r="C155" i="2"/>
  <c r="B155" i="2"/>
  <c r="H154" i="2"/>
  <c r="G154" i="2"/>
  <c r="F154" i="2"/>
  <c r="E154" i="2"/>
  <c r="D154" i="2"/>
  <c r="C154" i="2"/>
  <c r="I152" i="2"/>
  <c r="C151" i="2"/>
  <c r="I151" i="2" s="1"/>
  <c r="B151" i="2"/>
  <c r="I146" i="2"/>
  <c r="I145" i="2"/>
  <c r="I144" i="2"/>
  <c r="B144" i="2"/>
  <c r="I143" i="2"/>
  <c r="H143" i="2"/>
  <c r="G143" i="2"/>
  <c r="F143" i="2"/>
  <c r="E143" i="2"/>
  <c r="D143" i="2"/>
  <c r="C143" i="2"/>
  <c r="B143" i="2"/>
  <c r="G140" i="2"/>
  <c r="F140" i="2"/>
  <c r="E140" i="2"/>
  <c r="D140" i="2"/>
  <c r="I139" i="2"/>
  <c r="I138" i="2"/>
  <c r="I137" i="2"/>
  <c r="G135" i="2"/>
  <c r="F135" i="2"/>
  <c r="E135" i="2"/>
  <c r="H131" i="2"/>
  <c r="G131" i="2"/>
  <c r="F131" i="2"/>
  <c r="F132" i="2" s="1"/>
  <c r="E131" i="2"/>
  <c r="C131" i="2"/>
  <c r="H130" i="2"/>
  <c r="H140" i="2" s="1"/>
  <c r="G130" i="2"/>
  <c r="F130" i="2"/>
  <c r="E130" i="2"/>
  <c r="D130" i="2"/>
  <c r="D131" i="2" s="1"/>
  <c r="C130" i="2"/>
  <c r="B130" i="2"/>
  <c r="I130" i="2" s="1"/>
  <c r="I129" i="2"/>
  <c r="C129" i="2"/>
  <c r="B129" i="2"/>
  <c r="B131" i="2" s="1"/>
  <c r="I128" i="2"/>
  <c r="I127" i="2"/>
  <c r="I126" i="2"/>
  <c r="I125" i="2"/>
  <c r="I124" i="2"/>
  <c r="C123" i="2"/>
  <c r="I123" i="2" s="1"/>
  <c r="I131" i="2" s="1"/>
  <c r="H121" i="2"/>
  <c r="H132" i="2" s="1"/>
  <c r="G121" i="2"/>
  <c r="G132" i="2" s="1"/>
  <c r="F121" i="2"/>
  <c r="I120" i="2"/>
  <c r="B119" i="2"/>
  <c r="I119" i="2" s="1"/>
  <c r="E118" i="2"/>
  <c r="E121" i="2" s="1"/>
  <c r="E132" i="2" s="1"/>
  <c r="D118" i="2"/>
  <c r="D121" i="2" s="1"/>
  <c r="C118" i="2"/>
  <c r="B118" i="2"/>
  <c r="I118" i="2" s="1"/>
  <c r="B117" i="2"/>
  <c r="I117" i="2" s="1"/>
  <c r="I116" i="2"/>
  <c r="B116" i="2"/>
  <c r="I113" i="2"/>
  <c r="I112" i="2"/>
  <c r="B111" i="2"/>
  <c r="I111" i="2" s="1"/>
  <c r="I110" i="2"/>
  <c r="I109" i="2"/>
  <c r="I108" i="2"/>
  <c r="B108" i="2"/>
  <c r="I107" i="2"/>
  <c r="B107" i="2"/>
  <c r="I105" i="2"/>
  <c r="H105" i="2"/>
  <c r="G105" i="2"/>
  <c r="F105" i="2"/>
  <c r="E105" i="2"/>
  <c r="D105" i="2"/>
  <c r="C105" i="2"/>
  <c r="B105" i="2"/>
  <c r="G103" i="2"/>
  <c r="F103" i="2"/>
  <c r="E103" i="2"/>
  <c r="D103" i="2"/>
  <c r="C103" i="2"/>
  <c r="B103" i="2"/>
  <c r="I102" i="2"/>
  <c r="I101" i="2"/>
  <c r="H100" i="2"/>
  <c r="H103" i="2" s="1"/>
  <c r="G100" i="2"/>
  <c r="I100" i="2" s="1"/>
  <c r="F100" i="2"/>
  <c r="I99" i="2"/>
  <c r="I103" i="2" s="1"/>
  <c r="G96" i="2"/>
  <c r="D96" i="2"/>
  <c r="C96" i="2"/>
  <c r="B96" i="2"/>
  <c r="I95" i="2"/>
  <c r="I94" i="2"/>
  <c r="I92" i="2"/>
  <c r="H90" i="2"/>
  <c r="G90" i="2"/>
  <c r="F90" i="2"/>
  <c r="C90" i="2"/>
  <c r="B90" i="2"/>
  <c r="I88" i="2"/>
  <c r="I87" i="2"/>
  <c r="I86" i="2"/>
  <c r="I85" i="2"/>
  <c r="I83" i="2"/>
  <c r="I82" i="2"/>
  <c r="H80" i="2"/>
  <c r="G80" i="2"/>
  <c r="G97" i="2" s="1"/>
  <c r="F80" i="2"/>
  <c r="D80" i="2"/>
  <c r="C80" i="2"/>
  <c r="C97" i="2" s="1"/>
  <c r="I79" i="2"/>
  <c r="C79" i="2"/>
  <c r="I78" i="2"/>
  <c r="I77" i="2"/>
  <c r="B77" i="2"/>
  <c r="I76" i="2"/>
  <c r="B76" i="2"/>
  <c r="B75" i="2"/>
  <c r="I75" i="2" s="1"/>
  <c r="I72" i="2"/>
  <c r="H72" i="2"/>
  <c r="G72" i="2"/>
  <c r="F72" i="2"/>
  <c r="E72" i="2"/>
  <c r="D72" i="2"/>
  <c r="C72" i="2"/>
  <c r="B72" i="2"/>
  <c r="G64" i="2"/>
  <c r="F64" i="2"/>
  <c r="D64" i="2"/>
  <c r="F63" i="2"/>
  <c r="F65" i="2" s="1"/>
  <c r="E63" i="2"/>
  <c r="E65" i="2" s="1"/>
  <c r="D63" i="2"/>
  <c r="D65" i="2" s="1"/>
  <c r="C63" i="2"/>
  <c r="B63" i="2"/>
  <c r="B65" i="2" s="1"/>
  <c r="H61" i="2"/>
  <c r="H64" i="2" s="1"/>
  <c r="G61" i="2"/>
  <c r="F61" i="2"/>
  <c r="E61" i="2"/>
  <c r="E64" i="2" s="1"/>
  <c r="D61" i="2"/>
  <c r="C61" i="2"/>
  <c r="C64" i="2" s="1"/>
  <c r="B61" i="2"/>
  <c r="B64" i="2" s="1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61" i="2" s="1"/>
  <c r="I64" i="2" s="1"/>
  <c r="I38" i="2"/>
  <c r="H38" i="2"/>
  <c r="G38" i="2"/>
  <c r="F38" i="2"/>
  <c r="E38" i="2"/>
  <c r="D38" i="2"/>
  <c r="C38" i="2"/>
  <c r="B38" i="2"/>
  <c r="H36" i="2"/>
  <c r="H63" i="2" s="1"/>
  <c r="H65" i="2" s="1"/>
  <c r="G36" i="2"/>
  <c r="G63" i="2" s="1"/>
  <c r="G65" i="2" s="1"/>
  <c r="F36" i="2"/>
  <c r="D36" i="2"/>
  <c r="D135" i="2" s="1"/>
  <c r="C36" i="2"/>
  <c r="C135" i="2" s="1"/>
  <c r="B36" i="2"/>
  <c r="B135" i="2" s="1"/>
  <c r="I35" i="2"/>
  <c r="I34" i="2"/>
  <c r="I33" i="2"/>
  <c r="I32" i="2"/>
  <c r="I31" i="2"/>
  <c r="I30" i="2"/>
  <c r="I29" i="2"/>
  <c r="I28" i="2"/>
  <c r="I36" i="2" s="1"/>
  <c r="I63" i="2" s="1"/>
  <c r="I27" i="2"/>
  <c r="I26" i="2"/>
  <c r="H26" i="2"/>
  <c r="G26" i="2"/>
  <c r="F26" i="2"/>
  <c r="E26" i="2"/>
  <c r="D26" i="2"/>
  <c r="C26" i="2"/>
  <c r="B26" i="2"/>
  <c r="I24" i="2"/>
  <c r="I23" i="2"/>
  <c r="I22" i="2"/>
  <c r="I21" i="2"/>
  <c r="I20" i="2"/>
  <c r="I19" i="2"/>
  <c r="H19" i="2"/>
  <c r="G19" i="2"/>
  <c r="F19" i="2"/>
  <c r="E19" i="2"/>
  <c r="D19" i="2"/>
  <c r="C19" i="2"/>
  <c r="B19" i="2"/>
  <c r="H17" i="2"/>
  <c r="G17" i="2"/>
  <c r="F17" i="2"/>
  <c r="D17" i="2"/>
  <c r="C17" i="2"/>
  <c r="I16" i="2"/>
  <c r="I15" i="2"/>
  <c r="I14" i="2"/>
  <c r="I13" i="2"/>
  <c r="I12" i="2"/>
  <c r="I11" i="2"/>
  <c r="I10" i="2"/>
  <c r="B9" i="2"/>
  <c r="BV9" i="2" s="1"/>
  <c r="B8" i="2"/>
  <c r="I8" i="2" s="1"/>
  <c r="B7" i="2"/>
  <c r="B3" i="2" s="1"/>
  <c r="I6" i="2"/>
  <c r="B6" i="2"/>
  <c r="I5" i="2"/>
  <c r="B5" i="2"/>
  <c r="B4" i="2"/>
  <c r="I4" i="2" s="1"/>
  <c r="I2" i="2"/>
  <c r="CC222" i="2"/>
  <c r="CB222" i="2"/>
  <c r="CA222" i="2"/>
  <c r="BZ222" i="2"/>
  <c r="BY222" i="2"/>
  <c r="BX222" i="2"/>
  <c r="BW222" i="2"/>
  <c r="BV222" i="2"/>
  <c r="BT222" i="2"/>
  <c r="BS222" i="2"/>
  <c r="BR222" i="2"/>
  <c r="BQ222" i="2"/>
  <c r="BP222" i="2"/>
  <c r="BO222" i="2"/>
  <c r="BN222" i="2"/>
  <c r="BM222" i="2"/>
  <c r="BK222" i="2"/>
  <c r="BJ222" i="2"/>
  <c r="BI222" i="2"/>
  <c r="BH222" i="2"/>
  <c r="BG222" i="2"/>
  <c r="BF222" i="2"/>
  <c r="BE222" i="2"/>
  <c r="BD222" i="2"/>
  <c r="BB222" i="2"/>
  <c r="BA222" i="2"/>
  <c r="AZ222" i="2"/>
  <c r="AY222" i="2"/>
  <c r="AX222" i="2"/>
  <c r="AW222" i="2"/>
  <c r="AV222" i="2"/>
  <c r="AU222" i="2"/>
  <c r="AS222" i="2"/>
  <c r="AR222" i="2"/>
  <c r="AQ222" i="2"/>
  <c r="AP222" i="2"/>
  <c r="AO222" i="2"/>
  <c r="AN222" i="2"/>
  <c r="AM222" i="2"/>
  <c r="AL222" i="2"/>
  <c r="AJ222" i="2"/>
  <c r="AI222" i="2"/>
  <c r="AH222" i="2"/>
  <c r="AG222" i="2"/>
  <c r="AF222" i="2"/>
  <c r="AE222" i="2"/>
  <c r="AD222" i="2"/>
  <c r="AC222" i="2"/>
  <c r="AA222" i="2"/>
  <c r="Z222" i="2"/>
  <c r="Y222" i="2"/>
  <c r="X222" i="2"/>
  <c r="W222" i="2"/>
  <c r="V222" i="2"/>
  <c r="U222" i="2"/>
  <c r="T222" i="2"/>
  <c r="R222" i="2"/>
  <c r="Q222" i="2"/>
  <c r="P222" i="2"/>
  <c r="O222" i="2"/>
  <c r="N222" i="2"/>
  <c r="M222" i="2"/>
  <c r="L222" i="2"/>
  <c r="K222" i="2"/>
  <c r="I222" i="2"/>
  <c r="H222" i="2"/>
  <c r="G222" i="2"/>
  <c r="F222" i="2"/>
  <c r="E222" i="2"/>
  <c r="D222" i="2"/>
  <c r="C222" i="2"/>
  <c r="B222" i="2"/>
  <c r="A222" i="2"/>
  <c r="CC218" i="2"/>
  <c r="CA217" i="2"/>
  <c r="BZ217" i="2"/>
  <c r="BY217" i="2"/>
  <c r="BX217" i="2"/>
  <c r="BW217" i="2"/>
  <c r="BV217" i="2"/>
  <c r="CA216" i="2"/>
  <c r="BZ216" i="2"/>
  <c r="BY216" i="2"/>
  <c r="BX216" i="2"/>
  <c r="BW216" i="2"/>
  <c r="BV216" i="2"/>
  <c r="CA215" i="2"/>
  <c r="BZ215" i="2"/>
  <c r="BY215" i="2"/>
  <c r="BX215" i="2"/>
  <c r="BW215" i="2"/>
  <c r="BV215" i="2"/>
  <c r="CA214" i="2"/>
  <c r="BZ214" i="2"/>
  <c r="BY214" i="2"/>
  <c r="BX214" i="2"/>
  <c r="BW214" i="2"/>
  <c r="BV214" i="2"/>
  <c r="CA213" i="2"/>
  <c r="BZ213" i="2"/>
  <c r="BY213" i="2"/>
  <c r="BX213" i="2"/>
  <c r="BW213" i="2"/>
  <c r="CB209" i="2"/>
  <c r="CA208" i="2"/>
  <c r="BZ208" i="2"/>
  <c r="BY208" i="2"/>
  <c r="BX208" i="2"/>
  <c r="BW208" i="2"/>
  <c r="CA207" i="2"/>
  <c r="BZ207" i="2"/>
  <c r="BY207" i="2"/>
  <c r="BX207" i="2"/>
  <c r="BW207" i="2"/>
  <c r="CA206" i="2"/>
  <c r="BZ206" i="2"/>
  <c r="BY206" i="2"/>
  <c r="BX206" i="2"/>
  <c r="BW206" i="2"/>
  <c r="BV206" i="2"/>
  <c r="CA205" i="2"/>
  <c r="BZ205" i="2"/>
  <c r="BY205" i="2"/>
  <c r="BX205" i="2"/>
  <c r="BW205" i="2"/>
  <c r="BV205" i="2"/>
  <c r="CA204" i="2"/>
  <c r="BZ204" i="2"/>
  <c r="BY204" i="2"/>
  <c r="BX204" i="2"/>
  <c r="BW204" i="2"/>
  <c r="CA203" i="2"/>
  <c r="BZ203" i="2"/>
  <c r="BY203" i="2"/>
  <c r="BX203" i="2"/>
  <c r="BW203" i="2"/>
  <c r="CA202" i="2"/>
  <c r="BZ202" i="2"/>
  <c r="BY202" i="2"/>
  <c r="BX202" i="2"/>
  <c r="BW202" i="2"/>
  <c r="CA201" i="2"/>
  <c r="BZ201" i="2"/>
  <c r="BY201" i="2"/>
  <c r="BX201" i="2"/>
  <c r="BW201" i="2"/>
  <c r="BV201" i="2"/>
  <c r="CA200" i="2"/>
  <c r="BZ200" i="2"/>
  <c r="BY200" i="2"/>
  <c r="BX200" i="2"/>
  <c r="BW200" i="2"/>
  <c r="CA199" i="2"/>
  <c r="BZ199" i="2"/>
  <c r="BY199" i="2"/>
  <c r="BX199" i="2"/>
  <c r="BW199" i="2"/>
  <c r="BV199" i="2"/>
  <c r="CC198" i="2"/>
  <c r="CB198" i="2"/>
  <c r="CA198" i="2"/>
  <c r="BZ198" i="2"/>
  <c r="BY198" i="2"/>
  <c r="BX198" i="2"/>
  <c r="BW198" i="2"/>
  <c r="BV198" i="2"/>
  <c r="CB197" i="2"/>
  <c r="CA196" i="2"/>
  <c r="BZ196" i="2"/>
  <c r="BY196" i="2"/>
  <c r="BX196" i="2"/>
  <c r="BW196" i="2"/>
  <c r="CA195" i="2"/>
  <c r="BZ195" i="2"/>
  <c r="BY195" i="2"/>
  <c r="BX195" i="2"/>
  <c r="BW195" i="2"/>
  <c r="BV195" i="2"/>
  <c r="CA194" i="2"/>
  <c r="BZ194" i="2"/>
  <c r="BY194" i="2"/>
  <c r="BX194" i="2"/>
  <c r="BW194" i="2"/>
  <c r="BV194" i="2"/>
  <c r="CA193" i="2"/>
  <c r="BZ193" i="2"/>
  <c r="BY193" i="2"/>
  <c r="BX193" i="2"/>
  <c r="BW193" i="2"/>
  <c r="BV193" i="2"/>
  <c r="CA192" i="2"/>
  <c r="BZ192" i="2"/>
  <c r="BY192" i="2"/>
  <c r="BX192" i="2"/>
  <c r="BW192" i="2"/>
  <c r="BV192" i="2"/>
  <c r="CA191" i="2"/>
  <c r="BZ191" i="2"/>
  <c r="BY191" i="2"/>
  <c r="BX191" i="2"/>
  <c r="BW191" i="2"/>
  <c r="BV191" i="2"/>
  <c r="CA190" i="2"/>
  <c r="BZ190" i="2"/>
  <c r="BY190" i="2"/>
  <c r="BX190" i="2"/>
  <c r="BW190" i="2"/>
  <c r="BV190" i="2"/>
  <c r="CA189" i="2"/>
  <c r="BZ189" i="2"/>
  <c r="BY189" i="2"/>
  <c r="BX189" i="2"/>
  <c r="BW189" i="2"/>
  <c r="BV189" i="2"/>
  <c r="CA188" i="2"/>
  <c r="BZ188" i="2"/>
  <c r="BY188" i="2"/>
  <c r="BX188" i="2"/>
  <c r="BW188" i="2"/>
  <c r="BV188" i="2"/>
  <c r="CA187" i="2"/>
  <c r="BZ187" i="2"/>
  <c r="BY187" i="2"/>
  <c r="BX187" i="2"/>
  <c r="BW187" i="2"/>
  <c r="CA186" i="2"/>
  <c r="BZ186" i="2"/>
  <c r="BY186" i="2"/>
  <c r="BX186" i="2"/>
  <c r="BW186" i="2"/>
  <c r="BV186" i="2"/>
  <c r="CA185" i="2"/>
  <c r="BZ185" i="2"/>
  <c r="BY185" i="2"/>
  <c r="BX185" i="2"/>
  <c r="BW185" i="2"/>
  <c r="BV185" i="2"/>
  <c r="CA184" i="2"/>
  <c r="BZ184" i="2"/>
  <c r="BY184" i="2"/>
  <c r="BX184" i="2"/>
  <c r="BW184" i="2"/>
  <c r="BV184" i="2"/>
  <c r="CA183" i="2"/>
  <c r="BZ183" i="2"/>
  <c r="BY183" i="2"/>
  <c r="BW183" i="2"/>
  <c r="BV183" i="2"/>
  <c r="CA182" i="2"/>
  <c r="BZ182" i="2"/>
  <c r="BY182" i="2"/>
  <c r="BW182" i="2"/>
  <c r="BV182" i="2"/>
  <c r="CA181" i="2"/>
  <c r="BZ181" i="2"/>
  <c r="BY181" i="2"/>
  <c r="BX181" i="2"/>
  <c r="BW181" i="2"/>
  <c r="BV181" i="2"/>
  <c r="CA180" i="2"/>
  <c r="BZ180" i="2"/>
  <c r="BY180" i="2"/>
  <c r="BX180" i="2"/>
  <c r="BW180" i="2"/>
  <c r="BV180" i="2"/>
  <c r="CA179" i="2"/>
  <c r="BZ179" i="2"/>
  <c r="BY179" i="2"/>
  <c r="BX179" i="2"/>
  <c r="BW179" i="2"/>
  <c r="BV179" i="2"/>
  <c r="CA178" i="2"/>
  <c r="BZ178" i="2"/>
  <c r="BY178" i="2"/>
  <c r="BX178" i="2"/>
  <c r="BW178" i="2"/>
  <c r="CA177" i="2"/>
  <c r="BZ177" i="2"/>
  <c r="BY177" i="2"/>
  <c r="BX177" i="2"/>
  <c r="BW177" i="2"/>
  <c r="BV177" i="2"/>
  <c r="CA176" i="2"/>
  <c r="BZ176" i="2"/>
  <c r="BY176" i="2"/>
  <c r="BX176" i="2"/>
  <c r="BW176" i="2"/>
  <c r="BV176" i="2"/>
  <c r="CA175" i="2"/>
  <c r="BZ175" i="2"/>
  <c r="BY175" i="2"/>
  <c r="BX175" i="2"/>
  <c r="BW175" i="2"/>
  <c r="BV175" i="2"/>
  <c r="CA174" i="2"/>
  <c r="BZ174" i="2"/>
  <c r="BY174" i="2"/>
  <c r="BX174" i="2"/>
  <c r="BW174" i="2"/>
  <c r="BV174" i="2"/>
  <c r="CA173" i="2"/>
  <c r="BZ173" i="2"/>
  <c r="BY173" i="2"/>
  <c r="BX173" i="2"/>
  <c r="BW173" i="2"/>
  <c r="CA172" i="2"/>
  <c r="BZ172" i="2"/>
  <c r="BY172" i="2"/>
  <c r="BX172" i="2"/>
  <c r="BW172" i="2"/>
  <c r="CC171" i="2"/>
  <c r="CB171" i="2"/>
  <c r="CA171" i="2"/>
  <c r="BZ171" i="2"/>
  <c r="BY171" i="2"/>
  <c r="BX171" i="2"/>
  <c r="BW171" i="2"/>
  <c r="BV171" i="2"/>
  <c r="CA169" i="2"/>
  <c r="BZ169" i="2"/>
  <c r="BY169" i="2"/>
  <c r="BX169" i="2"/>
  <c r="BW169" i="2"/>
  <c r="BV169" i="2"/>
  <c r="CA168" i="2"/>
  <c r="BZ168" i="2"/>
  <c r="BY168" i="2"/>
  <c r="BX168" i="2"/>
  <c r="BW168" i="2"/>
  <c r="CA167" i="2"/>
  <c r="BZ167" i="2"/>
  <c r="BY167" i="2"/>
  <c r="BX167" i="2"/>
  <c r="BW167" i="2"/>
  <c r="CA166" i="2"/>
  <c r="BZ166" i="2"/>
  <c r="BY166" i="2"/>
  <c r="BX166" i="2"/>
  <c r="BW166" i="2"/>
  <c r="CA165" i="2"/>
  <c r="BZ165" i="2"/>
  <c r="BY165" i="2"/>
  <c r="BX165" i="2"/>
  <c r="BW165" i="2"/>
  <c r="BV165" i="2"/>
  <c r="CA164" i="2"/>
  <c r="BZ164" i="2"/>
  <c r="BY164" i="2"/>
  <c r="BX164" i="2"/>
  <c r="BW164" i="2"/>
  <c r="CA163" i="2"/>
  <c r="BZ163" i="2"/>
  <c r="BY163" i="2"/>
  <c r="BX163" i="2"/>
  <c r="BW163" i="2"/>
  <c r="BV163" i="2"/>
  <c r="CA162" i="2"/>
  <c r="BZ162" i="2"/>
  <c r="BY162" i="2"/>
  <c r="BX162" i="2"/>
  <c r="BW162" i="2"/>
  <c r="BV162" i="2"/>
  <c r="BY161" i="2"/>
  <c r="BW161" i="2"/>
  <c r="CA160" i="2"/>
  <c r="BZ160" i="2"/>
  <c r="BY160" i="2"/>
  <c r="BX160" i="2"/>
  <c r="BW160" i="2"/>
  <c r="CA159" i="2"/>
  <c r="BZ159" i="2"/>
  <c r="BY159" i="2"/>
  <c r="BX159" i="2"/>
  <c r="BW159" i="2"/>
  <c r="CA158" i="2"/>
  <c r="BZ158" i="2"/>
  <c r="BY158" i="2"/>
  <c r="BX158" i="2"/>
  <c r="BW158" i="2"/>
  <c r="CA157" i="2"/>
  <c r="BZ157" i="2"/>
  <c r="BY157" i="2"/>
  <c r="BX157" i="2"/>
  <c r="BV157" i="2"/>
  <c r="CA156" i="2"/>
  <c r="BZ156" i="2"/>
  <c r="BY156" i="2"/>
  <c r="BX156" i="2"/>
  <c r="BW156" i="2"/>
  <c r="CC155" i="2"/>
  <c r="CB155" i="2"/>
  <c r="CA155" i="2"/>
  <c r="BZ155" i="2"/>
  <c r="BY155" i="2"/>
  <c r="BX155" i="2"/>
  <c r="BW155" i="2"/>
  <c r="BV155" i="2"/>
  <c r="CB154" i="2"/>
  <c r="CA153" i="2"/>
  <c r="BZ153" i="2"/>
  <c r="BY153" i="2"/>
  <c r="BX153" i="2"/>
  <c r="BW153" i="2"/>
  <c r="CA152" i="2"/>
  <c r="BZ152" i="2"/>
  <c r="BY152" i="2"/>
  <c r="BX152" i="2"/>
  <c r="BW152" i="2"/>
  <c r="BV152" i="2"/>
  <c r="CA151" i="2"/>
  <c r="BZ151" i="2"/>
  <c r="BY151" i="2"/>
  <c r="BX151" i="2"/>
  <c r="CA150" i="2"/>
  <c r="BZ150" i="2"/>
  <c r="BY150" i="2"/>
  <c r="BX150" i="2"/>
  <c r="BW150" i="2"/>
  <c r="CA149" i="2"/>
  <c r="BZ149" i="2"/>
  <c r="BY149" i="2"/>
  <c r="BX149" i="2"/>
  <c r="BW149" i="2"/>
  <c r="CA148" i="2"/>
  <c r="BZ148" i="2"/>
  <c r="BY148" i="2"/>
  <c r="BX148" i="2"/>
  <c r="BW148" i="2"/>
  <c r="CA147" i="2"/>
  <c r="BZ147" i="2"/>
  <c r="BY147" i="2"/>
  <c r="BX147" i="2"/>
  <c r="BW147" i="2"/>
  <c r="CA146" i="2"/>
  <c r="BZ146" i="2"/>
  <c r="BY146" i="2"/>
  <c r="BX146" i="2"/>
  <c r="BW146" i="2"/>
  <c r="CA145" i="2"/>
  <c r="BZ145" i="2"/>
  <c r="BY145" i="2"/>
  <c r="BX145" i="2"/>
  <c r="BW145" i="2"/>
  <c r="CA144" i="2"/>
  <c r="BZ144" i="2"/>
  <c r="BY144" i="2"/>
  <c r="BX144" i="2"/>
  <c r="BW144" i="2"/>
  <c r="CC143" i="2"/>
  <c r="CB143" i="2"/>
  <c r="CA143" i="2"/>
  <c r="BZ143" i="2"/>
  <c r="BY143" i="2"/>
  <c r="BX143" i="2"/>
  <c r="BW143" i="2"/>
  <c r="BV143" i="2"/>
  <c r="CB140" i="2"/>
  <c r="CA139" i="2"/>
  <c r="BZ139" i="2"/>
  <c r="BY139" i="2"/>
  <c r="BX139" i="2"/>
  <c r="BW139" i="2"/>
  <c r="BV139" i="2"/>
  <c r="CA138" i="2"/>
  <c r="BZ138" i="2"/>
  <c r="BY138" i="2"/>
  <c r="BX138" i="2"/>
  <c r="BW138" i="2"/>
  <c r="BV138" i="2"/>
  <c r="CA137" i="2"/>
  <c r="BZ137" i="2"/>
  <c r="BY137" i="2"/>
  <c r="BX137" i="2"/>
  <c r="BW137" i="2"/>
  <c r="CB131" i="2"/>
  <c r="CA129" i="2"/>
  <c r="BZ129" i="2"/>
  <c r="BY129" i="2"/>
  <c r="BX129" i="2"/>
  <c r="CA128" i="2"/>
  <c r="BZ128" i="2"/>
  <c r="BY128" i="2"/>
  <c r="BX128" i="2"/>
  <c r="BW128" i="2"/>
  <c r="BV128" i="2"/>
  <c r="CA127" i="2"/>
  <c r="BZ127" i="2"/>
  <c r="BY127" i="2"/>
  <c r="BX127" i="2"/>
  <c r="BV127" i="2"/>
  <c r="CA126" i="2"/>
  <c r="BZ126" i="2"/>
  <c r="BY126" i="2"/>
  <c r="BX126" i="2"/>
  <c r="BV126" i="2"/>
  <c r="CA125" i="2"/>
  <c r="BZ125" i="2"/>
  <c r="BY125" i="2"/>
  <c r="BX125" i="2"/>
  <c r="BV125" i="2"/>
  <c r="CA124" i="2"/>
  <c r="BZ124" i="2"/>
  <c r="BY124" i="2"/>
  <c r="BX124" i="2"/>
  <c r="BW124" i="2"/>
  <c r="BV124" i="2"/>
  <c r="CA123" i="2"/>
  <c r="BZ123" i="2"/>
  <c r="BY123" i="2"/>
  <c r="BX123" i="2"/>
  <c r="BW123" i="2"/>
  <c r="BV123" i="2"/>
  <c r="CB121" i="2"/>
  <c r="CA120" i="2"/>
  <c r="BZ120" i="2"/>
  <c r="BY120" i="2"/>
  <c r="BW120" i="2"/>
  <c r="BV120" i="2"/>
  <c r="CA119" i="2"/>
  <c r="BZ119" i="2"/>
  <c r="BY119" i="2"/>
  <c r="BX119" i="2"/>
  <c r="BW119" i="2"/>
  <c r="BW118" i="2"/>
  <c r="CA117" i="2"/>
  <c r="BZ117" i="2"/>
  <c r="BY117" i="2"/>
  <c r="BX117" i="2"/>
  <c r="BW117" i="2"/>
  <c r="CA116" i="2"/>
  <c r="BZ116" i="2"/>
  <c r="BY116" i="2"/>
  <c r="BX116" i="2"/>
  <c r="BW116" i="2"/>
  <c r="BV116" i="2"/>
  <c r="CA115" i="2"/>
  <c r="BZ115" i="2"/>
  <c r="BY115" i="2"/>
  <c r="BX115" i="2"/>
  <c r="BV115" i="2"/>
  <c r="CA114" i="2"/>
  <c r="BZ114" i="2"/>
  <c r="BY114" i="2"/>
  <c r="BX114" i="2"/>
  <c r="BW114" i="2"/>
  <c r="CA113" i="2"/>
  <c r="BZ113" i="2"/>
  <c r="BY113" i="2"/>
  <c r="BX113" i="2"/>
  <c r="BW113" i="2"/>
  <c r="CA112" i="2"/>
  <c r="BZ112" i="2"/>
  <c r="BY112" i="2"/>
  <c r="BX112" i="2"/>
  <c r="BW112" i="2"/>
  <c r="CA111" i="2"/>
  <c r="BZ111" i="2"/>
  <c r="BY111" i="2"/>
  <c r="BX111" i="2"/>
  <c r="BW111" i="2"/>
  <c r="CA110" i="2"/>
  <c r="BZ110" i="2"/>
  <c r="BY110" i="2"/>
  <c r="BX110" i="2"/>
  <c r="BW110" i="2"/>
  <c r="BV110" i="2"/>
  <c r="CA109" i="2"/>
  <c r="BZ109" i="2"/>
  <c r="BY109" i="2"/>
  <c r="BX109" i="2"/>
  <c r="BW109" i="2"/>
  <c r="CA108" i="2"/>
  <c r="BZ108" i="2"/>
  <c r="BY108" i="2"/>
  <c r="BX108" i="2"/>
  <c r="BW108" i="2"/>
  <c r="CA107" i="2"/>
  <c r="BZ107" i="2"/>
  <c r="BY107" i="2"/>
  <c r="BX107" i="2"/>
  <c r="BW107" i="2"/>
  <c r="CC105" i="2"/>
  <c r="CB105" i="2"/>
  <c r="CA105" i="2"/>
  <c r="BZ105" i="2"/>
  <c r="BY105" i="2"/>
  <c r="BX105" i="2"/>
  <c r="BW105" i="2"/>
  <c r="BV105" i="2"/>
  <c r="CB103" i="2"/>
  <c r="CA102" i="2"/>
  <c r="BZ102" i="2"/>
  <c r="BY102" i="2"/>
  <c r="BX102" i="2"/>
  <c r="BW102" i="2"/>
  <c r="BV102" i="2"/>
  <c r="CA101" i="2"/>
  <c r="BZ101" i="2"/>
  <c r="BY101" i="2"/>
  <c r="BX101" i="2"/>
  <c r="BW101" i="2"/>
  <c r="BV101" i="2"/>
  <c r="CB100" i="2"/>
  <c r="BY100" i="2"/>
  <c r="BX100" i="2"/>
  <c r="BW100" i="2"/>
  <c r="BV100" i="2"/>
  <c r="CA99" i="2"/>
  <c r="BZ99" i="2"/>
  <c r="BY99" i="2"/>
  <c r="BX99" i="2"/>
  <c r="BW99" i="2"/>
  <c r="BV99" i="2"/>
  <c r="CA95" i="2"/>
  <c r="BZ95" i="2"/>
  <c r="BY95" i="2"/>
  <c r="BX95" i="2"/>
  <c r="BW95" i="2"/>
  <c r="BV95" i="2"/>
  <c r="CA94" i="2"/>
  <c r="BZ94" i="2"/>
  <c r="BY94" i="2"/>
  <c r="BX94" i="2"/>
  <c r="BW94" i="2"/>
  <c r="BY93" i="2"/>
  <c r="BX93" i="2"/>
  <c r="BW93" i="2"/>
  <c r="BV93" i="2"/>
  <c r="CA92" i="2"/>
  <c r="BZ92" i="2"/>
  <c r="BY92" i="2"/>
  <c r="BX92" i="2"/>
  <c r="BW92" i="2"/>
  <c r="BV92" i="2"/>
  <c r="CB90" i="2"/>
  <c r="CA89" i="2"/>
  <c r="BZ89" i="2"/>
  <c r="BY89" i="2"/>
  <c r="BX89" i="2"/>
  <c r="BW89" i="2"/>
  <c r="BV89" i="2"/>
  <c r="CA88" i="2"/>
  <c r="BZ88" i="2"/>
  <c r="BY88" i="2"/>
  <c r="BX88" i="2"/>
  <c r="BW88" i="2"/>
  <c r="BV88" i="2"/>
  <c r="CA87" i="2"/>
  <c r="BZ87" i="2"/>
  <c r="BY87" i="2"/>
  <c r="BX87" i="2"/>
  <c r="BW87" i="2"/>
  <c r="BV87" i="2"/>
  <c r="CA86" i="2"/>
  <c r="BZ86" i="2"/>
  <c r="BY86" i="2"/>
  <c r="BX86" i="2"/>
  <c r="BW86" i="2"/>
  <c r="BV86" i="2"/>
  <c r="CA85" i="2"/>
  <c r="BZ85" i="2"/>
  <c r="BY85" i="2"/>
  <c r="BX85" i="2"/>
  <c r="BW85" i="2"/>
  <c r="BV85" i="2"/>
  <c r="CA84" i="2"/>
  <c r="BZ84" i="2"/>
  <c r="BY84" i="2"/>
  <c r="BW84" i="2"/>
  <c r="BV84" i="2"/>
  <c r="CA83" i="2"/>
  <c r="BZ83" i="2"/>
  <c r="BY83" i="2"/>
  <c r="BW83" i="2"/>
  <c r="BV83" i="2"/>
  <c r="CA82" i="2"/>
  <c r="BZ82" i="2"/>
  <c r="BY82" i="2"/>
  <c r="BX82" i="2"/>
  <c r="BW82" i="2"/>
  <c r="BV82" i="2"/>
  <c r="CB80" i="2"/>
  <c r="CA79" i="2"/>
  <c r="BZ79" i="2"/>
  <c r="BY79" i="2"/>
  <c r="BX79" i="2"/>
  <c r="BV79" i="2"/>
  <c r="CA78" i="2"/>
  <c r="BZ78" i="2"/>
  <c r="BY78" i="2"/>
  <c r="BX78" i="2"/>
  <c r="BW78" i="2"/>
  <c r="BV78" i="2"/>
  <c r="CA77" i="2"/>
  <c r="BZ77" i="2"/>
  <c r="BY77" i="2"/>
  <c r="BX77" i="2"/>
  <c r="BW77" i="2"/>
  <c r="CA76" i="2"/>
  <c r="BZ76" i="2"/>
  <c r="BY76" i="2"/>
  <c r="BX76" i="2"/>
  <c r="BW76" i="2"/>
  <c r="CA75" i="2"/>
  <c r="BZ75" i="2"/>
  <c r="BY75" i="2"/>
  <c r="BX75" i="2"/>
  <c r="BW75" i="2"/>
  <c r="CA74" i="2"/>
  <c r="BZ74" i="2"/>
  <c r="BY74" i="2"/>
  <c r="BX74" i="2"/>
  <c r="BW74" i="2"/>
  <c r="CC72" i="2"/>
  <c r="CB72" i="2"/>
  <c r="CA72" i="2"/>
  <c r="BZ72" i="2"/>
  <c r="BY72" i="2"/>
  <c r="BX72" i="2"/>
  <c r="BW72" i="2"/>
  <c r="BV72" i="2"/>
  <c r="CB64" i="2"/>
  <c r="BY63" i="2"/>
  <c r="CB61" i="2"/>
  <c r="CA60" i="2"/>
  <c r="BZ60" i="2"/>
  <c r="BY60" i="2"/>
  <c r="BX60" i="2"/>
  <c r="BW60" i="2"/>
  <c r="BV60" i="2"/>
  <c r="CA59" i="2"/>
  <c r="BZ59" i="2"/>
  <c r="BY59" i="2"/>
  <c r="BX59" i="2"/>
  <c r="BW59" i="2"/>
  <c r="BV59" i="2"/>
  <c r="CA58" i="2"/>
  <c r="BZ58" i="2"/>
  <c r="BY58" i="2"/>
  <c r="BX58" i="2"/>
  <c r="BW58" i="2"/>
  <c r="BV58" i="2"/>
  <c r="CA57" i="2"/>
  <c r="BZ57" i="2"/>
  <c r="BY57" i="2"/>
  <c r="BX57" i="2"/>
  <c r="BW57" i="2"/>
  <c r="BV57" i="2"/>
  <c r="CA56" i="2"/>
  <c r="BZ56" i="2"/>
  <c r="BY56" i="2"/>
  <c r="BX56" i="2"/>
  <c r="BW56" i="2"/>
  <c r="BV56" i="2"/>
  <c r="CA55" i="2"/>
  <c r="BZ55" i="2"/>
  <c r="BY55" i="2"/>
  <c r="BX55" i="2"/>
  <c r="BW55" i="2"/>
  <c r="BV55" i="2"/>
  <c r="CA54" i="2"/>
  <c r="BZ54" i="2"/>
  <c r="BY54" i="2"/>
  <c r="BX54" i="2"/>
  <c r="BW54" i="2"/>
  <c r="BV54" i="2"/>
  <c r="CA53" i="2"/>
  <c r="BZ53" i="2"/>
  <c r="BY53" i="2"/>
  <c r="BX53" i="2"/>
  <c r="BW53" i="2"/>
  <c r="BV53" i="2"/>
  <c r="CA52" i="2"/>
  <c r="BZ52" i="2"/>
  <c r="BY52" i="2"/>
  <c r="BX52" i="2"/>
  <c r="BW52" i="2"/>
  <c r="BV52" i="2"/>
  <c r="CA51" i="2"/>
  <c r="BZ51" i="2"/>
  <c r="BY51" i="2"/>
  <c r="BX51" i="2"/>
  <c r="BW51" i="2"/>
  <c r="BV51" i="2"/>
  <c r="CA50" i="2"/>
  <c r="BZ50" i="2"/>
  <c r="BY50" i="2"/>
  <c r="BX50" i="2"/>
  <c r="BW50" i="2"/>
  <c r="BV50" i="2"/>
  <c r="CA49" i="2"/>
  <c r="BZ49" i="2"/>
  <c r="BY49" i="2"/>
  <c r="BX49" i="2"/>
  <c r="BW49" i="2"/>
  <c r="BV49" i="2"/>
  <c r="CA48" i="2"/>
  <c r="BZ48" i="2"/>
  <c r="BY48" i="2"/>
  <c r="BX48" i="2"/>
  <c r="BW48" i="2"/>
  <c r="BV48" i="2"/>
  <c r="CA47" i="2"/>
  <c r="BZ47" i="2"/>
  <c r="BY47" i="2"/>
  <c r="BX47" i="2"/>
  <c r="BW47" i="2"/>
  <c r="BV47" i="2"/>
  <c r="CA46" i="2"/>
  <c r="BZ46" i="2"/>
  <c r="BY46" i="2"/>
  <c r="BX46" i="2"/>
  <c r="BW46" i="2"/>
  <c r="BV46" i="2"/>
  <c r="CA45" i="2"/>
  <c r="BZ45" i="2"/>
  <c r="BY45" i="2"/>
  <c r="BX45" i="2"/>
  <c r="BW45" i="2"/>
  <c r="BV45" i="2"/>
  <c r="CA44" i="2"/>
  <c r="BZ44" i="2"/>
  <c r="BY44" i="2"/>
  <c r="BX44" i="2"/>
  <c r="BW44" i="2"/>
  <c r="BV44" i="2"/>
  <c r="CA43" i="2"/>
  <c r="BZ43" i="2"/>
  <c r="BY43" i="2"/>
  <c r="BX43" i="2"/>
  <c r="BW43" i="2"/>
  <c r="BV43" i="2"/>
  <c r="CA42" i="2"/>
  <c r="BZ42" i="2"/>
  <c r="BY42" i="2"/>
  <c r="BX42" i="2"/>
  <c r="BW42" i="2"/>
  <c r="BV42" i="2"/>
  <c r="CA41" i="2"/>
  <c r="BZ41" i="2"/>
  <c r="BY41" i="2"/>
  <c r="BX41" i="2"/>
  <c r="BW41" i="2"/>
  <c r="BV41" i="2"/>
  <c r="CA40" i="2"/>
  <c r="BZ40" i="2"/>
  <c r="BY40" i="2"/>
  <c r="BX40" i="2"/>
  <c r="BW40" i="2"/>
  <c r="BV40" i="2"/>
  <c r="CA39" i="2"/>
  <c r="BZ39" i="2"/>
  <c r="BY39" i="2"/>
  <c r="BX39" i="2"/>
  <c r="BW39" i="2"/>
  <c r="BV39" i="2"/>
  <c r="CC38" i="2"/>
  <c r="CB38" i="2"/>
  <c r="CA38" i="2"/>
  <c r="BZ38" i="2"/>
  <c r="BY38" i="2"/>
  <c r="BX38" i="2"/>
  <c r="BW38" i="2"/>
  <c r="BV38" i="2"/>
  <c r="CB36" i="2"/>
  <c r="CB135" i="2" s="1"/>
  <c r="CA35" i="2"/>
  <c r="BZ35" i="2"/>
  <c r="BY35" i="2"/>
  <c r="BX35" i="2"/>
  <c r="BW35" i="2"/>
  <c r="BV35" i="2"/>
  <c r="CA34" i="2"/>
  <c r="BZ34" i="2"/>
  <c r="BY34" i="2"/>
  <c r="BX34" i="2"/>
  <c r="BW34" i="2"/>
  <c r="BV34" i="2"/>
  <c r="CA33" i="2"/>
  <c r="BZ33" i="2"/>
  <c r="BY33" i="2"/>
  <c r="BX33" i="2"/>
  <c r="BW33" i="2"/>
  <c r="BV33" i="2"/>
  <c r="CA32" i="2"/>
  <c r="BZ32" i="2"/>
  <c r="BY32" i="2"/>
  <c r="BX32" i="2"/>
  <c r="BW32" i="2"/>
  <c r="BV32" i="2"/>
  <c r="CA31" i="2"/>
  <c r="BZ31" i="2"/>
  <c r="BY31" i="2"/>
  <c r="BX31" i="2"/>
  <c r="BW31" i="2"/>
  <c r="BV31" i="2"/>
  <c r="CA30" i="2"/>
  <c r="BZ30" i="2"/>
  <c r="BY30" i="2"/>
  <c r="BX30" i="2"/>
  <c r="BW30" i="2"/>
  <c r="BV30" i="2"/>
  <c r="CA29" i="2"/>
  <c r="BZ29" i="2"/>
  <c r="BY29" i="2"/>
  <c r="BX29" i="2"/>
  <c r="BW29" i="2"/>
  <c r="BV29" i="2"/>
  <c r="CA28" i="2"/>
  <c r="BZ28" i="2"/>
  <c r="BY28" i="2"/>
  <c r="BX28" i="2"/>
  <c r="BW28" i="2"/>
  <c r="BV28" i="2"/>
  <c r="CA27" i="2"/>
  <c r="BZ27" i="2"/>
  <c r="BY27" i="2"/>
  <c r="BX27" i="2"/>
  <c r="BW27" i="2"/>
  <c r="BV27" i="2"/>
  <c r="CC26" i="2"/>
  <c r="CB26" i="2"/>
  <c r="CA26" i="2"/>
  <c r="BZ26" i="2"/>
  <c r="BY26" i="2"/>
  <c r="BX26" i="2"/>
  <c r="BW26" i="2"/>
  <c r="BV26" i="2"/>
  <c r="CA24" i="2"/>
  <c r="BZ24" i="2"/>
  <c r="BY24" i="2"/>
  <c r="BX24" i="2"/>
  <c r="BW24" i="2"/>
  <c r="BV24" i="2"/>
  <c r="CA23" i="2"/>
  <c r="BZ23" i="2"/>
  <c r="BY23" i="2"/>
  <c r="BX23" i="2"/>
  <c r="BW23" i="2"/>
  <c r="BV23" i="2"/>
  <c r="CA22" i="2"/>
  <c r="BZ22" i="2"/>
  <c r="BY22" i="2"/>
  <c r="BX22" i="2"/>
  <c r="BW22" i="2"/>
  <c r="CA21" i="2"/>
  <c r="BZ21" i="2"/>
  <c r="BY21" i="2"/>
  <c r="BX21" i="2"/>
  <c r="BW21" i="2"/>
  <c r="BV21" i="2"/>
  <c r="CA20" i="2"/>
  <c r="BZ20" i="2"/>
  <c r="BY20" i="2"/>
  <c r="BX20" i="2"/>
  <c r="BW20" i="2"/>
  <c r="BV20" i="2"/>
  <c r="CC19" i="2"/>
  <c r="CB19" i="2"/>
  <c r="CA19" i="2"/>
  <c r="BZ19" i="2"/>
  <c r="BY19" i="2"/>
  <c r="BX19" i="2"/>
  <c r="BW19" i="2"/>
  <c r="BV19" i="2"/>
  <c r="CB17" i="2"/>
  <c r="CA16" i="2"/>
  <c r="BZ16" i="2"/>
  <c r="BY16" i="2"/>
  <c r="BX16" i="2"/>
  <c r="BW16" i="2"/>
  <c r="BV16" i="2"/>
  <c r="CA15" i="2"/>
  <c r="BZ15" i="2"/>
  <c r="BY15" i="2"/>
  <c r="BX15" i="2"/>
  <c r="BW15" i="2"/>
  <c r="BV15" i="2"/>
  <c r="CA14" i="2"/>
  <c r="BZ14" i="2"/>
  <c r="BY14" i="2"/>
  <c r="BX14" i="2"/>
  <c r="BW14" i="2"/>
  <c r="BV14" i="2"/>
  <c r="CA13" i="2"/>
  <c r="BZ13" i="2"/>
  <c r="BY13" i="2"/>
  <c r="BX13" i="2"/>
  <c r="BW13" i="2"/>
  <c r="CA12" i="2"/>
  <c r="BZ12" i="2"/>
  <c r="BY12" i="2"/>
  <c r="BX12" i="2"/>
  <c r="BW12" i="2"/>
  <c r="BV12" i="2"/>
  <c r="CA11" i="2"/>
  <c r="BZ11" i="2"/>
  <c r="BY11" i="2"/>
  <c r="BX11" i="2"/>
  <c r="BW11" i="2"/>
  <c r="CA10" i="2"/>
  <c r="BZ10" i="2"/>
  <c r="BY10" i="2"/>
  <c r="BX10" i="2"/>
  <c r="BW10" i="2"/>
  <c r="BV10" i="2"/>
  <c r="CA9" i="2"/>
  <c r="BZ9" i="2"/>
  <c r="BY9" i="2"/>
  <c r="BX9" i="2"/>
  <c r="BW9" i="2"/>
  <c r="CA8" i="2"/>
  <c r="BZ8" i="2"/>
  <c r="BY8" i="2"/>
  <c r="BX8" i="2"/>
  <c r="BW8" i="2"/>
  <c r="BV8" i="2"/>
  <c r="CA7" i="2"/>
  <c r="BZ7" i="2"/>
  <c r="BY7" i="2"/>
  <c r="BX7" i="2"/>
  <c r="BW7" i="2"/>
  <c r="CA6" i="2"/>
  <c r="BZ6" i="2"/>
  <c r="BY6" i="2"/>
  <c r="BX6" i="2"/>
  <c r="BW6" i="2"/>
  <c r="CA5" i="2"/>
  <c r="BZ5" i="2"/>
  <c r="BY5" i="2"/>
  <c r="BX5" i="2"/>
  <c r="BW5" i="2"/>
  <c r="CA4" i="2"/>
  <c r="BZ4" i="2"/>
  <c r="BY4" i="2"/>
  <c r="BX4" i="2"/>
  <c r="BW4" i="2"/>
  <c r="CC2" i="2"/>
  <c r="BT194" i="1"/>
  <c r="BV214" i="1"/>
  <c r="BW214" i="1"/>
  <c r="BX214" i="1"/>
  <c r="BY214" i="1"/>
  <c r="BZ214" i="1"/>
  <c r="CA214" i="1"/>
  <c r="BV215" i="1"/>
  <c r="BW215" i="1"/>
  <c r="BX215" i="1"/>
  <c r="BY215" i="1"/>
  <c r="BZ215" i="1"/>
  <c r="CA215" i="1"/>
  <c r="BV216" i="1"/>
  <c r="BW216" i="1"/>
  <c r="BX216" i="1"/>
  <c r="BY216" i="1"/>
  <c r="CC216" i="1" s="1"/>
  <c r="BZ216" i="1"/>
  <c r="CA216" i="1"/>
  <c r="BV217" i="1"/>
  <c r="BW217" i="1"/>
  <c r="BX217" i="1"/>
  <c r="BY217" i="1"/>
  <c r="BZ217" i="1"/>
  <c r="CA217" i="1"/>
  <c r="CA213" i="1"/>
  <c r="BZ213" i="1"/>
  <c r="BY213" i="1"/>
  <c r="BX213" i="1"/>
  <c r="BW213" i="1"/>
  <c r="BW200" i="1"/>
  <c r="BX200" i="1"/>
  <c r="BY200" i="1"/>
  <c r="BZ200" i="1"/>
  <c r="BZ209" i="1" s="1"/>
  <c r="CA200" i="1"/>
  <c r="CA209" i="1" s="1"/>
  <c r="BW201" i="1"/>
  <c r="BX201" i="1"/>
  <c r="BY201" i="1"/>
  <c r="BZ201" i="1"/>
  <c r="CA201" i="1"/>
  <c r="BW202" i="1"/>
  <c r="BX202" i="1"/>
  <c r="BY202" i="1"/>
  <c r="BZ202" i="1"/>
  <c r="CA202" i="1"/>
  <c r="BW203" i="1"/>
  <c r="BX203" i="1"/>
  <c r="BY203" i="1"/>
  <c r="BZ203" i="1"/>
  <c r="CA203" i="1"/>
  <c r="BW204" i="1"/>
  <c r="BX204" i="1"/>
  <c r="BY204" i="1"/>
  <c r="BZ204" i="1"/>
  <c r="CA204" i="1"/>
  <c r="BV205" i="1"/>
  <c r="BW205" i="1"/>
  <c r="BX205" i="1"/>
  <c r="BY205" i="1"/>
  <c r="BZ205" i="1"/>
  <c r="CA205" i="1"/>
  <c r="BV206" i="1"/>
  <c r="BW206" i="1"/>
  <c r="BX206" i="1"/>
  <c r="BY206" i="1"/>
  <c r="BZ206" i="1"/>
  <c r="CA206" i="1"/>
  <c r="BW207" i="1"/>
  <c r="BX207" i="1"/>
  <c r="BY207" i="1"/>
  <c r="BZ207" i="1"/>
  <c r="CA207" i="1"/>
  <c r="BW208" i="1"/>
  <c r="BX208" i="1"/>
  <c r="BY208" i="1"/>
  <c r="BZ208" i="1"/>
  <c r="CA208" i="1"/>
  <c r="CA199" i="1"/>
  <c r="BZ199" i="1"/>
  <c r="BY199" i="1"/>
  <c r="BX199" i="1"/>
  <c r="BX209" i="1" s="1"/>
  <c r="BW199" i="1"/>
  <c r="BW209" i="1" s="1"/>
  <c r="BW173" i="1"/>
  <c r="BX173" i="1"/>
  <c r="BY173" i="1"/>
  <c r="BZ173" i="1"/>
  <c r="CA173" i="1"/>
  <c r="BV174" i="1"/>
  <c r="BW174" i="1"/>
  <c r="BX174" i="1"/>
  <c r="BY174" i="1"/>
  <c r="BZ174" i="1"/>
  <c r="CA174" i="1"/>
  <c r="BV175" i="1"/>
  <c r="BW175" i="1"/>
  <c r="BX175" i="1"/>
  <c r="BY175" i="1"/>
  <c r="BZ175" i="1"/>
  <c r="CA175" i="1"/>
  <c r="BV176" i="1"/>
  <c r="BW176" i="1"/>
  <c r="BX176" i="1"/>
  <c r="BY176" i="1"/>
  <c r="BZ176" i="1"/>
  <c r="CA176" i="1"/>
  <c r="BV177" i="1"/>
  <c r="CC177" i="1" s="1"/>
  <c r="BW177" i="1"/>
  <c r="BX177" i="1"/>
  <c r="BY177" i="1"/>
  <c r="BZ177" i="1"/>
  <c r="CA177" i="1"/>
  <c r="BW178" i="1"/>
  <c r="BX178" i="1"/>
  <c r="BY178" i="1"/>
  <c r="BZ178" i="1"/>
  <c r="CA178" i="1"/>
  <c r="BV179" i="1"/>
  <c r="BW179" i="1"/>
  <c r="BX179" i="1"/>
  <c r="BY179" i="1"/>
  <c r="BZ179" i="1"/>
  <c r="CA179" i="1"/>
  <c r="BV180" i="1"/>
  <c r="BW180" i="1"/>
  <c r="BX180" i="1"/>
  <c r="BY180" i="1"/>
  <c r="BZ180" i="1"/>
  <c r="CA180" i="1"/>
  <c r="BV181" i="1"/>
  <c r="BW181" i="1"/>
  <c r="BX181" i="1"/>
  <c r="BY181" i="1"/>
  <c r="BZ181" i="1"/>
  <c r="CA181" i="1"/>
  <c r="BV182" i="1"/>
  <c r="BW182" i="1"/>
  <c r="BY182" i="1"/>
  <c r="BZ182" i="1"/>
  <c r="CA182" i="1"/>
  <c r="BV183" i="1"/>
  <c r="BW183" i="1"/>
  <c r="BY183" i="1"/>
  <c r="BZ183" i="1"/>
  <c r="CA183" i="1"/>
  <c r="BV184" i="1"/>
  <c r="BW184" i="1"/>
  <c r="BX184" i="1"/>
  <c r="BY184" i="1"/>
  <c r="BZ184" i="1"/>
  <c r="CA184" i="1"/>
  <c r="BV185" i="1"/>
  <c r="BW185" i="1"/>
  <c r="BX185" i="1"/>
  <c r="BY185" i="1"/>
  <c r="BZ185" i="1"/>
  <c r="CA185" i="1"/>
  <c r="BV186" i="1"/>
  <c r="BW186" i="1"/>
  <c r="BX186" i="1"/>
  <c r="BY186" i="1"/>
  <c r="BZ186" i="1"/>
  <c r="CA186" i="1"/>
  <c r="BW187" i="1"/>
  <c r="BX187" i="1"/>
  <c r="BY187" i="1"/>
  <c r="BZ187" i="1"/>
  <c r="CA187" i="1"/>
  <c r="BV188" i="1"/>
  <c r="BW188" i="1"/>
  <c r="BX188" i="1"/>
  <c r="BY188" i="1"/>
  <c r="BZ188" i="1"/>
  <c r="CA188" i="1"/>
  <c r="BV189" i="1"/>
  <c r="BW189" i="1"/>
  <c r="BX189" i="1"/>
  <c r="BY189" i="1"/>
  <c r="BZ189" i="1"/>
  <c r="CA189" i="1"/>
  <c r="BV190" i="1"/>
  <c r="BW190" i="1"/>
  <c r="BX190" i="1"/>
  <c r="BY190" i="1"/>
  <c r="BZ190" i="1"/>
  <c r="CA190" i="1"/>
  <c r="BW191" i="1"/>
  <c r="BX191" i="1"/>
  <c r="BY191" i="1"/>
  <c r="BZ191" i="1"/>
  <c r="CA191" i="1"/>
  <c r="BV192" i="1"/>
  <c r="CC192" i="1" s="1"/>
  <c r="BW192" i="1"/>
  <c r="BX192" i="1"/>
  <c r="BY192" i="1"/>
  <c r="BZ192" i="1"/>
  <c r="CA192" i="1"/>
  <c r="BV193" i="1"/>
  <c r="BW193" i="1"/>
  <c r="BX193" i="1"/>
  <c r="BY193" i="1"/>
  <c r="BZ193" i="1"/>
  <c r="CA193" i="1"/>
  <c r="BV194" i="1"/>
  <c r="CC194" i="1" s="1"/>
  <c r="BW194" i="1"/>
  <c r="BX194" i="1"/>
  <c r="BY194" i="1"/>
  <c r="BZ194" i="1"/>
  <c r="CA194" i="1"/>
  <c r="BV195" i="1"/>
  <c r="BW195" i="1"/>
  <c r="BX195" i="1"/>
  <c r="BY195" i="1"/>
  <c r="BZ195" i="1"/>
  <c r="CA195" i="1"/>
  <c r="BW196" i="1"/>
  <c r="BX196" i="1"/>
  <c r="BY196" i="1"/>
  <c r="BZ196" i="1"/>
  <c r="CA196" i="1"/>
  <c r="CA172" i="1"/>
  <c r="BZ172" i="1"/>
  <c r="BY172" i="1"/>
  <c r="BX172" i="1"/>
  <c r="BW172" i="1"/>
  <c r="BV157" i="1"/>
  <c r="BX157" i="1"/>
  <c r="BY157" i="1"/>
  <c r="BZ157" i="1"/>
  <c r="CA157" i="1"/>
  <c r="BW158" i="1"/>
  <c r="BX158" i="1"/>
  <c r="BY158" i="1"/>
  <c r="BZ158" i="1"/>
  <c r="CA158" i="1"/>
  <c r="BW159" i="1"/>
  <c r="BX159" i="1"/>
  <c r="BY159" i="1"/>
  <c r="BZ159" i="1"/>
  <c r="CA159" i="1"/>
  <c r="BW160" i="1"/>
  <c r="BX160" i="1"/>
  <c r="BY160" i="1"/>
  <c r="BZ160" i="1"/>
  <c r="CA160" i="1"/>
  <c r="BW161" i="1"/>
  <c r="BY161" i="1"/>
  <c r="BV162" i="1"/>
  <c r="BW162" i="1"/>
  <c r="BX162" i="1"/>
  <c r="BY162" i="1"/>
  <c r="BZ162" i="1"/>
  <c r="CA162" i="1"/>
  <c r="BV163" i="1"/>
  <c r="BW163" i="1"/>
  <c r="BX163" i="1"/>
  <c r="BY163" i="1"/>
  <c r="BZ163" i="1"/>
  <c r="CA163" i="1"/>
  <c r="BW164" i="1"/>
  <c r="BX164" i="1"/>
  <c r="BY164" i="1"/>
  <c r="BZ164" i="1"/>
  <c r="CA164" i="1"/>
  <c r="BV165" i="1"/>
  <c r="BW165" i="1"/>
  <c r="BX165" i="1"/>
  <c r="BY165" i="1"/>
  <c r="BZ165" i="1"/>
  <c r="CA165" i="1"/>
  <c r="BW166" i="1"/>
  <c r="BX166" i="1"/>
  <c r="BY166" i="1"/>
  <c r="BZ166" i="1"/>
  <c r="CA166" i="1"/>
  <c r="BW167" i="1"/>
  <c r="BX167" i="1"/>
  <c r="BY167" i="1"/>
  <c r="BZ167" i="1"/>
  <c r="CA167" i="1"/>
  <c r="BW168" i="1"/>
  <c r="BX168" i="1"/>
  <c r="BY168" i="1"/>
  <c r="BZ168" i="1"/>
  <c r="CA168" i="1"/>
  <c r="BV169" i="1"/>
  <c r="BW169" i="1"/>
  <c r="BX169" i="1"/>
  <c r="BY169" i="1"/>
  <c r="BZ169" i="1"/>
  <c r="CA169" i="1"/>
  <c r="CA156" i="1"/>
  <c r="BZ156" i="1"/>
  <c r="BY156" i="1"/>
  <c r="BX156" i="1"/>
  <c r="BW156" i="1"/>
  <c r="BW145" i="1"/>
  <c r="BX145" i="1"/>
  <c r="BY145" i="1"/>
  <c r="BZ145" i="1"/>
  <c r="CA145" i="1"/>
  <c r="BW146" i="1"/>
  <c r="BX146" i="1"/>
  <c r="BY146" i="1"/>
  <c r="BZ146" i="1"/>
  <c r="CA146" i="1"/>
  <c r="BW147" i="1"/>
  <c r="BX147" i="1"/>
  <c r="BY147" i="1"/>
  <c r="BZ147" i="1"/>
  <c r="CA147" i="1"/>
  <c r="BW148" i="1"/>
  <c r="BX148" i="1"/>
  <c r="BY148" i="1"/>
  <c r="BZ148" i="1"/>
  <c r="CA148" i="1"/>
  <c r="BW149" i="1"/>
  <c r="BX149" i="1"/>
  <c r="BY149" i="1"/>
  <c r="BZ149" i="1"/>
  <c r="CA149" i="1"/>
  <c r="BW150" i="1"/>
  <c r="BX150" i="1"/>
  <c r="BY150" i="1"/>
  <c r="BZ150" i="1"/>
  <c r="CA150" i="1"/>
  <c r="BX151" i="1"/>
  <c r="BY151" i="1"/>
  <c r="BZ151" i="1"/>
  <c r="CA151" i="1"/>
  <c r="BV152" i="1"/>
  <c r="BW152" i="1"/>
  <c r="BX152" i="1"/>
  <c r="BY152" i="1"/>
  <c r="BZ152" i="1"/>
  <c r="CA152" i="1"/>
  <c r="BW153" i="1"/>
  <c r="BX153" i="1"/>
  <c r="BY153" i="1"/>
  <c r="BZ153" i="1"/>
  <c r="CA153" i="1"/>
  <c r="CA144" i="1"/>
  <c r="BZ144" i="1"/>
  <c r="BZ154" i="1" s="1"/>
  <c r="BY144" i="1"/>
  <c r="BX144" i="1"/>
  <c r="BW144" i="1"/>
  <c r="BW137" i="1"/>
  <c r="BX137" i="1"/>
  <c r="BY137" i="1"/>
  <c r="BZ137" i="1"/>
  <c r="CA137" i="1"/>
  <c r="BV138" i="1"/>
  <c r="BW138" i="1"/>
  <c r="BX138" i="1"/>
  <c r="BY138" i="1"/>
  <c r="BZ138" i="1"/>
  <c r="CA138" i="1"/>
  <c r="BV139" i="1"/>
  <c r="BW139" i="1"/>
  <c r="BX139" i="1"/>
  <c r="BY139" i="1"/>
  <c r="BZ139" i="1"/>
  <c r="CA139" i="1"/>
  <c r="BV124" i="1"/>
  <c r="BX124" i="1"/>
  <c r="BY124" i="1"/>
  <c r="BZ124" i="1"/>
  <c r="CA124" i="1"/>
  <c r="BV125" i="1"/>
  <c r="BX125" i="1"/>
  <c r="BY125" i="1"/>
  <c r="BZ125" i="1"/>
  <c r="CA125" i="1"/>
  <c r="BV126" i="1"/>
  <c r="BX126" i="1"/>
  <c r="BY126" i="1"/>
  <c r="BZ126" i="1"/>
  <c r="CA126" i="1"/>
  <c r="BV127" i="1"/>
  <c r="BX127" i="1"/>
  <c r="BY127" i="1"/>
  <c r="BZ127" i="1"/>
  <c r="CA127" i="1"/>
  <c r="BW128" i="1"/>
  <c r="BX128" i="1"/>
  <c r="BY128" i="1"/>
  <c r="BZ128" i="1"/>
  <c r="CA128" i="1"/>
  <c r="BX129" i="1"/>
  <c r="BY129" i="1"/>
  <c r="BZ129" i="1"/>
  <c r="CA129" i="1"/>
  <c r="CA123" i="1"/>
  <c r="BZ123" i="1"/>
  <c r="BY123" i="1"/>
  <c r="BX123" i="1"/>
  <c r="BV123" i="1"/>
  <c r="BW108" i="1"/>
  <c r="BX108" i="1"/>
  <c r="BY108" i="1"/>
  <c r="BZ108" i="1"/>
  <c r="CA108" i="1"/>
  <c r="BV109" i="1"/>
  <c r="BW109" i="1"/>
  <c r="BX109" i="1"/>
  <c r="BY109" i="1"/>
  <c r="BZ109" i="1"/>
  <c r="CA109" i="1"/>
  <c r="BW110" i="1"/>
  <c r="BX110" i="1"/>
  <c r="BY110" i="1"/>
  <c r="BZ110" i="1"/>
  <c r="CA110" i="1"/>
  <c r="BW111" i="1"/>
  <c r="BX111" i="1"/>
  <c r="BY111" i="1"/>
  <c r="BZ111" i="1"/>
  <c r="CA111" i="1"/>
  <c r="BW112" i="1"/>
  <c r="BX112" i="1"/>
  <c r="BY112" i="1"/>
  <c r="BZ112" i="1"/>
  <c r="CA112" i="1"/>
  <c r="BW113" i="1"/>
  <c r="BX113" i="1"/>
  <c r="BY113" i="1"/>
  <c r="BZ113" i="1"/>
  <c r="CA113" i="1"/>
  <c r="BW114" i="1"/>
  <c r="BX114" i="1"/>
  <c r="BY114" i="1"/>
  <c r="BZ114" i="1"/>
  <c r="CA114" i="1"/>
  <c r="BV115" i="1"/>
  <c r="BX115" i="1"/>
  <c r="BY115" i="1"/>
  <c r="BZ115" i="1"/>
  <c r="CA115" i="1"/>
  <c r="BW116" i="1"/>
  <c r="BX116" i="1"/>
  <c r="BY116" i="1"/>
  <c r="BZ116" i="1"/>
  <c r="CA116" i="1"/>
  <c r="BW117" i="1"/>
  <c r="BX117" i="1"/>
  <c r="BY117" i="1"/>
  <c r="BZ117" i="1"/>
  <c r="CA117" i="1"/>
  <c r="BW119" i="1"/>
  <c r="BX119" i="1"/>
  <c r="BY119" i="1"/>
  <c r="BZ119" i="1"/>
  <c r="CA119" i="1"/>
  <c r="BV120" i="1"/>
  <c r="BW120" i="1"/>
  <c r="BY120" i="1"/>
  <c r="BZ120" i="1"/>
  <c r="CA120" i="1"/>
  <c r="CA107" i="1"/>
  <c r="BZ107" i="1"/>
  <c r="BY107" i="1"/>
  <c r="BX107" i="1"/>
  <c r="BW107" i="1"/>
  <c r="BV100" i="1"/>
  <c r="BW100" i="1"/>
  <c r="BX100" i="1"/>
  <c r="BY100" i="1"/>
  <c r="BV101" i="1"/>
  <c r="BW101" i="1"/>
  <c r="BX101" i="1"/>
  <c r="BY101" i="1"/>
  <c r="BZ101" i="1"/>
  <c r="CA101" i="1"/>
  <c r="BV102" i="1"/>
  <c r="BW102" i="1"/>
  <c r="BX102" i="1"/>
  <c r="BY102" i="1"/>
  <c r="BZ102" i="1"/>
  <c r="CA102" i="1"/>
  <c r="CC102" i="1" s="1"/>
  <c r="CA99" i="1"/>
  <c r="BZ99" i="1"/>
  <c r="BY99" i="1"/>
  <c r="BX99" i="1"/>
  <c r="BW99" i="1"/>
  <c r="BV99" i="1"/>
  <c r="BV93" i="1"/>
  <c r="BW93" i="1"/>
  <c r="BX93" i="1"/>
  <c r="BY93" i="1"/>
  <c r="BW94" i="1"/>
  <c r="BX94" i="1"/>
  <c r="BY94" i="1"/>
  <c r="BZ94" i="1"/>
  <c r="CA94" i="1"/>
  <c r="BV95" i="1"/>
  <c r="BW95" i="1"/>
  <c r="BX95" i="1"/>
  <c r="BY95" i="1"/>
  <c r="BZ95" i="1"/>
  <c r="CA95" i="1"/>
  <c r="CA92" i="1"/>
  <c r="BZ92" i="1"/>
  <c r="BY92" i="1"/>
  <c r="BX92" i="1"/>
  <c r="BW92" i="1"/>
  <c r="BV92" i="1"/>
  <c r="BV83" i="1"/>
  <c r="BW83" i="1"/>
  <c r="BY83" i="1"/>
  <c r="BZ83" i="1"/>
  <c r="CA83" i="1"/>
  <c r="BV84" i="1"/>
  <c r="BW84" i="1"/>
  <c r="BY84" i="1"/>
  <c r="BZ84" i="1"/>
  <c r="CA84" i="1"/>
  <c r="BV85" i="1"/>
  <c r="BW85" i="1"/>
  <c r="BX85" i="1"/>
  <c r="BY85" i="1"/>
  <c r="BZ85" i="1"/>
  <c r="CC85" i="1" s="1"/>
  <c r="CA85" i="1"/>
  <c r="BV86" i="1"/>
  <c r="BW86" i="1"/>
  <c r="BX86" i="1"/>
  <c r="BY86" i="1"/>
  <c r="BZ86" i="1"/>
  <c r="CA86" i="1"/>
  <c r="BV87" i="1"/>
  <c r="BW87" i="1"/>
  <c r="BX87" i="1"/>
  <c r="BY87" i="1"/>
  <c r="BZ87" i="1"/>
  <c r="CC87" i="1" s="1"/>
  <c r="CA87" i="1"/>
  <c r="BV88" i="1"/>
  <c r="BW88" i="1"/>
  <c r="BX88" i="1"/>
  <c r="BY88" i="1"/>
  <c r="BZ88" i="1"/>
  <c r="CA88" i="1"/>
  <c r="BV89" i="1"/>
  <c r="BW89" i="1"/>
  <c r="BX89" i="1"/>
  <c r="BY89" i="1"/>
  <c r="BZ89" i="1"/>
  <c r="CA89" i="1"/>
  <c r="CA82" i="1"/>
  <c r="BZ82" i="1"/>
  <c r="BZ90" i="1" s="1"/>
  <c r="BY82" i="1"/>
  <c r="BX82" i="1"/>
  <c r="BW82" i="1"/>
  <c r="BV82" i="1"/>
  <c r="BW75" i="1"/>
  <c r="BX75" i="1"/>
  <c r="BY75" i="1"/>
  <c r="BZ75" i="1"/>
  <c r="CA75" i="1"/>
  <c r="BW76" i="1"/>
  <c r="BX76" i="1"/>
  <c r="BY76" i="1"/>
  <c r="BZ76" i="1"/>
  <c r="CA76" i="1"/>
  <c r="BW77" i="1"/>
  <c r="BX77" i="1"/>
  <c r="BY77" i="1"/>
  <c r="BZ77" i="1"/>
  <c r="CA77" i="1"/>
  <c r="BV78" i="1"/>
  <c r="BW78" i="1"/>
  <c r="BX78" i="1"/>
  <c r="BY78" i="1"/>
  <c r="BZ78" i="1"/>
  <c r="CA78" i="1"/>
  <c r="BV79" i="1"/>
  <c r="BX79" i="1"/>
  <c r="BY79" i="1"/>
  <c r="BZ79" i="1"/>
  <c r="CA79" i="1"/>
  <c r="CA74" i="1"/>
  <c r="BZ74" i="1"/>
  <c r="BZ80" i="1" s="1"/>
  <c r="BY74" i="1"/>
  <c r="BX74" i="1"/>
  <c r="BW74" i="1"/>
  <c r="BV40" i="1"/>
  <c r="BW40" i="1"/>
  <c r="BW61" i="1" s="1"/>
  <c r="BW64" i="1" s="1"/>
  <c r="BX40" i="1"/>
  <c r="BY40" i="1"/>
  <c r="BZ40" i="1"/>
  <c r="CA40" i="1"/>
  <c r="BV41" i="1"/>
  <c r="BW41" i="1"/>
  <c r="BX41" i="1"/>
  <c r="BY41" i="1"/>
  <c r="BZ41" i="1"/>
  <c r="CA41" i="1"/>
  <c r="BV42" i="1"/>
  <c r="BW42" i="1"/>
  <c r="BX42" i="1"/>
  <c r="BY42" i="1"/>
  <c r="BZ42" i="1"/>
  <c r="CA42" i="1"/>
  <c r="BV43" i="1"/>
  <c r="BW43" i="1"/>
  <c r="BX43" i="1"/>
  <c r="BY43" i="1"/>
  <c r="BZ43" i="1"/>
  <c r="CA43" i="1"/>
  <c r="BV44" i="1"/>
  <c r="CC44" i="1" s="1"/>
  <c r="BW44" i="1"/>
  <c r="BX44" i="1"/>
  <c r="BY44" i="1"/>
  <c r="BZ44" i="1"/>
  <c r="CA44" i="1"/>
  <c r="BV45" i="1"/>
  <c r="BW45" i="1"/>
  <c r="BX45" i="1"/>
  <c r="BY45" i="1"/>
  <c r="BZ45" i="1"/>
  <c r="CA45" i="1"/>
  <c r="BV46" i="1"/>
  <c r="BW46" i="1"/>
  <c r="BX46" i="1"/>
  <c r="BY46" i="1"/>
  <c r="BZ46" i="1"/>
  <c r="CA46" i="1"/>
  <c r="BV47" i="1"/>
  <c r="BW47" i="1"/>
  <c r="BX47" i="1"/>
  <c r="BY47" i="1"/>
  <c r="BZ47" i="1"/>
  <c r="CA47" i="1"/>
  <c r="BV48" i="1"/>
  <c r="CC48" i="1" s="1"/>
  <c r="BW48" i="1"/>
  <c r="BX48" i="1"/>
  <c r="BY48" i="1"/>
  <c r="BZ48" i="1"/>
  <c r="CA48" i="1"/>
  <c r="BV49" i="1"/>
  <c r="BW49" i="1"/>
  <c r="BX49" i="1"/>
  <c r="BY49" i="1"/>
  <c r="BZ49" i="1"/>
  <c r="CA49" i="1"/>
  <c r="BV50" i="1"/>
  <c r="CC50" i="1" s="1"/>
  <c r="BW50" i="1"/>
  <c r="BX50" i="1"/>
  <c r="BY50" i="1"/>
  <c r="BZ50" i="1"/>
  <c r="CA50" i="1"/>
  <c r="BV51" i="1"/>
  <c r="BW51" i="1"/>
  <c r="BX51" i="1"/>
  <c r="BY51" i="1"/>
  <c r="BZ51" i="1"/>
  <c r="CA51" i="1"/>
  <c r="BV52" i="1"/>
  <c r="BW52" i="1"/>
  <c r="BX52" i="1"/>
  <c r="BY52" i="1"/>
  <c r="BZ52" i="1"/>
  <c r="CA52" i="1"/>
  <c r="BV53" i="1"/>
  <c r="BW53" i="1"/>
  <c r="BX53" i="1"/>
  <c r="BY53" i="1"/>
  <c r="BZ53" i="1"/>
  <c r="CA53" i="1"/>
  <c r="BV54" i="1"/>
  <c r="BW54" i="1"/>
  <c r="BX54" i="1"/>
  <c r="BY54" i="1"/>
  <c r="BZ54" i="1"/>
  <c r="CA54" i="1"/>
  <c r="BV55" i="1"/>
  <c r="BW55" i="1"/>
  <c r="BX55" i="1"/>
  <c r="BY55" i="1"/>
  <c r="BZ55" i="1"/>
  <c r="CA55" i="1"/>
  <c r="BV56" i="1"/>
  <c r="CC56" i="1" s="1"/>
  <c r="BW56" i="1"/>
  <c r="BX56" i="1"/>
  <c r="BY56" i="1"/>
  <c r="BZ56" i="1"/>
  <c r="CA56" i="1"/>
  <c r="BV57" i="1"/>
  <c r="BW57" i="1"/>
  <c r="BX57" i="1"/>
  <c r="BY57" i="1"/>
  <c r="BZ57" i="1"/>
  <c r="CA57" i="1"/>
  <c r="BV58" i="1"/>
  <c r="BW58" i="1"/>
  <c r="BX58" i="1"/>
  <c r="BY58" i="1"/>
  <c r="BZ58" i="1"/>
  <c r="CA58" i="1"/>
  <c r="BV59" i="1"/>
  <c r="BW59" i="1"/>
  <c r="BX59" i="1"/>
  <c r="BY59" i="1"/>
  <c r="BZ59" i="1"/>
  <c r="CA59" i="1"/>
  <c r="BV60" i="1"/>
  <c r="CC60" i="1" s="1"/>
  <c r="BW60" i="1"/>
  <c r="BX60" i="1"/>
  <c r="BY60" i="1"/>
  <c r="BZ60" i="1"/>
  <c r="CA60" i="1"/>
  <c r="CA39" i="1"/>
  <c r="BZ39" i="1"/>
  <c r="BY39" i="1"/>
  <c r="BX39" i="1"/>
  <c r="BW39" i="1"/>
  <c r="BV39" i="1"/>
  <c r="BV28" i="1"/>
  <c r="BW28" i="1"/>
  <c r="BX28" i="1"/>
  <c r="BY28" i="1"/>
  <c r="BZ28" i="1"/>
  <c r="CA28" i="1"/>
  <c r="BV29" i="1"/>
  <c r="BW29" i="1"/>
  <c r="BX29" i="1"/>
  <c r="BY29" i="1"/>
  <c r="BZ29" i="1"/>
  <c r="CA29" i="1"/>
  <c r="BV30" i="1"/>
  <c r="BW30" i="1"/>
  <c r="BX30" i="1"/>
  <c r="BY30" i="1"/>
  <c r="BZ30" i="1"/>
  <c r="CA30" i="1"/>
  <c r="BV31" i="1"/>
  <c r="BW31" i="1"/>
  <c r="BX31" i="1"/>
  <c r="BY31" i="1"/>
  <c r="BZ31" i="1"/>
  <c r="CA31" i="1"/>
  <c r="BV32" i="1"/>
  <c r="CC32" i="1" s="1"/>
  <c r="BW32" i="1"/>
  <c r="BX32" i="1"/>
  <c r="BY32" i="1"/>
  <c r="BZ32" i="1"/>
  <c r="CA32" i="1"/>
  <c r="BV33" i="1"/>
  <c r="BW33" i="1"/>
  <c r="BX33" i="1"/>
  <c r="BY33" i="1"/>
  <c r="BZ33" i="1"/>
  <c r="CA33" i="1"/>
  <c r="BV34" i="1"/>
  <c r="CC34" i="1" s="1"/>
  <c r="BW34" i="1"/>
  <c r="BX34" i="1"/>
  <c r="BY34" i="1"/>
  <c r="BZ34" i="1"/>
  <c r="CA34" i="1"/>
  <c r="BV35" i="1"/>
  <c r="BW35" i="1"/>
  <c r="BX35" i="1"/>
  <c r="BY35" i="1"/>
  <c r="BZ35" i="1"/>
  <c r="CA35" i="1"/>
  <c r="CA27" i="1"/>
  <c r="BZ27" i="1"/>
  <c r="BY27" i="1"/>
  <c r="CC27" i="1" s="1"/>
  <c r="BX27" i="1"/>
  <c r="BW27" i="1"/>
  <c r="BV27" i="1"/>
  <c r="BX23" i="1"/>
  <c r="BV21" i="1"/>
  <c r="BW21" i="1"/>
  <c r="BX21" i="1"/>
  <c r="BY21" i="1"/>
  <c r="BZ21" i="1"/>
  <c r="CA21" i="1"/>
  <c r="BW22" i="1"/>
  <c r="BX22" i="1"/>
  <c r="BY22" i="1"/>
  <c r="BZ22" i="1"/>
  <c r="CA22" i="1"/>
  <c r="BV23" i="1"/>
  <c r="BW23" i="1"/>
  <c r="BY23" i="1"/>
  <c r="BZ23" i="1"/>
  <c r="CA23" i="1"/>
  <c r="BV24" i="1"/>
  <c r="BW24" i="1"/>
  <c r="BX24" i="1"/>
  <c r="BY24" i="1"/>
  <c r="BZ24" i="1"/>
  <c r="CA24" i="1"/>
  <c r="CA20" i="1"/>
  <c r="BZ20" i="1"/>
  <c r="BY20" i="1"/>
  <c r="BX20" i="1"/>
  <c r="BW20" i="1"/>
  <c r="BV20" i="1"/>
  <c r="BW4" i="1"/>
  <c r="BX4" i="1"/>
  <c r="BY4" i="1"/>
  <c r="BZ4" i="1"/>
  <c r="CA4" i="1"/>
  <c r="BW5" i="1"/>
  <c r="BX5" i="1"/>
  <c r="BY5" i="1"/>
  <c r="BZ5" i="1"/>
  <c r="CA5" i="1"/>
  <c r="BW6" i="1"/>
  <c r="BX6" i="1"/>
  <c r="BY6" i="1"/>
  <c r="BZ6" i="1"/>
  <c r="CA6" i="1"/>
  <c r="BW7" i="1"/>
  <c r="BX7" i="1"/>
  <c r="BY7" i="1"/>
  <c r="BZ7" i="1"/>
  <c r="CA7" i="1"/>
  <c r="BW8" i="1"/>
  <c r="CC8" i="1" s="1"/>
  <c r="BX8" i="1"/>
  <c r="BY8" i="1"/>
  <c r="BZ8" i="1"/>
  <c r="CA8" i="1"/>
  <c r="BW9" i="1"/>
  <c r="BX9" i="1"/>
  <c r="BY9" i="1"/>
  <c r="BZ9" i="1"/>
  <c r="CA9" i="1"/>
  <c r="BW10" i="1"/>
  <c r="BX10" i="1"/>
  <c r="BY10" i="1"/>
  <c r="BZ10" i="1"/>
  <c r="CA10" i="1"/>
  <c r="BW11" i="1"/>
  <c r="BX11" i="1"/>
  <c r="BY11" i="1"/>
  <c r="BZ11" i="1"/>
  <c r="CA11" i="1"/>
  <c r="BW12" i="1"/>
  <c r="BX12" i="1"/>
  <c r="BY12" i="1"/>
  <c r="BZ12" i="1"/>
  <c r="CA12" i="1"/>
  <c r="BW13" i="1"/>
  <c r="BX13" i="1"/>
  <c r="BY13" i="1"/>
  <c r="BZ13" i="1"/>
  <c r="CA13" i="1"/>
  <c r="BW14" i="1"/>
  <c r="BX14" i="1"/>
  <c r="BY14" i="1"/>
  <c r="BZ14" i="1"/>
  <c r="CA14" i="1"/>
  <c r="BW15" i="1"/>
  <c r="BX15" i="1"/>
  <c r="BY15" i="1"/>
  <c r="BZ15" i="1"/>
  <c r="CA15" i="1"/>
  <c r="BW16" i="1"/>
  <c r="BX16" i="1"/>
  <c r="BY16" i="1"/>
  <c r="BZ16" i="1"/>
  <c r="CA16" i="1"/>
  <c r="BV8" i="1"/>
  <c r="BV9" i="1"/>
  <c r="BV10" i="1"/>
  <c r="BV15" i="1"/>
  <c r="BV16" i="1"/>
  <c r="CC222" i="1"/>
  <c r="CB222" i="1"/>
  <c r="CA222" i="1"/>
  <c r="BZ222" i="1"/>
  <c r="BY222" i="1"/>
  <c r="BX222" i="1"/>
  <c r="BW222" i="1"/>
  <c r="BV222" i="1"/>
  <c r="CC218" i="1"/>
  <c r="CC214" i="1"/>
  <c r="CB209" i="1"/>
  <c r="CC198" i="1"/>
  <c r="CB198" i="1"/>
  <c r="CA198" i="1"/>
  <c r="BZ198" i="1"/>
  <c r="BY198" i="1"/>
  <c r="BX198" i="1"/>
  <c r="BW198" i="1"/>
  <c r="BV198" i="1"/>
  <c r="CB197" i="1"/>
  <c r="CC171" i="1"/>
  <c r="CB171" i="1"/>
  <c r="CA171" i="1"/>
  <c r="BZ171" i="1"/>
  <c r="BY171" i="1"/>
  <c r="BX171" i="1"/>
  <c r="BW171" i="1"/>
  <c r="BV171" i="1"/>
  <c r="CC155" i="1"/>
  <c r="CB155" i="1"/>
  <c r="CA155" i="1"/>
  <c r="BZ155" i="1"/>
  <c r="BY155" i="1"/>
  <c r="BX155" i="1"/>
  <c r="BW155" i="1"/>
  <c r="BV155" i="1"/>
  <c r="CB154" i="1"/>
  <c r="CC143" i="1"/>
  <c r="CB143" i="1"/>
  <c r="CA143" i="1"/>
  <c r="BZ143" i="1"/>
  <c r="BY143" i="1"/>
  <c r="BX143" i="1"/>
  <c r="BW143" i="1"/>
  <c r="BV143" i="1"/>
  <c r="CB131" i="1"/>
  <c r="CB121" i="1"/>
  <c r="CB132" i="1" s="1"/>
  <c r="CC105" i="1"/>
  <c r="CB105" i="1"/>
  <c r="CA105" i="1"/>
  <c r="BZ105" i="1"/>
  <c r="BY105" i="1"/>
  <c r="BX105" i="1"/>
  <c r="BW105" i="1"/>
  <c r="BV105" i="1"/>
  <c r="BW103" i="1"/>
  <c r="CB100" i="1"/>
  <c r="CB103" i="1" s="1"/>
  <c r="CC95" i="1"/>
  <c r="CB90" i="1"/>
  <c r="CB80" i="1"/>
  <c r="CC72" i="1"/>
  <c r="CB72" i="1"/>
  <c r="CA72" i="1"/>
  <c r="BZ72" i="1"/>
  <c r="BY72" i="1"/>
  <c r="BX72" i="1"/>
  <c r="BW72" i="1"/>
  <c r="BV72" i="1"/>
  <c r="BY63" i="1"/>
  <c r="CB61" i="1"/>
  <c r="CB64" i="1" s="1"/>
  <c r="CC38" i="1"/>
  <c r="CB38" i="1"/>
  <c r="CA38" i="1"/>
  <c r="BZ38" i="1"/>
  <c r="BY38" i="1"/>
  <c r="BX38" i="1"/>
  <c r="BW38" i="1"/>
  <c r="BV38" i="1"/>
  <c r="CB36" i="1"/>
  <c r="CB140" i="1" s="1"/>
  <c r="CC26" i="1"/>
  <c r="CB26" i="1"/>
  <c r="CA26" i="1"/>
  <c r="BZ26" i="1"/>
  <c r="BY26" i="1"/>
  <c r="BX26" i="1"/>
  <c r="BW26" i="1"/>
  <c r="BV26" i="1"/>
  <c r="CC19" i="1"/>
  <c r="CB19" i="1"/>
  <c r="CA19" i="1"/>
  <c r="BZ19" i="1"/>
  <c r="BY19" i="1"/>
  <c r="BX19" i="1"/>
  <c r="BW19" i="1"/>
  <c r="BV19" i="1"/>
  <c r="CB17" i="1"/>
  <c r="CC2" i="1"/>
  <c r="BT222" i="1"/>
  <c r="BS222" i="1"/>
  <c r="BR222" i="1"/>
  <c r="BQ222" i="1"/>
  <c r="BP222" i="1"/>
  <c r="BO222" i="1"/>
  <c r="BN222" i="1"/>
  <c r="BM222" i="1"/>
  <c r="BT218" i="1"/>
  <c r="BT217" i="1"/>
  <c r="BT216" i="1"/>
  <c r="BT215" i="1"/>
  <c r="BT214" i="1"/>
  <c r="BT213" i="1"/>
  <c r="BS209" i="1"/>
  <c r="BR209" i="1"/>
  <c r="BQ209" i="1"/>
  <c r="BP209" i="1"/>
  <c r="BO209" i="1"/>
  <c r="BN209" i="1"/>
  <c r="BM209" i="1"/>
  <c r="BT208" i="1"/>
  <c r="BT207" i="1"/>
  <c r="BT206" i="1"/>
  <c r="BT205" i="1"/>
  <c r="BT204" i="1"/>
  <c r="BT203" i="1"/>
  <c r="BT202" i="1"/>
  <c r="BT201" i="1"/>
  <c r="BT200" i="1"/>
  <c r="BT199" i="1"/>
  <c r="BT198" i="1"/>
  <c r="BS198" i="1"/>
  <c r="BR198" i="1"/>
  <c r="BQ198" i="1"/>
  <c r="BP198" i="1"/>
  <c r="BO198" i="1"/>
  <c r="BN198" i="1"/>
  <c r="BM198" i="1"/>
  <c r="BS197" i="1"/>
  <c r="BR197" i="1"/>
  <c r="BQ197" i="1"/>
  <c r="BP197" i="1"/>
  <c r="BN197" i="1"/>
  <c r="BM197" i="1"/>
  <c r="BT196" i="1"/>
  <c r="BT195" i="1"/>
  <c r="BT193" i="1"/>
  <c r="BT192" i="1"/>
  <c r="BT191" i="1"/>
  <c r="BT190" i="1"/>
  <c r="BT189" i="1"/>
  <c r="BT188" i="1"/>
  <c r="BT187" i="1"/>
  <c r="BT186" i="1"/>
  <c r="BT185" i="1"/>
  <c r="BT184" i="1"/>
  <c r="BT182" i="1"/>
  <c r="BT181" i="1"/>
  <c r="BT180" i="1"/>
  <c r="BT179" i="1"/>
  <c r="BT178" i="1"/>
  <c r="BT177" i="1"/>
  <c r="BT176" i="1"/>
  <c r="BT175" i="1"/>
  <c r="BT174" i="1"/>
  <c r="BT173" i="1"/>
  <c r="BT172" i="1"/>
  <c r="BT171" i="1"/>
  <c r="BS171" i="1"/>
  <c r="BR171" i="1"/>
  <c r="BQ171" i="1"/>
  <c r="BP171" i="1"/>
  <c r="BO171" i="1"/>
  <c r="BN171" i="1"/>
  <c r="BM171" i="1"/>
  <c r="BP170" i="1"/>
  <c r="BT169" i="1"/>
  <c r="BT165" i="1"/>
  <c r="BT164" i="1"/>
  <c r="BT163" i="1"/>
  <c r="BT162" i="1"/>
  <c r="BT159" i="1"/>
  <c r="BT158" i="1"/>
  <c r="BT156" i="1"/>
  <c r="BT155" i="1"/>
  <c r="BS155" i="1"/>
  <c r="BR155" i="1"/>
  <c r="BQ155" i="1"/>
  <c r="BP155" i="1"/>
  <c r="BO155" i="1"/>
  <c r="BN155" i="1"/>
  <c r="BM155" i="1"/>
  <c r="BS154" i="1"/>
  <c r="BR154" i="1"/>
  <c r="BQ154" i="1"/>
  <c r="BP154" i="1"/>
  <c r="BO154" i="1"/>
  <c r="BT152" i="1"/>
  <c r="BN151" i="1"/>
  <c r="BN154" i="1" s="1"/>
  <c r="BM151" i="1"/>
  <c r="BT145" i="1"/>
  <c r="BT143" i="1"/>
  <c r="BS143" i="1"/>
  <c r="BR143" i="1"/>
  <c r="BQ143" i="1"/>
  <c r="BP143" i="1"/>
  <c r="BO143" i="1"/>
  <c r="BN143" i="1"/>
  <c r="BM143" i="1"/>
  <c r="BT139" i="1"/>
  <c r="BT138" i="1"/>
  <c r="BT137" i="1"/>
  <c r="BP135" i="1"/>
  <c r="BS131" i="1"/>
  <c r="BR131" i="1"/>
  <c r="BQ131" i="1"/>
  <c r="BP130" i="1"/>
  <c r="BP140" i="1" s="1"/>
  <c r="BO130" i="1"/>
  <c r="BO131" i="1" s="1"/>
  <c r="BN130" i="1"/>
  <c r="BM130" i="1"/>
  <c r="BN129" i="1"/>
  <c r="BM129" i="1"/>
  <c r="BT129" i="1" s="1"/>
  <c r="BT128" i="1"/>
  <c r="BT127" i="1"/>
  <c r="BT126" i="1"/>
  <c r="BT125" i="1"/>
  <c r="BT124" i="1"/>
  <c r="BT123" i="1"/>
  <c r="BS121" i="1"/>
  <c r="BR121" i="1"/>
  <c r="BR132" i="1" s="1"/>
  <c r="BP121" i="1"/>
  <c r="BO120" i="1"/>
  <c r="BT120" i="1" s="1"/>
  <c r="BM119" i="1"/>
  <c r="BT119" i="1" s="1"/>
  <c r="BQ118" i="1"/>
  <c r="BQ121" i="1" s="1"/>
  <c r="BQ132" i="1" s="1"/>
  <c r="BO118" i="1"/>
  <c r="BO121" i="1" s="1"/>
  <c r="BN118" i="1"/>
  <c r="BM118" i="1"/>
  <c r="BM117" i="1"/>
  <c r="BT117" i="1" s="1"/>
  <c r="BM116" i="1"/>
  <c r="BT116" i="1" s="1"/>
  <c r="BT114" i="1"/>
  <c r="BT113" i="1"/>
  <c r="BT112" i="1"/>
  <c r="BM111" i="1"/>
  <c r="BT110" i="1"/>
  <c r="BT109" i="1"/>
  <c r="BT108" i="1"/>
  <c r="BT107" i="1"/>
  <c r="BT105" i="1"/>
  <c r="BS105" i="1"/>
  <c r="BR105" i="1"/>
  <c r="BQ105" i="1"/>
  <c r="BP105" i="1"/>
  <c r="BO105" i="1"/>
  <c r="BN105" i="1"/>
  <c r="BM105" i="1"/>
  <c r="BP103" i="1"/>
  <c r="BO103" i="1"/>
  <c r="BN103" i="1"/>
  <c r="BM103" i="1"/>
  <c r="BT102" i="1"/>
  <c r="BT101" i="1"/>
  <c r="BS100" i="1"/>
  <c r="BS103" i="1" s="1"/>
  <c r="BR100" i="1"/>
  <c r="BR103" i="1" s="1"/>
  <c r="BQ100" i="1"/>
  <c r="BQ103" i="1" s="1"/>
  <c r="BT99" i="1"/>
  <c r="BO96" i="1"/>
  <c r="BN96" i="1"/>
  <c r="BM96" i="1"/>
  <c r="BT95" i="1"/>
  <c r="BT94" i="1"/>
  <c r="BT92" i="1"/>
  <c r="BS90" i="1"/>
  <c r="BR90" i="1"/>
  <c r="BQ90" i="1"/>
  <c r="BN90" i="1"/>
  <c r="BM90" i="1"/>
  <c r="BT88" i="1"/>
  <c r="BT87" i="1"/>
  <c r="BT86" i="1"/>
  <c r="BT85" i="1"/>
  <c r="BT83" i="1"/>
  <c r="BT82" i="1"/>
  <c r="BS80" i="1"/>
  <c r="BR80" i="1"/>
  <c r="BQ80" i="1"/>
  <c r="BO80" i="1"/>
  <c r="BN79" i="1"/>
  <c r="BN80" i="1" s="1"/>
  <c r="BN97" i="1" s="1"/>
  <c r="BT78" i="1"/>
  <c r="BM77" i="1"/>
  <c r="BT77" i="1" s="1"/>
  <c r="BM76" i="1"/>
  <c r="BT76" i="1" s="1"/>
  <c r="BM75" i="1"/>
  <c r="BT75" i="1" s="1"/>
  <c r="BT72" i="1"/>
  <c r="BS72" i="1"/>
  <c r="BR72" i="1"/>
  <c r="BQ72" i="1"/>
  <c r="BP72" i="1"/>
  <c r="BO72" i="1"/>
  <c r="BN72" i="1"/>
  <c r="BM72" i="1"/>
  <c r="BN64" i="1"/>
  <c r="BP63" i="1"/>
  <c r="BS61" i="1"/>
  <c r="BS64" i="1" s="1"/>
  <c r="BR61" i="1"/>
  <c r="BR64" i="1" s="1"/>
  <c r="BQ61" i="1"/>
  <c r="BQ64" i="1" s="1"/>
  <c r="BP61" i="1"/>
  <c r="BP64" i="1" s="1"/>
  <c r="BP65" i="1" s="1"/>
  <c r="BO61" i="1"/>
  <c r="BO64" i="1" s="1"/>
  <c r="BN61" i="1"/>
  <c r="BM61" i="1"/>
  <c r="BM64" i="1" s="1"/>
  <c r="BT60" i="1"/>
  <c r="BT59" i="1"/>
  <c r="BT58" i="1"/>
  <c r="BT57" i="1"/>
  <c r="BT56" i="1"/>
  <c r="BT55" i="1"/>
  <c r="BT54" i="1"/>
  <c r="BT53" i="1"/>
  <c r="BT52" i="1"/>
  <c r="BT51" i="1"/>
  <c r="BT50" i="1"/>
  <c r="BT49" i="1"/>
  <c r="BT48" i="1"/>
  <c r="BT47" i="1"/>
  <c r="BT46" i="1"/>
  <c r="BT45" i="1"/>
  <c r="BT44" i="1"/>
  <c r="BT43" i="1"/>
  <c r="BT42" i="1"/>
  <c r="BT41" i="1"/>
  <c r="BT40" i="1"/>
  <c r="BT39" i="1"/>
  <c r="BT38" i="1"/>
  <c r="BS38" i="1"/>
  <c r="BR38" i="1"/>
  <c r="BQ38" i="1"/>
  <c r="BP38" i="1"/>
  <c r="BO38" i="1"/>
  <c r="BN38" i="1"/>
  <c r="BM38" i="1"/>
  <c r="BS36" i="1"/>
  <c r="BS140" i="1" s="1"/>
  <c r="BR36" i="1"/>
  <c r="BR140" i="1" s="1"/>
  <c r="BQ36" i="1"/>
  <c r="BQ140" i="1" s="1"/>
  <c r="BO36" i="1"/>
  <c r="BO135" i="1" s="1"/>
  <c r="BN36" i="1"/>
  <c r="BM36" i="1"/>
  <c r="BM135" i="1" s="1"/>
  <c r="BT35" i="1"/>
  <c r="BT34" i="1"/>
  <c r="BT33" i="1"/>
  <c r="BT32" i="1"/>
  <c r="BT31" i="1"/>
  <c r="BT30" i="1"/>
  <c r="BT29" i="1"/>
  <c r="BT28" i="1"/>
  <c r="BT27" i="1"/>
  <c r="BT26" i="1"/>
  <c r="BS26" i="1"/>
  <c r="BR26" i="1"/>
  <c r="BQ26" i="1"/>
  <c r="BP26" i="1"/>
  <c r="BO26" i="1"/>
  <c r="BN26" i="1"/>
  <c r="BM26" i="1"/>
  <c r="BT24" i="1"/>
  <c r="BT23" i="1"/>
  <c r="BT22" i="1"/>
  <c r="BT21" i="1"/>
  <c r="BT20" i="1"/>
  <c r="BT19" i="1"/>
  <c r="BS19" i="1"/>
  <c r="BR19" i="1"/>
  <c r="BQ19" i="1"/>
  <c r="BP19" i="1"/>
  <c r="BO19" i="1"/>
  <c r="BN19" i="1"/>
  <c r="BM19" i="1"/>
  <c r="BS17" i="1"/>
  <c r="BR17" i="1"/>
  <c r="BQ17" i="1"/>
  <c r="BO17" i="1"/>
  <c r="BN17" i="1"/>
  <c r="BM17" i="1"/>
  <c r="BM150" i="1" s="1"/>
  <c r="BT150" i="1" s="1"/>
  <c r="BT16" i="1"/>
  <c r="BT15" i="1"/>
  <c r="BT14" i="1"/>
  <c r="BT13" i="1"/>
  <c r="BT12" i="1"/>
  <c r="BT11" i="1"/>
  <c r="BT10" i="1"/>
  <c r="BT9" i="1"/>
  <c r="BT8" i="1"/>
  <c r="BT7" i="1"/>
  <c r="BT6" i="1"/>
  <c r="BT5" i="1"/>
  <c r="BT4" i="1"/>
  <c r="BT3" i="1"/>
  <c r="BM3" i="1"/>
  <c r="BM74" i="1" s="1"/>
  <c r="BM168" i="1" s="1"/>
  <c r="BT168" i="1" s="1"/>
  <c r="BT2" i="1"/>
  <c r="BK222" i="1"/>
  <c r="BJ222" i="1"/>
  <c r="BI222" i="1"/>
  <c r="BH222" i="1"/>
  <c r="BG222" i="1"/>
  <c r="BF222" i="1"/>
  <c r="BE222" i="1"/>
  <c r="BD222" i="1"/>
  <c r="BK218" i="1"/>
  <c r="BK217" i="1"/>
  <c r="BK216" i="1"/>
  <c r="BK215" i="1"/>
  <c r="BK214" i="1"/>
  <c r="BJ209" i="1"/>
  <c r="BI209" i="1"/>
  <c r="BH209" i="1"/>
  <c r="BG209" i="1"/>
  <c r="BF209" i="1"/>
  <c r="BE209" i="1"/>
  <c r="BK208" i="1"/>
  <c r="BK207" i="1"/>
  <c r="BK206" i="1"/>
  <c r="BK205" i="1"/>
  <c r="BK204" i="1"/>
  <c r="BD204" i="1"/>
  <c r="BK203" i="1"/>
  <c r="BD202" i="1"/>
  <c r="BK202" i="1" s="1"/>
  <c r="BD201" i="1"/>
  <c r="BK201" i="1" s="1"/>
  <c r="BD200" i="1"/>
  <c r="BK200" i="1" s="1"/>
  <c r="BD199" i="1"/>
  <c r="BK198" i="1"/>
  <c r="BJ198" i="1"/>
  <c r="BI198" i="1"/>
  <c r="BH198" i="1"/>
  <c r="BG198" i="1"/>
  <c r="BF198" i="1"/>
  <c r="BE198" i="1"/>
  <c r="BD198" i="1"/>
  <c r="BJ197" i="1"/>
  <c r="BI197" i="1"/>
  <c r="BH197" i="1"/>
  <c r="BG197" i="1"/>
  <c r="BE197" i="1"/>
  <c r="BK196" i="1"/>
  <c r="BK195" i="1"/>
  <c r="BK194" i="1"/>
  <c r="BK193" i="1"/>
  <c r="BK192" i="1"/>
  <c r="BK191" i="1"/>
  <c r="BK190" i="1"/>
  <c r="BK189" i="1"/>
  <c r="BK188" i="1"/>
  <c r="BK186" i="1"/>
  <c r="BK185" i="1"/>
  <c r="BK184" i="1"/>
  <c r="BK181" i="1"/>
  <c r="BK180" i="1"/>
  <c r="BK179" i="1"/>
  <c r="BK177" i="1"/>
  <c r="BK176" i="1"/>
  <c r="BK175" i="1"/>
  <c r="BK174" i="1"/>
  <c r="BK173" i="1"/>
  <c r="BK172" i="1"/>
  <c r="BK171" i="1"/>
  <c r="BJ171" i="1"/>
  <c r="BI171" i="1"/>
  <c r="BH171" i="1"/>
  <c r="BG171" i="1"/>
  <c r="BF171" i="1"/>
  <c r="BE171" i="1"/>
  <c r="BD171" i="1"/>
  <c r="BH170" i="1"/>
  <c r="BG170" i="1"/>
  <c r="BF170" i="1"/>
  <c r="BK169" i="1"/>
  <c r="BK165" i="1"/>
  <c r="BK163" i="1"/>
  <c r="BK162" i="1"/>
  <c r="BK159" i="1"/>
  <c r="BK158" i="1"/>
  <c r="BK156" i="1"/>
  <c r="BK155" i="1"/>
  <c r="BJ155" i="1"/>
  <c r="BI155" i="1"/>
  <c r="BH155" i="1"/>
  <c r="BG155" i="1"/>
  <c r="BF155" i="1"/>
  <c r="BE155" i="1"/>
  <c r="BD155" i="1"/>
  <c r="BJ154" i="1"/>
  <c r="BI154" i="1"/>
  <c r="BH154" i="1"/>
  <c r="BG154" i="1"/>
  <c r="BF154" i="1"/>
  <c r="BK152" i="1"/>
  <c r="BE151" i="1"/>
  <c r="BE154" i="1" s="1"/>
  <c r="BD151" i="1"/>
  <c r="BK146" i="1"/>
  <c r="BK145" i="1"/>
  <c r="BK144" i="1"/>
  <c r="BK143" i="1"/>
  <c r="BJ143" i="1"/>
  <c r="BI143" i="1"/>
  <c r="BH143" i="1"/>
  <c r="BG143" i="1"/>
  <c r="BF143" i="1"/>
  <c r="BE143" i="1"/>
  <c r="BD143" i="1"/>
  <c r="BK139" i="1"/>
  <c r="BK138" i="1"/>
  <c r="BK137" i="1"/>
  <c r="BJ131" i="1"/>
  <c r="BI131" i="1"/>
  <c r="BH131" i="1"/>
  <c r="BG130" i="1"/>
  <c r="BG140" i="1" s="1"/>
  <c r="BF130" i="1"/>
  <c r="BE130" i="1"/>
  <c r="BD130" i="1"/>
  <c r="BE129" i="1"/>
  <c r="BE131" i="1" s="1"/>
  <c r="BD129" i="1"/>
  <c r="BD131" i="1" s="1"/>
  <c r="BK128" i="1"/>
  <c r="BK127" i="1"/>
  <c r="BK126" i="1"/>
  <c r="BK125" i="1"/>
  <c r="BK124" i="1"/>
  <c r="BK123" i="1"/>
  <c r="BK120" i="1"/>
  <c r="BK119" i="1"/>
  <c r="BD119" i="1"/>
  <c r="BJ118" i="1"/>
  <c r="BJ121" i="1" s="1"/>
  <c r="BI118" i="1"/>
  <c r="BI121" i="1" s="1"/>
  <c r="BH118" i="1"/>
  <c r="BH121" i="1" s="1"/>
  <c r="BG118" i="1"/>
  <c r="BG121" i="1" s="1"/>
  <c r="BF118" i="1"/>
  <c r="BF121" i="1" s="1"/>
  <c r="BE118" i="1"/>
  <c r="BD118" i="1"/>
  <c r="BD117" i="1"/>
  <c r="BK117" i="1" s="1"/>
  <c r="BK116" i="1"/>
  <c r="BK113" i="1"/>
  <c r="BK112" i="1"/>
  <c r="BK111" i="1"/>
  <c r="BK110" i="1"/>
  <c r="BK109" i="1"/>
  <c r="BD108" i="1"/>
  <c r="BK107" i="1"/>
  <c r="BK105" i="1"/>
  <c r="BJ105" i="1"/>
  <c r="BI105" i="1"/>
  <c r="BH105" i="1"/>
  <c r="BG105" i="1"/>
  <c r="BF105" i="1"/>
  <c r="BE105" i="1"/>
  <c r="BD105" i="1"/>
  <c r="BG103" i="1"/>
  <c r="BF103" i="1"/>
  <c r="BE103" i="1"/>
  <c r="BD103" i="1"/>
  <c r="BK102" i="1"/>
  <c r="BK101" i="1"/>
  <c r="BJ100" i="1"/>
  <c r="BJ103" i="1" s="1"/>
  <c r="BI100" i="1"/>
  <c r="BI103" i="1" s="1"/>
  <c r="BH100" i="1"/>
  <c r="BK100" i="1" s="1"/>
  <c r="BK99" i="1"/>
  <c r="BI96" i="1"/>
  <c r="BH96" i="1"/>
  <c r="BF96" i="1"/>
  <c r="BE96" i="1"/>
  <c r="BD96" i="1"/>
  <c r="BK95" i="1"/>
  <c r="BK94" i="1"/>
  <c r="BK92" i="1"/>
  <c r="BJ90" i="1"/>
  <c r="BI90" i="1"/>
  <c r="BH90" i="1"/>
  <c r="BE90" i="1"/>
  <c r="BD90" i="1"/>
  <c r="BK88" i="1"/>
  <c r="BK87" i="1"/>
  <c r="BK86" i="1"/>
  <c r="BK85" i="1"/>
  <c r="BK82" i="1"/>
  <c r="BJ80" i="1"/>
  <c r="BI80" i="1"/>
  <c r="BH80" i="1"/>
  <c r="BF80" i="1"/>
  <c r="BE80" i="1"/>
  <c r="BE97" i="1" s="1"/>
  <c r="BE79" i="1"/>
  <c r="BK79" i="1" s="1"/>
  <c r="BK78" i="1"/>
  <c r="BD77" i="1"/>
  <c r="BK77" i="1" s="1"/>
  <c r="BD76" i="1"/>
  <c r="BK76" i="1" s="1"/>
  <c r="BD75" i="1"/>
  <c r="BK75" i="1" s="1"/>
  <c r="BK72" i="1"/>
  <c r="BJ72" i="1"/>
  <c r="BI72" i="1"/>
  <c r="BH72" i="1"/>
  <c r="BG72" i="1"/>
  <c r="BF72" i="1"/>
  <c r="BE72" i="1"/>
  <c r="BD72" i="1"/>
  <c r="BG63" i="1"/>
  <c r="BJ61" i="1"/>
  <c r="BJ64" i="1" s="1"/>
  <c r="BI61" i="1"/>
  <c r="BI64" i="1" s="1"/>
  <c r="BH61" i="1"/>
  <c r="BH64" i="1" s="1"/>
  <c r="BG61" i="1"/>
  <c r="BG64" i="1" s="1"/>
  <c r="BF61" i="1"/>
  <c r="BF64" i="1" s="1"/>
  <c r="BE61" i="1"/>
  <c r="BE64" i="1" s="1"/>
  <c r="BD61" i="1"/>
  <c r="BD64" i="1" s="1"/>
  <c r="BK60" i="1"/>
  <c r="BK59" i="1"/>
  <c r="BK58" i="1"/>
  <c r="BK57" i="1"/>
  <c r="BK56" i="1"/>
  <c r="BK55" i="1"/>
  <c r="BK54" i="1"/>
  <c r="BK53" i="1"/>
  <c r="BK52" i="1"/>
  <c r="BK51" i="1"/>
  <c r="BK50" i="1"/>
  <c r="BK49" i="1"/>
  <c r="BK48" i="1"/>
  <c r="BK47" i="1"/>
  <c r="BK46" i="1"/>
  <c r="BK45" i="1"/>
  <c r="BK44" i="1"/>
  <c r="BK43" i="1"/>
  <c r="BK42" i="1"/>
  <c r="BK41" i="1"/>
  <c r="BK40" i="1"/>
  <c r="BK39" i="1"/>
  <c r="BK38" i="1"/>
  <c r="BJ38" i="1"/>
  <c r="BI38" i="1"/>
  <c r="BH38" i="1"/>
  <c r="BG38" i="1"/>
  <c r="BF38" i="1"/>
  <c r="BE38" i="1"/>
  <c r="BD38" i="1"/>
  <c r="BJ36" i="1"/>
  <c r="BJ135" i="1" s="1"/>
  <c r="BI36" i="1"/>
  <c r="BI135" i="1" s="1"/>
  <c r="BH36" i="1"/>
  <c r="BH63" i="1" s="1"/>
  <c r="BF36" i="1"/>
  <c r="BF140" i="1" s="1"/>
  <c r="BE36" i="1"/>
  <c r="BE115" i="1" s="1"/>
  <c r="BD36" i="1"/>
  <c r="BD140" i="1" s="1"/>
  <c r="BK35" i="1"/>
  <c r="BK34" i="1"/>
  <c r="BK33" i="1"/>
  <c r="BK32" i="1"/>
  <c r="BK31" i="1"/>
  <c r="BK30" i="1"/>
  <c r="BK29" i="1"/>
  <c r="BK28" i="1"/>
  <c r="BK27" i="1"/>
  <c r="BK26" i="1"/>
  <c r="BJ26" i="1"/>
  <c r="BI26" i="1"/>
  <c r="BH26" i="1"/>
  <c r="BG26" i="1"/>
  <c r="BF26" i="1"/>
  <c r="BE26" i="1"/>
  <c r="BD26" i="1"/>
  <c r="BK24" i="1"/>
  <c r="BK23" i="1"/>
  <c r="BK22" i="1"/>
  <c r="BK21" i="1"/>
  <c r="BK20" i="1"/>
  <c r="BK19" i="1"/>
  <c r="BJ19" i="1"/>
  <c r="BI19" i="1"/>
  <c r="BH19" i="1"/>
  <c r="BG19" i="1"/>
  <c r="BF19" i="1"/>
  <c r="BE19" i="1"/>
  <c r="BD19" i="1"/>
  <c r="BJ17" i="1"/>
  <c r="BI17" i="1"/>
  <c r="BH17" i="1"/>
  <c r="BF17" i="1"/>
  <c r="BE17" i="1"/>
  <c r="BD17" i="1"/>
  <c r="BD149" i="1" s="1"/>
  <c r="BK149" i="1" s="1"/>
  <c r="BK16" i="1"/>
  <c r="BK15" i="1"/>
  <c r="BK14" i="1"/>
  <c r="BK13" i="1"/>
  <c r="BK12" i="1"/>
  <c r="BK11" i="1"/>
  <c r="BK10" i="1"/>
  <c r="BK9" i="1"/>
  <c r="BK8" i="1"/>
  <c r="BK7" i="1"/>
  <c r="BK6" i="1"/>
  <c r="BK5" i="1"/>
  <c r="BK4" i="1"/>
  <c r="BD3" i="1"/>
  <c r="BK3" i="1" s="1"/>
  <c r="BK2" i="1"/>
  <c r="BB222" i="1"/>
  <c r="BA222" i="1"/>
  <c r="AZ222" i="1"/>
  <c r="AY222" i="1"/>
  <c r="AX222" i="1"/>
  <c r="AW222" i="1"/>
  <c r="AV222" i="1"/>
  <c r="AU222" i="1"/>
  <c r="BB218" i="1"/>
  <c r="BB217" i="1"/>
  <c r="BB216" i="1"/>
  <c r="BB215" i="1"/>
  <c r="BB214" i="1"/>
  <c r="BB213" i="1"/>
  <c r="BA209" i="1"/>
  <c r="AZ209" i="1"/>
  <c r="AY209" i="1"/>
  <c r="AX209" i="1"/>
  <c r="AW209" i="1"/>
  <c r="AV209" i="1"/>
  <c r="AU209" i="1"/>
  <c r="BB208" i="1"/>
  <c r="BB207" i="1"/>
  <c r="BB206" i="1"/>
  <c r="BB205" i="1"/>
  <c r="BB204" i="1"/>
  <c r="BB203" i="1"/>
  <c r="BB202" i="1"/>
  <c r="BB201" i="1"/>
  <c r="BB200" i="1"/>
  <c r="BB199" i="1"/>
  <c r="BB198" i="1"/>
  <c r="BA198" i="1"/>
  <c r="AZ198" i="1"/>
  <c r="AY198" i="1"/>
  <c r="AX198" i="1"/>
  <c r="AW198" i="1"/>
  <c r="AV198" i="1"/>
  <c r="AU198" i="1"/>
  <c r="BA197" i="1"/>
  <c r="AZ197" i="1"/>
  <c r="AY197" i="1"/>
  <c r="AX197" i="1"/>
  <c r="AV197" i="1"/>
  <c r="BB195" i="1"/>
  <c r="BB193" i="1"/>
  <c r="BB192" i="1"/>
  <c r="BB191" i="1"/>
  <c r="BB190" i="1"/>
  <c r="BB189" i="1"/>
  <c r="BB188" i="1"/>
  <c r="BB186" i="1"/>
  <c r="BB185" i="1"/>
  <c r="BB184" i="1"/>
  <c r="BB182" i="1"/>
  <c r="BB181" i="1"/>
  <c r="BB180" i="1"/>
  <c r="BB179" i="1"/>
  <c r="BB177" i="1"/>
  <c r="BB176" i="1"/>
  <c r="BB175" i="1"/>
  <c r="BB174" i="1"/>
  <c r="BB173" i="1"/>
  <c r="BB172" i="1"/>
  <c r="BB171" i="1"/>
  <c r="BA171" i="1"/>
  <c r="AZ171" i="1"/>
  <c r="AY171" i="1"/>
  <c r="AX171" i="1"/>
  <c r="AW171" i="1"/>
  <c r="AV171" i="1"/>
  <c r="AU171" i="1"/>
  <c r="AX170" i="1"/>
  <c r="AW170" i="1"/>
  <c r="BB169" i="1"/>
  <c r="BB165" i="1"/>
  <c r="B165" i="9" s="1"/>
  <c r="BB163" i="1"/>
  <c r="BB162" i="1"/>
  <c r="AU156" i="1"/>
  <c r="BB155" i="1"/>
  <c r="BA155" i="1"/>
  <c r="AZ155" i="1"/>
  <c r="AY155" i="1"/>
  <c r="AX155" i="1"/>
  <c r="AW155" i="1"/>
  <c r="AV155" i="1"/>
  <c r="AU155" i="1"/>
  <c r="BA154" i="1"/>
  <c r="AZ154" i="1"/>
  <c r="AY154" i="1"/>
  <c r="AX154" i="1"/>
  <c r="AW154" i="1"/>
  <c r="BB153" i="1"/>
  <c r="BB152" i="1"/>
  <c r="AV151" i="1"/>
  <c r="AV154" i="1" s="1"/>
  <c r="BB150" i="1"/>
  <c r="BB146" i="1"/>
  <c r="AU145" i="1"/>
  <c r="BB145" i="1" s="1"/>
  <c r="AU144" i="1"/>
  <c r="BB144" i="1" s="1"/>
  <c r="BB143" i="1"/>
  <c r="BA143" i="1"/>
  <c r="AZ143" i="1"/>
  <c r="AY143" i="1"/>
  <c r="AX143" i="1"/>
  <c r="AW143" i="1"/>
  <c r="AV143" i="1"/>
  <c r="AU143" i="1"/>
  <c r="BB139" i="1"/>
  <c r="BB138" i="1"/>
  <c r="AX135" i="1"/>
  <c r="BA131" i="1"/>
  <c r="AZ131" i="1"/>
  <c r="AY131" i="1"/>
  <c r="AV131" i="1"/>
  <c r="AX130" i="1"/>
  <c r="AX140" i="1" s="1"/>
  <c r="AW130" i="1"/>
  <c r="AW131" i="1" s="1"/>
  <c r="AV130" i="1"/>
  <c r="AU130" i="1"/>
  <c r="AV129" i="1"/>
  <c r="AU129" i="1"/>
  <c r="BB129" i="1" s="1"/>
  <c r="BB128" i="1"/>
  <c r="BB127" i="1"/>
  <c r="BB126" i="1"/>
  <c r="BB125" i="1"/>
  <c r="BB124" i="1"/>
  <c r="BB123" i="1"/>
  <c r="BA121" i="1"/>
  <c r="BA132" i="1" s="1"/>
  <c r="AZ121" i="1"/>
  <c r="BB120" i="1"/>
  <c r="AU119" i="1"/>
  <c r="BB119" i="1" s="1"/>
  <c r="AY118" i="1"/>
  <c r="AY121" i="1" s="1"/>
  <c r="AY132" i="1" s="1"/>
  <c r="AX118" i="1"/>
  <c r="AX121" i="1" s="1"/>
  <c r="AW118" i="1"/>
  <c r="AW121" i="1" s="1"/>
  <c r="AV118" i="1"/>
  <c r="AV121" i="1" s="1"/>
  <c r="AV132" i="1" s="1"/>
  <c r="AU118" i="1"/>
  <c r="AU117" i="1"/>
  <c r="BB117" i="1" s="1"/>
  <c r="BB116" i="1"/>
  <c r="BB115" i="1"/>
  <c r="BB113" i="1"/>
  <c r="BB112" i="1"/>
  <c r="BB111" i="1"/>
  <c r="BB110" i="1"/>
  <c r="BB109" i="1"/>
  <c r="BB108" i="1"/>
  <c r="BB107" i="1"/>
  <c r="BB105" i="1"/>
  <c r="BA105" i="1"/>
  <c r="AZ105" i="1"/>
  <c r="AY105" i="1"/>
  <c r="AX105" i="1"/>
  <c r="AW105" i="1"/>
  <c r="AV105" i="1"/>
  <c r="AU105" i="1"/>
  <c r="AX103" i="1"/>
  <c r="AW103" i="1"/>
  <c r="AV103" i="1"/>
  <c r="AU103" i="1"/>
  <c r="BB102" i="1"/>
  <c r="BB101" i="1"/>
  <c r="BA100" i="1"/>
  <c r="BA103" i="1" s="1"/>
  <c r="AZ100" i="1"/>
  <c r="AZ103" i="1" s="1"/>
  <c r="AY100" i="1"/>
  <c r="AY103" i="1" s="1"/>
  <c r="BB99" i="1"/>
  <c r="AW96" i="1"/>
  <c r="AV96" i="1"/>
  <c r="AU96" i="1"/>
  <c r="BB95" i="1"/>
  <c r="BB94" i="1"/>
  <c r="BB92" i="1"/>
  <c r="BA90" i="1"/>
  <c r="AZ90" i="1"/>
  <c r="AY90" i="1"/>
  <c r="AV90" i="1"/>
  <c r="AU90" i="1"/>
  <c r="BB88" i="1"/>
  <c r="BB87" i="1"/>
  <c r="BB86" i="1"/>
  <c r="BB85" i="1"/>
  <c r="BB83" i="1"/>
  <c r="BB82" i="1"/>
  <c r="BA80" i="1"/>
  <c r="AZ80" i="1"/>
  <c r="AY80" i="1"/>
  <c r="AW80" i="1"/>
  <c r="AV79" i="1"/>
  <c r="AV80" i="1" s="1"/>
  <c r="BB78" i="1"/>
  <c r="BB77" i="1"/>
  <c r="AU76" i="1"/>
  <c r="BB76" i="1" s="1"/>
  <c r="AU75" i="1"/>
  <c r="BB75" i="1" s="1"/>
  <c r="BB72" i="1"/>
  <c r="BA72" i="1"/>
  <c r="AZ72" i="1"/>
  <c r="AY72" i="1"/>
  <c r="AX72" i="1"/>
  <c r="AW72" i="1"/>
  <c r="AV72" i="1"/>
  <c r="AU72" i="1"/>
  <c r="AY64" i="1"/>
  <c r="AV64" i="1"/>
  <c r="AX63" i="1"/>
  <c r="BA61" i="1"/>
  <c r="BA64" i="1" s="1"/>
  <c r="AZ61" i="1"/>
  <c r="AZ64" i="1" s="1"/>
  <c r="AY61" i="1"/>
  <c r="AX61" i="1"/>
  <c r="AX64" i="1" s="1"/>
  <c r="AW61" i="1"/>
  <c r="AW64" i="1" s="1"/>
  <c r="AV61" i="1"/>
  <c r="AU61" i="1"/>
  <c r="AU64" i="1" s="1"/>
  <c r="BB60" i="1"/>
  <c r="BB59" i="1"/>
  <c r="BB58" i="1"/>
  <c r="BB57" i="1"/>
  <c r="BB56" i="1"/>
  <c r="BB55" i="1"/>
  <c r="BB54" i="1"/>
  <c r="BB53" i="1"/>
  <c r="BB52" i="1"/>
  <c r="BB51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A38" i="1"/>
  <c r="AZ38" i="1"/>
  <c r="AY38" i="1"/>
  <c r="AX38" i="1"/>
  <c r="AW38" i="1"/>
  <c r="AV38" i="1"/>
  <c r="AU38" i="1"/>
  <c r="BA36" i="1"/>
  <c r="BA140" i="1" s="1"/>
  <c r="AZ36" i="1"/>
  <c r="AZ140" i="1" s="1"/>
  <c r="AY36" i="1"/>
  <c r="AY140" i="1" s="1"/>
  <c r="AW36" i="1"/>
  <c r="AW135" i="1" s="1"/>
  <c r="AV36" i="1"/>
  <c r="AV135" i="1" s="1"/>
  <c r="AU36" i="1"/>
  <c r="AU63" i="1" s="1"/>
  <c r="AU65" i="1" s="1"/>
  <c r="BB35" i="1"/>
  <c r="BB34" i="1"/>
  <c r="BB33" i="1"/>
  <c r="BB32" i="1"/>
  <c r="BB31" i="1"/>
  <c r="BB30" i="1"/>
  <c r="BB29" i="1"/>
  <c r="BB28" i="1"/>
  <c r="BB27" i="1"/>
  <c r="BB26" i="1"/>
  <c r="BA26" i="1"/>
  <c r="AZ26" i="1"/>
  <c r="AY26" i="1"/>
  <c r="AX26" i="1"/>
  <c r="AW26" i="1"/>
  <c r="AV26" i="1"/>
  <c r="AU26" i="1"/>
  <c r="BB24" i="1"/>
  <c r="BB23" i="1"/>
  <c r="BB22" i="1"/>
  <c r="BB21" i="1"/>
  <c r="BB20" i="1"/>
  <c r="BB19" i="1"/>
  <c r="BA19" i="1"/>
  <c r="AZ19" i="1"/>
  <c r="AY19" i="1"/>
  <c r="AX19" i="1"/>
  <c r="AW19" i="1"/>
  <c r="AV19" i="1"/>
  <c r="AU19" i="1"/>
  <c r="BA17" i="1"/>
  <c r="AZ17" i="1"/>
  <c r="AY17" i="1"/>
  <c r="AW17" i="1"/>
  <c r="AV17" i="1"/>
  <c r="AU17" i="1"/>
  <c r="AW183" i="1" s="1"/>
  <c r="BB16" i="1"/>
  <c r="BB15" i="1"/>
  <c r="BB14" i="1"/>
  <c r="BB13" i="1"/>
  <c r="BB12" i="1"/>
  <c r="BB11" i="1"/>
  <c r="BB10" i="1"/>
  <c r="BB9" i="1"/>
  <c r="BB8" i="1"/>
  <c r="BB7" i="1"/>
  <c r="BB6" i="1"/>
  <c r="BB5" i="1"/>
  <c r="BB4" i="1"/>
  <c r="AU3" i="1"/>
  <c r="AU74" i="1" s="1"/>
  <c r="BB2" i="1"/>
  <c r="AS222" i="1"/>
  <c r="AR222" i="1"/>
  <c r="AQ222" i="1"/>
  <c r="AP222" i="1"/>
  <c r="AO222" i="1"/>
  <c r="AN222" i="1"/>
  <c r="AM222" i="1"/>
  <c r="AL222" i="1"/>
  <c r="AS218" i="1"/>
  <c r="AS217" i="1"/>
  <c r="AS216" i="1"/>
  <c r="AS215" i="1"/>
  <c r="AS214" i="1"/>
  <c r="AS213" i="1"/>
  <c r="AR209" i="1"/>
  <c r="AQ209" i="1"/>
  <c r="AP209" i="1"/>
  <c r="AO209" i="1"/>
  <c r="AN209" i="1"/>
  <c r="AM209" i="1"/>
  <c r="AL208" i="1"/>
  <c r="AS208" i="1" s="1"/>
  <c r="AL207" i="1"/>
  <c r="AS207" i="1" s="1"/>
  <c r="AS206" i="1"/>
  <c r="AS205" i="1"/>
  <c r="AL204" i="1"/>
  <c r="AS204" i="1" s="1"/>
  <c r="AL203" i="1"/>
  <c r="AS203" i="1" s="1"/>
  <c r="AS202" i="1"/>
  <c r="AS201" i="1"/>
  <c r="AS200" i="1"/>
  <c r="AS199" i="1"/>
  <c r="AS198" i="1"/>
  <c r="AR198" i="1"/>
  <c r="AQ198" i="1"/>
  <c r="AP198" i="1"/>
  <c r="AO198" i="1"/>
  <c r="AN198" i="1"/>
  <c r="AM198" i="1"/>
  <c r="AL198" i="1"/>
  <c r="AR197" i="1"/>
  <c r="AQ197" i="1"/>
  <c r="AP197" i="1"/>
  <c r="AO197" i="1"/>
  <c r="AM197" i="1"/>
  <c r="AS196" i="1"/>
  <c r="AS195" i="1"/>
  <c r="AS194" i="1"/>
  <c r="AS193" i="1"/>
  <c r="AS192" i="1"/>
  <c r="AL191" i="1"/>
  <c r="AS191" i="1" s="1"/>
  <c r="AS190" i="1"/>
  <c r="AS189" i="1"/>
  <c r="AS188" i="1"/>
  <c r="AS186" i="1"/>
  <c r="AS185" i="1"/>
  <c r="AS184" i="1"/>
  <c r="AS182" i="1"/>
  <c r="AS181" i="1"/>
  <c r="AS180" i="1"/>
  <c r="AS179" i="1"/>
  <c r="AS177" i="1"/>
  <c r="AS176" i="1"/>
  <c r="AS175" i="1"/>
  <c r="AS174" i="1"/>
  <c r="AL173" i="1"/>
  <c r="AS173" i="1" s="1"/>
  <c r="AL172" i="1"/>
  <c r="AS171" i="1"/>
  <c r="AR171" i="1"/>
  <c r="AQ171" i="1"/>
  <c r="AP171" i="1"/>
  <c r="AO171" i="1"/>
  <c r="AN171" i="1"/>
  <c r="AM171" i="1"/>
  <c r="AL171" i="1"/>
  <c r="AO170" i="1"/>
  <c r="AN170" i="1"/>
  <c r="AS169" i="1"/>
  <c r="AS165" i="1"/>
  <c r="AS163" i="1"/>
  <c r="AS162" i="1"/>
  <c r="AS159" i="1"/>
  <c r="AS158" i="1"/>
  <c r="AL156" i="1"/>
  <c r="AS156" i="1" s="1"/>
  <c r="AS155" i="1"/>
  <c r="AR155" i="1"/>
  <c r="AQ155" i="1"/>
  <c r="AP155" i="1"/>
  <c r="AO155" i="1"/>
  <c r="AN155" i="1"/>
  <c r="AM155" i="1"/>
  <c r="AL155" i="1"/>
  <c r="AR154" i="1"/>
  <c r="AQ154" i="1"/>
  <c r="AP154" i="1"/>
  <c r="AN154" i="1"/>
  <c r="AS152" i="1"/>
  <c r="AM151" i="1"/>
  <c r="AM154" i="1" s="1"/>
  <c r="AL151" i="1"/>
  <c r="AL146" i="1"/>
  <c r="AS146" i="1" s="1"/>
  <c r="AS145" i="1"/>
  <c r="AL144" i="1"/>
  <c r="AS143" i="1"/>
  <c r="AR143" i="1"/>
  <c r="AQ143" i="1"/>
  <c r="AP143" i="1"/>
  <c r="AO143" i="1"/>
  <c r="AN143" i="1"/>
  <c r="AM143" i="1"/>
  <c r="AL143" i="1"/>
  <c r="AS139" i="1"/>
  <c r="AS138" i="1"/>
  <c r="AS137" i="1"/>
  <c r="AO135" i="1"/>
  <c r="AR130" i="1"/>
  <c r="AR131" i="1" s="1"/>
  <c r="AQ130" i="1"/>
  <c r="AQ131" i="1" s="1"/>
  <c r="AP130" i="1"/>
  <c r="AP131" i="1" s="1"/>
  <c r="AO130" i="1"/>
  <c r="AO140" i="1" s="1"/>
  <c r="AN130" i="1"/>
  <c r="AN131" i="1" s="1"/>
  <c r="AM130" i="1"/>
  <c r="AL130" i="1"/>
  <c r="AM129" i="1"/>
  <c r="AL129" i="1"/>
  <c r="AL128" i="1"/>
  <c r="AM127" i="1"/>
  <c r="AS127" i="1" s="1"/>
  <c r="AM126" i="1"/>
  <c r="AS126" i="1" s="1"/>
  <c r="AS125" i="1"/>
  <c r="AS124" i="1"/>
  <c r="AS123" i="1"/>
  <c r="AR121" i="1"/>
  <c r="AQ121" i="1"/>
  <c r="AN120" i="1"/>
  <c r="AS120" i="1" s="1"/>
  <c r="AL119" i="1"/>
  <c r="AS119" i="1" s="1"/>
  <c r="AP118" i="1"/>
  <c r="AP121" i="1" s="1"/>
  <c r="AO118" i="1"/>
  <c r="AN118" i="1"/>
  <c r="AM118" i="1"/>
  <c r="AL118" i="1"/>
  <c r="AL117" i="1"/>
  <c r="AS117" i="1" s="1"/>
  <c r="AL116" i="1"/>
  <c r="AS116" i="1" s="1"/>
  <c r="AS113" i="1"/>
  <c r="AL112" i="1"/>
  <c r="AS112" i="1" s="1"/>
  <c r="AL111" i="1"/>
  <c r="AS111" i="1" s="1"/>
  <c r="AL110" i="1"/>
  <c r="AS110" i="1" s="1"/>
  <c r="AS109" i="1"/>
  <c r="AL108" i="1"/>
  <c r="AS108" i="1" s="1"/>
  <c r="AL107" i="1"/>
  <c r="AS107" i="1" s="1"/>
  <c r="AS105" i="1"/>
  <c r="AR105" i="1"/>
  <c r="AQ105" i="1"/>
  <c r="AP105" i="1"/>
  <c r="AO105" i="1"/>
  <c r="AN105" i="1"/>
  <c r="AM105" i="1"/>
  <c r="AL105" i="1"/>
  <c r="AO103" i="1"/>
  <c r="AN103" i="1"/>
  <c r="AM103" i="1"/>
  <c r="AL103" i="1"/>
  <c r="AS102" i="1"/>
  <c r="AS101" i="1"/>
  <c r="AR100" i="1"/>
  <c r="AR103" i="1" s="1"/>
  <c r="AQ100" i="1"/>
  <c r="AQ103" i="1" s="1"/>
  <c r="AP100" i="1"/>
  <c r="AP103" i="1" s="1"/>
  <c r="AS99" i="1"/>
  <c r="AQ96" i="1"/>
  <c r="AN96" i="1"/>
  <c r="AM96" i="1"/>
  <c r="AL96" i="1"/>
  <c r="AS95" i="1"/>
  <c r="AS94" i="1"/>
  <c r="AS92" i="1"/>
  <c r="AR90" i="1"/>
  <c r="AQ90" i="1"/>
  <c r="AP90" i="1"/>
  <c r="AM90" i="1"/>
  <c r="AL90" i="1"/>
  <c r="AS88" i="1"/>
  <c r="AS87" i="1"/>
  <c r="AS86" i="1"/>
  <c r="AS85" i="1"/>
  <c r="AS83" i="1"/>
  <c r="AS82" i="1"/>
  <c r="AR80" i="1"/>
  <c r="AQ80" i="1"/>
  <c r="AP80" i="1"/>
  <c r="AN80" i="1"/>
  <c r="AM79" i="1"/>
  <c r="AS79" i="1" s="1"/>
  <c r="AS78" i="1"/>
  <c r="AS77" i="1"/>
  <c r="AL75" i="1"/>
  <c r="AS75" i="1" s="1"/>
  <c r="AS72" i="1"/>
  <c r="AR72" i="1"/>
  <c r="AQ72" i="1"/>
  <c r="AP72" i="1"/>
  <c r="AO72" i="1"/>
  <c r="AN72" i="1"/>
  <c r="AM72" i="1"/>
  <c r="AL72" i="1"/>
  <c r="AO63" i="1"/>
  <c r="AR61" i="1"/>
  <c r="AR64" i="1" s="1"/>
  <c r="AQ61" i="1"/>
  <c r="AQ64" i="1" s="1"/>
  <c r="AP61" i="1"/>
  <c r="AP64" i="1" s="1"/>
  <c r="AO61" i="1"/>
  <c r="AO64" i="1" s="1"/>
  <c r="AN61" i="1"/>
  <c r="AN64" i="1" s="1"/>
  <c r="AM61" i="1"/>
  <c r="AM64" i="1" s="1"/>
  <c r="AL61" i="1"/>
  <c r="AL64" i="1" s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R38" i="1"/>
  <c r="AQ38" i="1"/>
  <c r="AP38" i="1"/>
  <c r="AO38" i="1"/>
  <c r="AN38" i="1"/>
  <c r="AM38" i="1"/>
  <c r="AL38" i="1"/>
  <c r="AR36" i="1"/>
  <c r="AQ36" i="1"/>
  <c r="AQ140" i="1" s="1"/>
  <c r="AP36" i="1"/>
  <c r="AP140" i="1" s="1"/>
  <c r="AN36" i="1"/>
  <c r="AN140" i="1" s="1"/>
  <c r="AM36" i="1"/>
  <c r="AM115" i="1" s="1"/>
  <c r="AL36" i="1"/>
  <c r="AL135" i="1" s="1"/>
  <c r="AS35" i="1"/>
  <c r="AS34" i="1"/>
  <c r="AS33" i="1"/>
  <c r="AS32" i="1"/>
  <c r="AS31" i="1"/>
  <c r="AS30" i="1"/>
  <c r="AS29" i="1"/>
  <c r="AS28" i="1"/>
  <c r="AS27" i="1"/>
  <c r="AS26" i="1"/>
  <c r="AR26" i="1"/>
  <c r="AQ26" i="1"/>
  <c r="AP26" i="1"/>
  <c r="AO26" i="1"/>
  <c r="AN26" i="1"/>
  <c r="AM26" i="1"/>
  <c r="AL26" i="1"/>
  <c r="AS24" i="1"/>
  <c r="AS23" i="1"/>
  <c r="AL22" i="1"/>
  <c r="AS22" i="1" s="1"/>
  <c r="AS21" i="1"/>
  <c r="AS20" i="1"/>
  <c r="AS19" i="1"/>
  <c r="AR19" i="1"/>
  <c r="AQ19" i="1"/>
  <c r="AP19" i="1"/>
  <c r="AO19" i="1"/>
  <c r="AN19" i="1"/>
  <c r="AM19" i="1"/>
  <c r="AL19" i="1"/>
  <c r="AR17" i="1"/>
  <c r="AQ17" i="1"/>
  <c r="AP17" i="1"/>
  <c r="AN17" i="1"/>
  <c r="AM17" i="1"/>
  <c r="AS16" i="1"/>
  <c r="AS15" i="1"/>
  <c r="AS14" i="1"/>
  <c r="AS13" i="1"/>
  <c r="AL12" i="1"/>
  <c r="AS12" i="1" s="1"/>
  <c r="AS11" i="1"/>
  <c r="AS10" i="1"/>
  <c r="AS9" i="1"/>
  <c r="AS8" i="1"/>
  <c r="AL7" i="1"/>
  <c r="AS7" i="1" s="1"/>
  <c r="AL6" i="1"/>
  <c r="AS6" i="1" s="1"/>
  <c r="AL5" i="1"/>
  <c r="AL4" i="1"/>
  <c r="AS2" i="1"/>
  <c r="AJ222" i="1"/>
  <c r="AI222" i="1"/>
  <c r="AH222" i="1"/>
  <c r="AG222" i="1"/>
  <c r="AF222" i="1"/>
  <c r="AE222" i="1"/>
  <c r="AD222" i="1"/>
  <c r="AC222" i="1"/>
  <c r="AJ218" i="1"/>
  <c r="AJ217" i="1"/>
  <c r="AJ216" i="1"/>
  <c r="AJ215" i="1"/>
  <c r="AJ214" i="1"/>
  <c r="AJ213" i="1"/>
  <c r="AI209" i="1"/>
  <c r="AH209" i="1"/>
  <c r="AG209" i="1"/>
  <c r="AF209" i="1"/>
  <c r="AE209" i="1"/>
  <c r="AD209" i="1"/>
  <c r="AC208" i="1"/>
  <c r="AJ208" i="1" s="1"/>
  <c r="AC207" i="1"/>
  <c r="AJ206" i="1"/>
  <c r="AJ205" i="1"/>
  <c r="AC204" i="1"/>
  <c r="AJ204" i="1" s="1"/>
  <c r="AC203" i="1"/>
  <c r="AJ203" i="1" s="1"/>
  <c r="AJ202" i="1"/>
  <c r="AJ201" i="1"/>
  <c r="AJ200" i="1"/>
  <c r="AC199" i="1"/>
  <c r="AJ199" i="1" s="1"/>
  <c r="AJ198" i="1"/>
  <c r="AI198" i="1"/>
  <c r="AH198" i="1"/>
  <c r="AG198" i="1"/>
  <c r="AF198" i="1"/>
  <c r="AE198" i="1"/>
  <c r="AD198" i="1"/>
  <c r="AC198" i="1"/>
  <c r="AI197" i="1"/>
  <c r="AH197" i="1"/>
  <c r="AG197" i="1"/>
  <c r="AF197" i="1"/>
  <c r="AD197" i="1"/>
  <c r="AJ195" i="1"/>
  <c r="AJ194" i="1"/>
  <c r="AJ193" i="1"/>
  <c r="AJ192" i="1"/>
  <c r="AJ191" i="1"/>
  <c r="AJ190" i="1"/>
  <c r="AJ189" i="1"/>
  <c r="AJ188" i="1"/>
  <c r="AJ186" i="1"/>
  <c r="AJ185" i="1"/>
  <c r="AJ184" i="1"/>
  <c r="AJ182" i="1"/>
  <c r="AJ181" i="1"/>
  <c r="AJ180" i="1"/>
  <c r="AJ179" i="1"/>
  <c r="AJ177" i="1"/>
  <c r="AJ176" i="1"/>
  <c r="AJ175" i="1"/>
  <c r="AJ174" i="1"/>
  <c r="AC173" i="1"/>
  <c r="AJ173" i="1" s="1"/>
  <c r="AC172" i="1"/>
  <c r="AJ171" i="1"/>
  <c r="AI171" i="1"/>
  <c r="AH171" i="1"/>
  <c r="AG171" i="1"/>
  <c r="AF171" i="1"/>
  <c r="AE171" i="1"/>
  <c r="AD171" i="1"/>
  <c r="AC171" i="1"/>
  <c r="AF170" i="1"/>
  <c r="AE170" i="1"/>
  <c r="AJ169" i="1"/>
  <c r="AJ165" i="1"/>
  <c r="AJ163" i="1"/>
  <c r="AJ162" i="1"/>
  <c r="AJ159" i="1"/>
  <c r="AJ158" i="1"/>
  <c r="AC156" i="1"/>
  <c r="AJ156" i="1" s="1"/>
  <c r="AJ155" i="1"/>
  <c r="AI155" i="1"/>
  <c r="AH155" i="1"/>
  <c r="AG155" i="1"/>
  <c r="AF155" i="1"/>
  <c r="AE155" i="1"/>
  <c r="AD155" i="1"/>
  <c r="AC155" i="1"/>
  <c r="AI154" i="1"/>
  <c r="AH154" i="1"/>
  <c r="AG154" i="1"/>
  <c r="AF154" i="1"/>
  <c r="AE154" i="1"/>
  <c r="AJ152" i="1"/>
  <c r="AD151" i="1"/>
  <c r="AD154" i="1" s="1"/>
  <c r="AC151" i="1"/>
  <c r="AJ151" i="1" s="1"/>
  <c r="AC146" i="1"/>
  <c r="AJ146" i="1" s="1"/>
  <c r="AJ143" i="1"/>
  <c r="AI143" i="1"/>
  <c r="AH143" i="1"/>
  <c r="AG143" i="1"/>
  <c r="AF143" i="1"/>
  <c r="AE143" i="1"/>
  <c r="AD143" i="1"/>
  <c r="AC143" i="1"/>
  <c r="AJ139" i="1"/>
  <c r="AJ138" i="1"/>
  <c r="AJ137" i="1"/>
  <c r="AH135" i="1"/>
  <c r="AF135" i="1"/>
  <c r="AI130" i="1"/>
  <c r="AI131" i="1" s="1"/>
  <c r="AH130" i="1"/>
  <c r="AH131" i="1" s="1"/>
  <c r="AG130" i="1"/>
  <c r="AG131" i="1" s="1"/>
  <c r="AF130" i="1"/>
  <c r="AF131" i="1" s="1"/>
  <c r="AE130" i="1"/>
  <c r="AE131" i="1" s="1"/>
  <c r="AD130" i="1"/>
  <c r="AC130" i="1"/>
  <c r="AC131" i="1" s="1"/>
  <c r="AD129" i="1"/>
  <c r="AJ129" i="1" s="1"/>
  <c r="AJ128" i="1"/>
  <c r="AD127" i="1"/>
  <c r="BW127" i="1" s="1"/>
  <c r="AJ126" i="1"/>
  <c r="AD125" i="1"/>
  <c r="AJ125" i="1" s="1"/>
  <c r="AJ124" i="1"/>
  <c r="AJ123" i="1"/>
  <c r="AI121" i="1"/>
  <c r="AH121" i="1"/>
  <c r="AE120" i="1"/>
  <c r="AJ120" i="1" s="1"/>
  <c r="AC119" i="1"/>
  <c r="AJ119" i="1" s="1"/>
  <c r="AG118" i="1"/>
  <c r="AG121" i="1" s="1"/>
  <c r="AF118" i="1"/>
  <c r="AF121" i="1" s="1"/>
  <c r="AE118" i="1"/>
  <c r="AE121" i="1" s="1"/>
  <c r="AD118" i="1"/>
  <c r="AC118" i="1"/>
  <c r="AC117" i="1"/>
  <c r="AJ117" i="1" s="1"/>
  <c r="AC116" i="1"/>
  <c r="AJ116" i="1" s="1"/>
  <c r="AC114" i="1"/>
  <c r="AJ114" i="1" s="1"/>
  <c r="AC113" i="1"/>
  <c r="AJ113" i="1" s="1"/>
  <c r="AC112" i="1"/>
  <c r="AJ112" i="1" s="1"/>
  <c r="AC111" i="1"/>
  <c r="AJ111" i="1" s="1"/>
  <c r="AC110" i="1"/>
  <c r="AJ110" i="1" s="1"/>
  <c r="AJ109" i="1"/>
  <c r="AC108" i="1"/>
  <c r="AJ108" i="1" s="1"/>
  <c r="AC107" i="1"/>
  <c r="AJ105" i="1"/>
  <c r="AI105" i="1"/>
  <c r="AH105" i="1"/>
  <c r="AG105" i="1"/>
  <c r="AF105" i="1"/>
  <c r="AE105" i="1"/>
  <c r="AD105" i="1"/>
  <c r="AC105" i="1"/>
  <c r="AF103" i="1"/>
  <c r="AE103" i="1"/>
  <c r="AD103" i="1"/>
  <c r="AC103" i="1"/>
  <c r="AJ102" i="1"/>
  <c r="AJ101" i="1"/>
  <c r="AI100" i="1"/>
  <c r="AI103" i="1" s="1"/>
  <c r="AH100" i="1"/>
  <c r="AH103" i="1" s="1"/>
  <c r="AG100" i="1"/>
  <c r="AJ100" i="1" s="1"/>
  <c r="AJ99" i="1"/>
  <c r="AH96" i="1"/>
  <c r="AF96" i="1"/>
  <c r="AE96" i="1"/>
  <c r="AD96" i="1"/>
  <c r="AJ95" i="1"/>
  <c r="AC94" i="1"/>
  <c r="AJ94" i="1" s="1"/>
  <c r="AJ92" i="1"/>
  <c r="AI90" i="1"/>
  <c r="AH90" i="1"/>
  <c r="AG90" i="1"/>
  <c r="AF90" i="1"/>
  <c r="AD90" i="1"/>
  <c r="AC90" i="1"/>
  <c r="AJ88" i="1"/>
  <c r="AJ87" i="1"/>
  <c r="AJ86" i="1"/>
  <c r="AJ85" i="1"/>
  <c r="AJ83" i="1"/>
  <c r="AJ82" i="1"/>
  <c r="AI80" i="1"/>
  <c r="AH80" i="1"/>
  <c r="AG80" i="1"/>
  <c r="AF80" i="1"/>
  <c r="AE80" i="1"/>
  <c r="AD79" i="1"/>
  <c r="AD80" i="1" s="1"/>
  <c r="AJ78" i="1"/>
  <c r="AJ77" i="1"/>
  <c r="AC75" i="1"/>
  <c r="AJ75" i="1" s="1"/>
  <c r="AJ72" i="1"/>
  <c r="AI72" i="1"/>
  <c r="AH72" i="1"/>
  <c r="AG72" i="1"/>
  <c r="AF72" i="1"/>
  <c r="AE72" i="1"/>
  <c r="AD72" i="1"/>
  <c r="AC72" i="1"/>
  <c r="AF64" i="1"/>
  <c r="AE64" i="1"/>
  <c r="AF63" i="1"/>
  <c r="AF65" i="1" s="1"/>
  <c r="AI61" i="1"/>
  <c r="AI64" i="1" s="1"/>
  <c r="AH61" i="1"/>
  <c r="AH64" i="1" s="1"/>
  <c r="AG61" i="1"/>
  <c r="AG64" i="1" s="1"/>
  <c r="AF61" i="1"/>
  <c r="AE61" i="1"/>
  <c r="AD61" i="1"/>
  <c r="AD64" i="1" s="1"/>
  <c r="AC61" i="1"/>
  <c r="AC64" i="1" s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I38" i="1"/>
  <c r="AH38" i="1"/>
  <c r="AG38" i="1"/>
  <c r="AF38" i="1"/>
  <c r="AE38" i="1"/>
  <c r="AD38" i="1"/>
  <c r="AC38" i="1"/>
  <c r="AI36" i="1"/>
  <c r="AI140" i="1" s="1"/>
  <c r="AH36" i="1"/>
  <c r="AH63" i="1" s="1"/>
  <c r="AG36" i="1"/>
  <c r="AG135" i="1" s="1"/>
  <c r="AE36" i="1"/>
  <c r="AE135" i="1" s="1"/>
  <c r="AD36" i="1"/>
  <c r="AD135" i="1" s="1"/>
  <c r="AC36" i="1"/>
  <c r="AC135" i="1" s="1"/>
  <c r="AJ35" i="1"/>
  <c r="AJ34" i="1"/>
  <c r="AJ33" i="1"/>
  <c r="AJ32" i="1"/>
  <c r="AJ31" i="1"/>
  <c r="AJ30" i="1"/>
  <c r="AJ29" i="1"/>
  <c r="AJ28" i="1"/>
  <c r="AJ27" i="1"/>
  <c r="AJ26" i="1"/>
  <c r="AI26" i="1"/>
  <c r="AH26" i="1"/>
  <c r="AG26" i="1"/>
  <c r="AF26" i="1"/>
  <c r="AE26" i="1"/>
  <c r="AD26" i="1"/>
  <c r="AC26" i="1"/>
  <c r="AJ24" i="1"/>
  <c r="AJ23" i="1"/>
  <c r="AC22" i="1"/>
  <c r="AJ22" i="1" s="1"/>
  <c r="AJ21" i="1"/>
  <c r="AJ20" i="1"/>
  <c r="AJ19" i="1"/>
  <c r="AI19" i="1"/>
  <c r="AH19" i="1"/>
  <c r="AG19" i="1"/>
  <c r="AF19" i="1"/>
  <c r="AE19" i="1"/>
  <c r="AD19" i="1"/>
  <c r="AC19" i="1"/>
  <c r="AI17" i="1"/>
  <c r="AH17" i="1"/>
  <c r="AG17" i="1"/>
  <c r="AE17" i="1"/>
  <c r="AD17" i="1"/>
  <c r="AJ16" i="1"/>
  <c r="AJ15" i="1"/>
  <c r="AC14" i="1"/>
  <c r="AJ14" i="1" s="1"/>
  <c r="AC13" i="1"/>
  <c r="AJ13" i="1" s="1"/>
  <c r="AC12" i="1"/>
  <c r="AJ12" i="1" s="1"/>
  <c r="AC11" i="1"/>
  <c r="AJ10" i="1"/>
  <c r="AJ9" i="1"/>
  <c r="AJ8" i="1"/>
  <c r="AJ7" i="1"/>
  <c r="AJ6" i="1"/>
  <c r="AJ5" i="1"/>
  <c r="AJ4" i="1"/>
  <c r="AJ2" i="1"/>
  <c r="AA222" i="1"/>
  <c r="Z222" i="1"/>
  <c r="Y222" i="1"/>
  <c r="X222" i="1"/>
  <c r="W222" i="1"/>
  <c r="V222" i="1"/>
  <c r="U222" i="1"/>
  <c r="T222" i="1"/>
  <c r="AA218" i="1"/>
  <c r="AA217" i="1"/>
  <c r="AA216" i="1"/>
  <c r="AA215" i="1"/>
  <c r="AA214" i="1"/>
  <c r="AA213" i="1"/>
  <c r="Z209" i="1"/>
  <c r="Y209" i="1"/>
  <c r="X209" i="1"/>
  <c r="W209" i="1"/>
  <c r="V209" i="1"/>
  <c r="U209" i="1"/>
  <c r="T208" i="1"/>
  <c r="AA208" i="1" s="1"/>
  <c r="T207" i="1"/>
  <c r="AA206" i="1"/>
  <c r="AA205" i="1"/>
  <c r="AA204" i="1"/>
  <c r="T204" i="1"/>
  <c r="AA203" i="1"/>
  <c r="AA202" i="1"/>
  <c r="AA201" i="1"/>
  <c r="AA200" i="1"/>
  <c r="AA199" i="1"/>
  <c r="AA198" i="1"/>
  <c r="Z198" i="1"/>
  <c r="Y198" i="1"/>
  <c r="X198" i="1"/>
  <c r="W198" i="1"/>
  <c r="V198" i="1"/>
  <c r="U198" i="1"/>
  <c r="T198" i="1"/>
  <c r="Z197" i="1"/>
  <c r="Y197" i="1"/>
  <c r="X197" i="1"/>
  <c r="W197" i="1"/>
  <c r="U197" i="1"/>
  <c r="AA195" i="1"/>
  <c r="AA194" i="1"/>
  <c r="AA193" i="1"/>
  <c r="AA192" i="1"/>
  <c r="AA191" i="1"/>
  <c r="AA190" i="1"/>
  <c r="AA189" i="1"/>
  <c r="AA188" i="1"/>
  <c r="AA186" i="1"/>
  <c r="AA185" i="1"/>
  <c r="AA184" i="1"/>
  <c r="AA182" i="1"/>
  <c r="AA181" i="1"/>
  <c r="AA180" i="1"/>
  <c r="AA179" i="1"/>
  <c r="AA177" i="1"/>
  <c r="AA176" i="1"/>
  <c r="AA175" i="1"/>
  <c r="AA174" i="1"/>
  <c r="T173" i="1"/>
  <c r="AA173" i="1" s="1"/>
  <c r="AA172" i="1"/>
  <c r="AA171" i="1"/>
  <c r="Z171" i="1"/>
  <c r="Y171" i="1"/>
  <c r="X171" i="1"/>
  <c r="W171" i="1"/>
  <c r="V171" i="1"/>
  <c r="U171" i="1"/>
  <c r="T171" i="1"/>
  <c r="W170" i="1"/>
  <c r="V170" i="1"/>
  <c r="AA169" i="1"/>
  <c r="AA165" i="1"/>
  <c r="AA163" i="1"/>
  <c r="AA162" i="1"/>
  <c r="AA159" i="1"/>
  <c r="AA158" i="1"/>
  <c r="T156" i="1"/>
  <c r="AA156" i="1" s="1"/>
  <c r="AA155" i="1"/>
  <c r="Z155" i="1"/>
  <c r="Y155" i="1"/>
  <c r="X155" i="1"/>
  <c r="W155" i="1"/>
  <c r="V155" i="1"/>
  <c r="U155" i="1"/>
  <c r="T155" i="1"/>
  <c r="Z154" i="1"/>
  <c r="Y154" i="1"/>
  <c r="X154" i="1"/>
  <c r="V154" i="1"/>
  <c r="AA152" i="1"/>
  <c r="U151" i="1"/>
  <c r="U154" i="1" s="1"/>
  <c r="T151" i="1"/>
  <c r="AA151" i="1" s="1"/>
  <c r="AA146" i="1"/>
  <c r="AA145" i="1"/>
  <c r="AA143" i="1"/>
  <c r="Z143" i="1"/>
  <c r="Y143" i="1"/>
  <c r="X143" i="1"/>
  <c r="W143" i="1"/>
  <c r="V143" i="1"/>
  <c r="U143" i="1"/>
  <c r="T143" i="1"/>
  <c r="AA139" i="1"/>
  <c r="AA138" i="1"/>
  <c r="AA137" i="1"/>
  <c r="W135" i="1"/>
  <c r="W133" i="1"/>
  <c r="Y131" i="1"/>
  <c r="Z130" i="1"/>
  <c r="Z131" i="1" s="1"/>
  <c r="Y130" i="1"/>
  <c r="X130" i="1"/>
  <c r="X131" i="1" s="1"/>
  <c r="W130" i="1"/>
  <c r="W140" i="1" s="1"/>
  <c r="V130" i="1"/>
  <c r="V131" i="1" s="1"/>
  <c r="U130" i="1"/>
  <c r="T130" i="1"/>
  <c r="T129" i="1"/>
  <c r="AA129" i="1" s="1"/>
  <c r="T128" i="1"/>
  <c r="AA128" i="1" s="1"/>
  <c r="AA127" i="1"/>
  <c r="U126" i="1"/>
  <c r="AA126" i="1" s="1"/>
  <c r="U125" i="1"/>
  <c r="AA125" i="1" s="1"/>
  <c r="U124" i="1"/>
  <c r="AA124" i="1" s="1"/>
  <c r="U123" i="1"/>
  <c r="V120" i="1"/>
  <c r="AA120" i="1" s="1"/>
  <c r="T119" i="1"/>
  <c r="AA119" i="1" s="1"/>
  <c r="Z118" i="1"/>
  <c r="Z121" i="1" s="1"/>
  <c r="Y118" i="1"/>
  <c r="Y121" i="1" s="1"/>
  <c r="X118" i="1"/>
  <c r="X121" i="1" s="1"/>
  <c r="W118" i="1"/>
  <c r="V118" i="1"/>
  <c r="U118" i="1"/>
  <c r="T118" i="1"/>
  <c r="T117" i="1"/>
  <c r="AA117" i="1" s="1"/>
  <c r="T116" i="1"/>
  <c r="AA116" i="1" s="1"/>
  <c r="AA113" i="1"/>
  <c r="AA112" i="1"/>
  <c r="AA111" i="1"/>
  <c r="AA110" i="1"/>
  <c r="AA109" i="1"/>
  <c r="T108" i="1"/>
  <c r="AA108" i="1" s="1"/>
  <c r="T107" i="1"/>
  <c r="AA105" i="1"/>
  <c r="Z105" i="1"/>
  <c r="Y105" i="1"/>
  <c r="X105" i="1"/>
  <c r="W105" i="1"/>
  <c r="V105" i="1"/>
  <c r="U105" i="1"/>
  <c r="T105" i="1"/>
  <c r="Y103" i="1"/>
  <c r="W103" i="1"/>
  <c r="V103" i="1"/>
  <c r="U103" i="1"/>
  <c r="T103" i="1"/>
  <c r="AA102" i="1"/>
  <c r="AA101" i="1"/>
  <c r="Z100" i="1"/>
  <c r="Y100" i="1"/>
  <c r="X100" i="1"/>
  <c r="X103" i="1" s="1"/>
  <c r="AA99" i="1"/>
  <c r="Y96" i="1"/>
  <c r="V96" i="1"/>
  <c r="U96" i="1"/>
  <c r="T96" i="1"/>
  <c r="AA95" i="1"/>
  <c r="AA94" i="1"/>
  <c r="AA92" i="1"/>
  <c r="Z90" i="1"/>
  <c r="Y90" i="1"/>
  <c r="X90" i="1"/>
  <c r="U90" i="1"/>
  <c r="T90" i="1"/>
  <c r="AA88" i="1"/>
  <c r="AA87" i="1"/>
  <c r="AA86" i="1"/>
  <c r="AA85" i="1"/>
  <c r="AA83" i="1"/>
  <c r="AA82" i="1"/>
  <c r="Z80" i="1"/>
  <c r="Y80" i="1"/>
  <c r="Y97" i="1" s="1"/>
  <c r="X80" i="1"/>
  <c r="V80" i="1"/>
  <c r="U79" i="1"/>
  <c r="U80" i="1" s="1"/>
  <c r="AA78" i="1"/>
  <c r="AA77" i="1"/>
  <c r="T75" i="1"/>
  <c r="AA75" i="1" s="1"/>
  <c r="AA72" i="1"/>
  <c r="Z72" i="1"/>
  <c r="Y72" i="1"/>
  <c r="X72" i="1"/>
  <c r="W72" i="1"/>
  <c r="V72" i="1"/>
  <c r="U72" i="1"/>
  <c r="T72" i="1"/>
  <c r="W63" i="1"/>
  <c r="Z61" i="1"/>
  <c r="Z64" i="1" s="1"/>
  <c r="Y61" i="1"/>
  <c r="Y64" i="1" s="1"/>
  <c r="X61" i="1"/>
  <c r="X64" i="1" s="1"/>
  <c r="W61" i="1"/>
  <c r="W64" i="1" s="1"/>
  <c r="V61" i="1"/>
  <c r="V64" i="1" s="1"/>
  <c r="U61" i="1"/>
  <c r="U64" i="1" s="1"/>
  <c r="T61" i="1"/>
  <c r="T64" i="1" s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Z38" i="1"/>
  <c r="Y38" i="1"/>
  <c r="X38" i="1"/>
  <c r="W38" i="1"/>
  <c r="V38" i="1"/>
  <c r="U38" i="1"/>
  <c r="T38" i="1"/>
  <c r="Z36" i="1"/>
  <c r="Z135" i="1" s="1"/>
  <c r="Y36" i="1"/>
  <c r="Y135" i="1" s="1"/>
  <c r="X36" i="1"/>
  <c r="X135" i="1" s="1"/>
  <c r="V36" i="1"/>
  <c r="V135" i="1" s="1"/>
  <c r="U36" i="1"/>
  <c r="U140" i="1" s="1"/>
  <c r="T36" i="1"/>
  <c r="T140" i="1" s="1"/>
  <c r="AA35" i="1"/>
  <c r="AA34" i="1"/>
  <c r="AA33" i="1"/>
  <c r="AA32" i="1"/>
  <c r="AA31" i="1"/>
  <c r="AA30" i="1"/>
  <c r="AA29" i="1"/>
  <c r="AA28" i="1"/>
  <c r="AA27" i="1"/>
  <c r="AA26" i="1"/>
  <c r="Z26" i="1"/>
  <c r="Y26" i="1"/>
  <c r="X26" i="1"/>
  <c r="W26" i="1"/>
  <c r="V26" i="1"/>
  <c r="U26" i="1"/>
  <c r="T26" i="1"/>
  <c r="AA24" i="1"/>
  <c r="AA23" i="1"/>
  <c r="AA22" i="1"/>
  <c r="T22" i="1"/>
  <c r="T76" i="1" s="1"/>
  <c r="AA76" i="1" s="1"/>
  <c r="AA21" i="1"/>
  <c r="AA20" i="1"/>
  <c r="AA19" i="1"/>
  <c r="Z19" i="1"/>
  <c r="Y19" i="1"/>
  <c r="X19" i="1"/>
  <c r="W19" i="1"/>
  <c r="V19" i="1"/>
  <c r="U19" i="1"/>
  <c r="T19" i="1"/>
  <c r="Z17" i="1"/>
  <c r="Y17" i="1"/>
  <c r="X17" i="1"/>
  <c r="V17" i="1"/>
  <c r="U17" i="1"/>
  <c r="AA16" i="1"/>
  <c r="AA15" i="1"/>
  <c r="AA14" i="1"/>
  <c r="AA13" i="1"/>
  <c r="AA12" i="1"/>
  <c r="T11" i="1"/>
  <c r="BV11" i="1" s="1"/>
  <c r="AA10" i="1"/>
  <c r="AA9" i="1"/>
  <c r="AA8" i="1"/>
  <c r="T7" i="1"/>
  <c r="AA7" i="1" s="1"/>
  <c r="T6" i="1"/>
  <c r="AA6" i="1" s="1"/>
  <c r="T5" i="1"/>
  <c r="AA5" i="1" s="1"/>
  <c r="T4" i="1"/>
  <c r="AA2" i="1"/>
  <c r="R222" i="1"/>
  <c r="Q222" i="1"/>
  <c r="P222" i="1"/>
  <c r="O222" i="1"/>
  <c r="N222" i="1"/>
  <c r="M222" i="1"/>
  <c r="L222" i="1"/>
  <c r="K222" i="1"/>
  <c r="R218" i="1"/>
  <c r="R217" i="1"/>
  <c r="R216" i="1"/>
  <c r="R215" i="1"/>
  <c r="R214" i="1"/>
  <c r="R213" i="1"/>
  <c r="Q209" i="1"/>
  <c r="P209" i="1"/>
  <c r="O209" i="1"/>
  <c r="N209" i="1"/>
  <c r="M209" i="1"/>
  <c r="L209" i="1"/>
  <c r="K208" i="1"/>
  <c r="R208" i="1" s="1"/>
  <c r="K207" i="1"/>
  <c r="R206" i="1"/>
  <c r="R205" i="1"/>
  <c r="K204" i="1"/>
  <c r="R204" i="1" s="1"/>
  <c r="R203" i="1"/>
  <c r="R202" i="1"/>
  <c r="R201" i="1"/>
  <c r="R200" i="1"/>
  <c r="R199" i="1"/>
  <c r="R198" i="1"/>
  <c r="Q198" i="1"/>
  <c r="P198" i="1"/>
  <c r="O198" i="1"/>
  <c r="N198" i="1"/>
  <c r="M198" i="1"/>
  <c r="L198" i="1"/>
  <c r="K198" i="1"/>
  <c r="Q197" i="1"/>
  <c r="P197" i="1"/>
  <c r="O197" i="1"/>
  <c r="N197" i="1"/>
  <c r="L197" i="1"/>
  <c r="R195" i="1"/>
  <c r="R194" i="1"/>
  <c r="R193" i="1"/>
  <c r="R192" i="1"/>
  <c r="R191" i="1"/>
  <c r="R190" i="1"/>
  <c r="R189" i="1"/>
  <c r="R188" i="1"/>
  <c r="R186" i="1"/>
  <c r="R185" i="1"/>
  <c r="R184" i="1"/>
  <c r="R182" i="1"/>
  <c r="R181" i="1"/>
  <c r="R180" i="1"/>
  <c r="R179" i="1"/>
  <c r="R177" i="1"/>
  <c r="R176" i="1"/>
  <c r="R175" i="1"/>
  <c r="R174" i="1"/>
  <c r="K173" i="1"/>
  <c r="R173" i="1" s="1"/>
  <c r="K172" i="1"/>
  <c r="R171" i="1"/>
  <c r="Q171" i="1"/>
  <c r="P171" i="1"/>
  <c r="O171" i="1"/>
  <c r="N171" i="1"/>
  <c r="M171" i="1"/>
  <c r="L171" i="1"/>
  <c r="K171" i="1"/>
  <c r="N170" i="1"/>
  <c r="M170" i="1"/>
  <c r="R169" i="1"/>
  <c r="R165" i="1"/>
  <c r="R163" i="1"/>
  <c r="R162" i="1"/>
  <c r="R159" i="1"/>
  <c r="K158" i="1"/>
  <c r="R158" i="1" s="1"/>
  <c r="K156" i="1"/>
  <c r="R156" i="1" s="1"/>
  <c r="R155" i="1"/>
  <c r="Q155" i="1"/>
  <c r="P155" i="1"/>
  <c r="O155" i="1"/>
  <c r="N155" i="1"/>
  <c r="M155" i="1"/>
  <c r="L155" i="1"/>
  <c r="K155" i="1"/>
  <c r="Q154" i="1"/>
  <c r="P154" i="1"/>
  <c r="O154" i="1"/>
  <c r="M154" i="1"/>
  <c r="R152" i="1"/>
  <c r="L151" i="1"/>
  <c r="L154" i="1" s="1"/>
  <c r="K151" i="1"/>
  <c r="R146" i="1"/>
  <c r="R145" i="1"/>
  <c r="K144" i="1"/>
  <c r="R143" i="1"/>
  <c r="Q143" i="1"/>
  <c r="P143" i="1"/>
  <c r="O143" i="1"/>
  <c r="N143" i="1"/>
  <c r="M143" i="1"/>
  <c r="L143" i="1"/>
  <c r="K143" i="1"/>
  <c r="R139" i="1"/>
  <c r="R138" i="1"/>
  <c r="R137" i="1"/>
  <c r="N135" i="1"/>
  <c r="Q130" i="1"/>
  <c r="P130" i="1"/>
  <c r="P131" i="1" s="1"/>
  <c r="O130" i="1"/>
  <c r="O131" i="1" s="1"/>
  <c r="N130" i="1"/>
  <c r="N140" i="1" s="1"/>
  <c r="M130" i="1"/>
  <c r="M131" i="1" s="1"/>
  <c r="L130" i="1"/>
  <c r="K130" i="1"/>
  <c r="L129" i="1"/>
  <c r="K129" i="1"/>
  <c r="R129" i="1" s="1"/>
  <c r="R128" i="1"/>
  <c r="R127" i="1"/>
  <c r="R126" i="1"/>
  <c r="L125" i="1"/>
  <c r="BW125" i="1" s="1"/>
  <c r="R124" i="1"/>
  <c r="R123" i="1"/>
  <c r="Q121" i="1"/>
  <c r="P121" i="1"/>
  <c r="M120" i="1"/>
  <c r="R120" i="1" s="1"/>
  <c r="K119" i="1"/>
  <c r="R119" i="1" s="1"/>
  <c r="O118" i="1"/>
  <c r="O121" i="1" s="1"/>
  <c r="N118" i="1"/>
  <c r="M118" i="1"/>
  <c r="L118" i="1"/>
  <c r="K118" i="1"/>
  <c r="K117" i="1"/>
  <c r="R117" i="1" s="1"/>
  <c r="K116" i="1"/>
  <c r="R116" i="1" s="1"/>
  <c r="R113" i="1"/>
  <c r="R112" i="1"/>
  <c r="R111" i="1"/>
  <c r="R110" i="1"/>
  <c r="R109" i="1"/>
  <c r="K108" i="1"/>
  <c r="R108" i="1" s="1"/>
  <c r="K107" i="1"/>
  <c r="R105" i="1"/>
  <c r="Q105" i="1"/>
  <c r="P105" i="1"/>
  <c r="O105" i="1"/>
  <c r="N105" i="1"/>
  <c r="M105" i="1"/>
  <c r="L105" i="1"/>
  <c r="K105" i="1"/>
  <c r="N103" i="1"/>
  <c r="M103" i="1"/>
  <c r="L103" i="1"/>
  <c r="K103" i="1"/>
  <c r="R102" i="1"/>
  <c r="R101" i="1"/>
  <c r="Q100" i="1"/>
  <c r="P100" i="1"/>
  <c r="P103" i="1" s="1"/>
  <c r="O100" i="1"/>
  <c r="O103" i="1" s="1"/>
  <c r="R99" i="1"/>
  <c r="P96" i="1"/>
  <c r="M96" i="1"/>
  <c r="L96" i="1"/>
  <c r="K96" i="1"/>
  <c r="R95" i="1"/>
  <c r="R94" i="1"/>
  <c r="R92" i="1"/>
  <c r="Q90" i="1"/>
  <c r="P90" i="1"/>
  <c r="O90" i="1"/>
  <c r="L90" i="1"/>
  <c r="K90" i="1"/>
  <c r="R88" i="1"/>
  <c r="R87" i="1"/>
  <c r="R86" i="1"/>
  <c r="R85" i="1"/>
  <c r="R83" i="1"/>
  <c r="R82" i="1"/>
  <c r="Q80" i="1"/>
  <c r="P80" i="1"/>
  <c r="P97" i="1" s="1"/>
  <c r="O80" i="1"/>
  <c r="M80" i="1"/>
  <c r="L80" i="1"/>
  <c r="L79" i="1"/>
  <c r="R79" i="1" s="1"/>
  <c r="R78" i="1"/>
  <c r="R77" i="1"/>
  <c r="K75" i="1"/>
  <c r="R75" i="1" s="1"/>
  <c r="R72" i="1"/>
  <c r="Q72" i="1"/>
  <c r="P72" i="1"/>
  <c r="O72" i="1"/>
  <c r="N72" i="1"/>
  <c r="M72" i="1"/>
  <c r="L72" i="1"/>
  <c r="K72" i="1"/>
  <c r="N63" i="1"/>
  <c r="Q61" i="1"/>
  <c r="Q64" i="1" s="1"/>
  <c r="P61" i="1"/>
  <c r="P64" i="1" s="1"/>
  <c r="O61" i="1"/>
  <c r="O64" i="1" s="1"/>
  <c r="N61" i="1"/>
  <c r="N64" i="1" s="1"/>
  <c r="N65" i="1" s="1"/>
  <c r="N134" i="1" s="1"/>
  <c r="M61" i="1"/>
  <c r="M64" i="1" s="1"/>
  <c r="L61" i="1"/>
  <c r="L64" i="1" s="1"/>
  <c r="K61" i="1"/>
  <c r="K64" i="1" s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Q38" i="1"/>
  <c r="P38" i="1"/>
  <c r="O38" i="1"/>
  <c r="N38" i="1"/>
  <c r="M38" i="1"/>
  <c r="L38" i="1"/>
  <c r="K38" i="1"/>
  <c r="Q36" i="1"/>
  <c r="Q135" i="1" s="1"/>
  <c r="P36" i="1"/>
  <c r="O36" i="1"/>
  <c r="O63" i="1" s="1"/>
  <c r="M36" i="1"/>
  <c r="M140" i="1" s="1"/>
  <c r="L36" i="1"/>
  <c r="L135" i="1" s="1"/>
  <c r="K36" i="1"/>
  <c r="K140" i="1" s="1"/>
  <c r="R35" i="1"/>
  <c r="R34" i="1"/>
  <c r="R33" i="1"/>
  <c r="R32" i="1"/>
  <c r="R31" i="1"/>
  <c r="R30" i="1"/>
  <c r="R29" i="1"/>
  <c r="R28" i="1"/>
  <c r="R27" i="1"/>
  <c r="R26" i="1"/>
  <c r="Q26" i="1"/>
  <c r="P26" i="1"/>
  <c r="O26" i="1"/>
  <c r="N26" i="1"/>
  <c r="M26" i="1"/>
  <c r="L26" i="1"/>
  <c r="K26" i="1"/>
  <c r="R24" i="1"/>
  <c r="R23" i="1"/>
  <c r="K22" i="1"/>
  <c r="R22" i="1" s="1"/>
  <c r="R21" i="1"/>
  <c r="R20" i="1"/>
  <c r="R19" i="1"/>
  <c r="Q19" i="1"/>
  <c r="P19" i="1"/>
  <c r="O19" i="1"/>
  <c r="N19" i="1"/>
  <c r="M19" i="1"/>
  <c r="L19" i="1"/>
  <c r="K19" i="1"/>
  <c r="Q17" i="1"/>
  <c r="P17" i="1"/>
  <c r="O17" i="1"/>
  <c r="M17" i="1"/>
  <c r="L17" i="1"/>
  <c r="R16" i="1"/>
  <c r="R15" i="1"/>
  <c r="R14" i="1"/>
  <c r="R13" i="1"/>
  <c r="R12" i="1"/>
  <c r="R11" i="1"/>
  <c r="R10" i="1"/>
  <c r="R9" i="1"/>
  <c r="R8" i="1"/>
  <c r="R7" i="1"/>
  <c r="K6" i="1"/>
  <c r="K3" i="1" s="1"/>
  <c r="R5" i="1"/>
  <c r="K5" i="1"/>
  <c r="BV5" i="1" s="1"/>
  <c r="K4" i="1"/>
  <c r="R4" i="1" s="1"/>
  <c r="R2" i="1"/>
  <c r="B170" i="9" l="1"/>
  <c r="B211" i="9" s="1"/>
  <c r="BV94" i="1"/>
  <c r="BV96" i="1" s="1"/>
  <c r="D196" i="11"/>
  <c r="D197" i="11" s="1"/>
  <c r="BL196" i="3"/>
  <c r="D80" i="11"/>
  <c r="D97" i="11" s="1"/>
  <c r="D70" i="11" s="1"/>
  <c r="AV154" i="3"/>
  <c r="AS151" i="3"/>
  <c r="CC20" i="3"/>
  <c r="D20" i="10" s="1"/>
  <c r="CD28" i="3"/>
  <c r="BW151" i="3"/>
  <c r="D133" i="3"/>
  <c r="BY209" i="3"/>
  <c r="BY103" i="3"/>
  <c r="BM133" i="3"/>
  <c r="BM134" i="3"/>
  <c r="AS209" i="3"/>
  <c r="CC202" i="3"/>
  <c r="CC200" i="3"/>
  <c r="CC199" i="3"/>
  <c r="AM97" i="3"/>
  <c r="AD97" i="3"/>
  <c r="CC82" i="3"/>
  <c r="D82" i="10" s="1"/>
  <c r="D90" i="10" s="1"/>
  <c r="BK36" i="3"/>
  <c r="BK63" i="3" s="1"/>
  <c r="BK65" i="3" s="1"/>
  <c r="BK3" i="3"/>
  <c r="AT17" i="3"/>
  <c r="AJ36" i="3"/>
  <c r="AJ63" i="3" s="1"/>
  <c r="AJ114" i="3"/>
  <c r="CC14" i="3"/>
  <c r="CC10" i="3"/>
  <c r="CC11" i="3"/>
  <c r="BB17" i="3"/>
  <c r="BA161" i="3"/>
  <c r="BA136" i="3"/>
  <c r="BA134" i="3"/>
  <c r="X161" i="3"/>
  <c r="X136" i="3"/>
  <c r="AG161" i="3"/>
  <c r="AG136" i="3"/>
  <c r="P161" i="3"/>
  <c r="P170" i="3" s="1"/>
  <c r="P136" i="3"/>
  <c r="CC4" i="3"/>
  <c r="BV8" i="3"/>
  <c r="CC8" i="3" s="1"/>
  <c r="I8" i="3"/>
  <c r="BQ161" i="3"/>
  <c r="BQ136" i="3"/>
  <c r="T136" i="3"/>
  <c r="AZ161" i="3"/>
  <c r="AZ136" i="3"/>
  <c r="BT65" i="3"/>
  <c r="I65" i="3"/>
  <c r="BR140" i="3"/>
  <c r="BR135" i="3"/>
  <c r="BR63" i="3"/>
  <c r="BR65" i="3" s="1"/>
  <c r="BF65" i="3"/>
  <c r="AA17" i="3"/>
  <c r="BV5" i="3"/>
  <c r="CC5" i="3" s="1"/>
  <c r="BV7" i="3"/>
  <c r="CC7" i="3" s="1"/>
  <c r="AS7" i="3"/>
  <c r="AS17" i="3" s="1"/>
  <c r="CA17" i="3"/>
  <c r="C65" i="3"/>
  <c r="AM135" i="3"/>
  <c r="AM140" i="3"/>
  <c r="AM63" i="3"/>
  <c r="AM65" i="3" s="1"/>
  <c r="CB136" i="3"/>
  <c r="CB161" i="3"/>
  <c r="CB134" i="3"/>
  <c r="K3" i="3"/>
  <c r="R4" i="3"/>
  <c r="R17" i="3" s="1"/>
  <c r="K17" i="3"/>
  <c r="CC27" i="3"/>
  <c r="BV36" i="3"/>
  <c r="BV63" i="3" s="1"/>
  <c r="BV65" i="3" s="1"/>
  <c r="B136" i="3"/>
  <c r="AS135" i="3"/>
  <c r="CC21" i="3"/>
  <c r="D21" i="10" s="1"/>
  <c r="V65" i="3"/>
  <c r="AN65" i="3"/>
  <c r="AL17" i="3"/>
  <c r="BD153" i="3"/>
  <c r="BK153" i="3" s="1"/>
  <c r="BF182" i="3"/>
  <c r="BD164" i="3"/>
  <c r="BK164" i="3" s="1"/>
  <c r="BD147" i="3"/>
  <c r="BK147" i="3" s="1"/>
  <c r="BF183" i="3"/>
  <c r="BK183" i="3" s="1"/>
  <c r="BD148" i="3"/>
  <c r="BK148" i="3" s="1"/>
  <c r="BD149" i="3"/>
  <c r="BK149" i="3" s="1"/>
  <c r="BE157" i="3"/>
  <c r="BD150" i="3"/>
  <c r="BK150" i="3" s="1"/>
  <c r="BD187" i="3"/>
  <c r="BD160" i="3"/>
  <c r="BF84" i="3"/>
  <c r="BK84" i="3" s="1"/>
  <c r="BF83" i="3"/>
  <c r="X140" i="3"/>
  <c r="X135" i="3"/>
  <c r="D136" i="3"/>
  <c r="BM65" i="3"/>
  <c r="B17" i="3"/>
  <c r="I6" i="3"/>
  <c r="BX65" i="3"/>
  <c r="CC34" i="3"/>
  <c r="G65" i="3"/>
  <c r="AA61" i="3"/>
  <c r="AA64" i="3" s="1"/>
  <c r="CC61" i="3"/>
  <c r="CC64" i="3" s="1"/>
  <c r="BY61" i="3"/>
  <c r="BY64" i="3" s="1"/>
  <c r="CC52" i="3"/>
  <c r="AL65" i="3"/>
  <c r="BN65" i="3"/>
  <c r="AL74" i="3"/>
  <c r="AS3" i="3"/>
  <c r="H135" i="3"/>
  <c r="H140" i="3"/>
  <c r="H63" i="3"/>
  <c r="H65" i="3" s="1"/>
  <c r="Q161" i="3"/>
  <c r="Q136" i="3"/>
  <c r="Q134" i="3"/>
  <c r="BP141" i="3"/>
  <c r="I144" i="3"/>
  <c r="BK17" i="3"/>
  <c r="AJ17" i="3"/>
  <c r="AA36" i="3"/>
  <c r="AA63" i="3" s="1"/>
  <c r="K65" i="3"/>
  <c r="AR65" i="3"/>
  <c r="BD167" i="3"/>
  <c r="BK167" i="3" s="1"/>
  <c r="BD168" i="3"/>
  <c r="BK168" i="3" s="1"/>
  <c r="BD166" i="3"/>
  <c r="BK166" i="3" s="1"/>
  <c r="BD80" i="3"/>
  <c r="BD97" i="3" s="1"/>
  <c r="BK74" i="3"/>
  <c r="BK80" i="3" s="1"/>
  <c r="AJ65" i="3"/>
  <c r="CC30" i="3"/>
  <c r="BB61" i="3"/>
  <c r="BB64" i="3" s="1"/>
  <c r="BB65" i="3" s="1"/>
  <c r="CC48" i="3"/>
  <c r="L65" i="3"/>
  <c r="BZ65" i="3"/>
  <c r="F161" i="3"/>
  <c r="U80" i="3"/>
  <c r="U97" i="3" s="1"/>
  <c r="AA79" i="3"/>
  <c r="AC74" i="3"/>
  <c r="AJ3" i="3"/>
  <c r="BV159" i="3"/>
  <c r="CC159" i="3" s="1"/>
  <c r="BB159" i="3"/>
  <c r="BO90" i="3"/>
  <c r="BT84" i="3"/>
  <c r="O161" i="3"/>
  <c r="O136" i="3"/>
  <c r="BO65" i="3"/>
  <c r="BO136" i="3" s="1"/>
  <c r="AY65" i="3"/>
  <c r="I77" i="3"/>
  <c r="BV77" i="3"/>
  <c r="CC77" i="3" s="1"/>
  <c r="CC107" i="3"/>
  <c r="Z133" i="3"/>
  <c r="BB121" i="3"/>
  <c r="BB132" i="3" s="1"/>
  <c r="I118" i="3"/>
  <c r="BV118" i="3"/>
  <c r="BG133" i="3"/>
  <c r="BG141" i="3" s="1"/>
  <c r="BG142" i="3" s="1"/>
  <c r="BG211" i="3" s="1"/>
  <c r="BG219" i="3" s="1"/>
  <c r="BG220" i="3" s="1"/>
  <c r="AY133" i="3"/>
  <c r="BD135" i="3"/>
  <c r="BK114" i="3"/>
  <c r="BD140" i="3"/>
  <c r="BF133" i="3"/>
  <c r="BZ154" i="3"/>
  <c r="BB196" i="3"/>
  <c r="AU166" i="3"/>
  <c r="BB166" i="3" s="1"/>
  <c r="AU167" i="3"/>
  <c r="BB167" i="3" s="1"/>
  <c r="AU168" i="3"/>
  <c r="BB168" i="3" s="1"/>
  <c r="BB74" i="3"/>
  <c r="AU80" i="3"/>
  <c r="AU97" i="3" s="1"/>
  <c r="Z135" i="3"/>
  <c r="Z140" i="3"/>
  <c r="AP140" i="3"/>
  <c r="AP135" i="3"/>
  <c r="BE140" i="3"/>
  <c r="M63" i="3"/>
  <c r="M65" i="3" s="1"/>
  <c r="Z63" i="3"/>
  <c r="Z65" i="3" s="1"/>
  <c r="T74" i="3"/>
  <c r="BV75" i="3"/>
  <c r="CC75" i="3" s="1"/>
  <c r="D75" i="10" s="1"/>
  <c r="AA103" i="3"/>
  <c r="CC99" i="3"/>
  <c r="AA100" i="3"/>
  <c r="BB100" i="3"/>
  <c r="BB103" i="3" s="1"/>
  <c r="CC101" i="3"/>
  <c r="D101" i="10" s="1"/>
  <c r="D103" i="10" s="1"/>
  <c r="BV113" i="3"/>
  <c r="CC113" i="3" s="1"/>
  <c r="AP132" i="3"/>
  <c r="BV129" i="3"/>
  <c r="BY130" i="3"/>
  <c r="E131" i="3"/>
  <c r="E132" i="3" s="1"/>
  <c r="E140" i="3"/>
  <c r="BY140" i="3" s="1"/>
  <c r="BI133" i="3"/>
  <c r="BF140" i="3"/>
  <c r="BB3" i="3"/>
  <c r="AC17" i="3"/>
  <c r="BV22" i="3"/>
  <c r="CC22" i="3" s="1"/>
  <c r="D22" i="10" s="1"/>
  <c r="L135" i="3"/>
  <c r="L140" i="3"/>
  <c r="R140" i="3" s="1"/>
  <c r="CC78" i="3"/>
  <c r="AJ103" i="3"/>
  <c r="X132" i="3"/>
  <c r="BW129" i="3"/>
  <c r="AA144" i="3"/>
  <c r="CC156" i="3"/>
  <c r="D156" i="10" s="1"/>
  <c r="CC193" i="3"/>
  <c r="BZ103" i="3"/>
  <c r="AN133" i="3"/>
  <c r="P133" i="3"/>
  <c r="BP131" i="3"/>
  <c r="BP140" i="3"/>
  <c r="AN140" i="3"/>
  <c r="AN135" i="3"/>
  <c r="BS135" i="3"/>
  <c r="BS140" i="3"/>
  <c r="Y63" i="3"/>
  <c r="Y65" i="3" s="1"/>
  <c r="BV116" i="3"/>
  <c r="CC116" i="3" s="1"/>
  <c r="R116" i="3"/>
  <c r="BH141" i="3"/>
  <c r="BH142" i="3" s="1"/>
  <c r="BH211" i="3" s="1"/>
  <c r="BH219" i="3" s="1"/>
  <c r="BH220" i="3" s="1"/>
  <c r="AU131" i="3"/>
  <c r="AZ133" i="3"/>
  <c r="B3" i="3"/>
  <c r="AR140" i="3"/>
  <c r="AR135" i="3"/>
  <c r="AC63" i="3"/>
  <c r="AC65" i="3" s="1"/>
  <c r="AP63" i="3"/>
  <c r="AP65" i="3" s="1"/>
  <c r="BD63" i="3"/>
  <c r="BD65" i="3" s="1"/>
  <c r="BI97" i="3"/>
  <c r="AS103" i="3"/>
  <c r="CC102" i="3"/>
  <c r="BV112" i="3"/>
  <c r="CC112" i="3" s="1"/>
  <c r="R118" i="3"/>
  <c r="BK118" i="3"/>
  <c r="BP132" i="3"/>
  <c r="CA130" i="3"/>
  <c r="AU160" i="3"/>
  <c r="BB160" i="3" s="1"/>
  <c r="AU164" i="3"/>
  <c r="BB164" i="3" s="1"/>
  <c r="AU147" i="3"/>
  <c r="BB147" i="3" s="1"/>
  <c r="AW183" i="3"/>
  <c r="AU148" i="3"/>
  <c r="BB148" i="3" s="1"/>
  <c r="AU149" i="3"/>
  <c r="BB149" i="3" s="1"/>
  <c r="AV157" i="3"/>
  <c r="AU158" i="3"/>
  <c r="AU137" i="3"/>
  <c r="AU187" i="3"/>
  <c r="AW84" i="3"/>
  <c r="O135" i="3"/>
  <c r="O140" i="3"/>
  <c r="AD135" i="3"/>
  <c r="AJ135" i="3" s="1"/>
  <c r="BI140" i="3"/>
  <c r="BI135" i="3"/>
  <c r="AD63" i="3"/>
  <c r="AD65" i="3" s="1"/>
  <c r="AQ63" i="3"/>
  <c r="AQ65" i="3" s="1"/>
  <c r="BE63" i="3"/>
  <c r="BE65" i="3" s="1"/>
  <c r="BV117" i="3"/>
  <c r="CC117" i="3" s="1"/>
  <c r="AW133" i="3"/>
  <c r="BT118" i="3"/>
  <c r="AC121" i="3"/>
  <c r="AC132" i="3" s="1"/>
  <c r="BR133" i="3"/>
  <c r="AA125" i="3"/>
  <c r="BW125" i="3"/>
  <c r="CC125" i="3" s="1"/>
  <c r="BM166" i="3"/>
  <c r="BT166" i="3" s="1"/>
  <c r="BM167" i="3"/>
  <c r="BT167" i="3" s="1"/>
  <c r="BM168" i="3"/>
  <c r="BT168" i="3" s="1"/>
  <c r="P140" i="3"/>
  <c r="P135" i="3"/>
  <c r="AU135" i="3"/>
  <c r="AU140" i="3"/>
  <c r="BB140" i="3" s="1"/>
  <c r="AU114" i="3"/>
  <c r="BB114" i="3" s="1"/>
  <c r="BJ135" i="3"/>
  <c r="BJ140" i="3"/>
  <c r="AE63" i="3"/>
  <c r="AE65" i="3" s="1"/>
  <c r="BS63" i="3"/>
  <c r="BS65" i="3" s="1"/>
  <c r="BT74" i="3"/>
  <c r="BT80" i="3" s="1"/>
  <c r="AV80" i="3"/>
  <c r="AV97" i="3" s="1"/>
  <c r="BB79" i="3"/>
  <c r="D79" i="9" s="1"/>
  <c r="D80" i="9" s="1"/>
  <c r="D97" i="9" s="1"/>
  <c r="D70" i="9" s="1"/>
  <c r="BM80" i="3"/>
  <c r="BM97" i="3" s="1"/>
  <c r="K121" i="3"/>
  <c r="K132" i="3" s="1"/>
  <c r="R107" i="3"/>
  <c r="BY121" i="3"/>
  <c r="BY132" i="3" s="1"/>
  <c r="BD121" i="3"/>
  <c r="BD132" i="3" s="1"/>
  <c r="M133" i="3"/>
  <c r="BX118" i="3"/>
  <c r="AE121" i="3"/>
  <c r="AE132" i="3" s="1"/>
  <c r="BS133" i="3"/>
  <c r="Q133" i="3"/>
  <c r="Q141" i="3" s="1"/>
  <c r="Q142" i="3" s="1"/>
  <c r="BT3" i="3"/>
  <c r="BM146" i="3"/>
  <c r="BM144" i="3"/>
  <c r="BO183" i="3"/>
  <c r="BM149" i="3"/>
  <c r="BT149" i="3" s="1"/>
  <c r="BN157" i="3"/>
  <c r="BM150" i="3"/>
  <c r="BT150" i="3" s="1"/>
  <c r="BM160" i="3"/>
  <c r="BM148" i="3"/>
  <c r="BT148" i="3" s="1"/>
  <c r="BM153" i="3"/>
  <c r="BT153" i="3" s="1"/>
  <c r="BM147" i="3"/>
  <c r="BT147" i="3" s="1"/>
  <c r="AA22" i="3"/>
  <c r="B135" i="3"/>
  <c r="Q140" i="3"/>
  <c r="Q135" i="3"/>
  <c r="AG135" i="3"/>
  <c r="AG140" i="3"/>
  <c r="AV140" i="3"/>
  <c r="AV135" i="3"/>
  <c r="BE97" i="3"/>
  <c r="BN80" i="3"/>
  <c r="BN97" i="3" s="1"/>
  <c r="T121" i="3"/>
  <c r="T132" i="3" s="1"/>
  <c r="BZ121" i="3"/>
  <c r="BO132" i="3"/>
  <c r="BO134" i="3" s="1"/>
  <c r="AA129" i="3"/>
  <c r="F133" i="3"/>
  <c r="K135" i="3"/>
  <c r="BX170" i="3"/>
  <c r="V183" i="3"/>
  <c r="T148" i="3"/>
  <c r="AA148" i="3" s="1"/>
  <c r="T149" i="3"/>
  <c r="AA149" i="3" s="1"/>
  <c r="U157" i="3"/>
  <c r="T187" i="3"/>
  <c r="T160" i="3"/>
  <c r="T153" i="3"/>
  <c r="AA153" i="3" s="1"/>
  <c r="T147" i="3"/>
  <c r="AA147" i="3" s="1"/>
  <c r="T164" i="3"/>
  <c r="AA164" i="3" s="1"/>
  <c r="T150" i="3"/>
  <c r="AA150" i="3" s="1"/>
  <c r="V84" i="3"/>
  <c r="C140" i="3"/>
  <c r="C135" i="3"/>
  <c r="AH140" i="3"/>
  <c r="AH135" i="3"/>
  <c r="AW135" i="3"/>
  <c r="AW140" i="3"/>
  <c r="CB140" i="3"/>
  <c r="CB135" i="3"/>
  <c r="CB141" i="3" s="1"/>
  <c r="CB142" i="3" s="1"/>
  <c r="AU63" i="3"/>
  <c r="AU65" i="3" s="1"/>
  <c r="BO97" i="3"/>
  <c r="CC86" i="3"/>
  <c r="BZ118" i="3"/>
  <c r="O121" i="3"/>
  <c r="O132" i="3" s="1"/>
  <c r="AG132" i="3"/>
  <c r="BQ133" i="3"/>
  <c r="Y140" i="3"/>
  <c r="D135" i="3"/>
  <c r="BX135" i="3" s="1"/>
  <c r="D140" i="3"/>
  <c r="T135" i="3"/>
  <c r="T140" i="3"/>
  <c r="BV140" i="3" s="1"/>
  <c r="AA114" i="3"/>
  <c r="AI135" i="3"/>
  <c r="AI140" i="3"/>
  <c r="AY140" i="3"/>
  <c r="AY135" i="3"/>
  <c r="BN140" i="3"/>
  <c r="BN115" i="3"/>
  <c r="U65" i="3"/>
  <c r="AH63" i="3"/>
  <c r="AH65" i="3" s="1"/>
  <c r="AV65" i="3"/>
  <c r="BI65" i="3"/>
  <c r="C97" i="3"/>
  <c r="BV110" i="3"/>
  <c r="CC110" i="3" s="1"/>
  <c r="BV111" i="3"/>
  <c r="CC111" i="3" s="1"/>
  <c r="AJ118" i="3"/>
  <c r="AL121" i="3"/>
  <c r="AL132" i="3" s="1"/>
  <c r="BX131" i="3"/>
  <c r="AJ130" i="3"/>
  <c r="AJ131" i="3" s="1"/>
  <c r="AF131" i="3"/>
  <c r="AF132" i="3" s="1"/>
  <c r="AD154" i="3"/>
  <c r="F135" i="3"/>
  <c r="F140" i="3"/>
  <c r="U140" i="3"/>
  <c r="U135" i="3"/>
  <c r="AZ135" i="3"/>
  <c r="AZ140" i="3"/>
  <c r="BO140" i="3"/>
  <c r="AI63" i="3"/>
  <c r="AI65" i="3" s="1"/>
  <c r="AW63" i="3"/>
  <c r="AW65" i="3" s="1"/>
  <c r="BJ63" i="3"/>
  <c r="BJ65" i="3" s="1"/>
  <c r="AF97" i="3"/>
  <c r="CC87" i="3"/>
  <c r="BT103" i="3"/>
  <c r="AS118" i="3"/>
  <c r="BV119" i="3"/>
  <c r="CC119" i="3" s="1"/>
  <c r="I119" i="3"/>
  <c r="BY131" i="3"/>
  <c r="AA127" i="3"/>
  <c r="BW127" i="3"/>
  <c r="CC127" i="3" s="1"/>
  <c r="AS129" i="3"/>
  <c r="BT130" i="3"/>
  <c r="AH133" i="3"/>
  <c r="AD140" i="3"/>
  <c r="AJ140" i="3" s="1"/>
  <c r="G135" i="3"/>
  <c r="G140" i="3"/>
  <c r="V135" i="3"/>
  <c r="V140" i="3"/>
  <c r="AL140" i="3"/>
  <c r="AS114" i="3"/>
  <c r="BA140" i="3"/>
  <c r="BA135" i="3"/>
  <c r="BQ140" i="3"/>
  <c r="BQ135" i="3"/>
  <c r="BT135" i="3" s="1"/>
  <c r="W65" i="3"/>
  <c r="AX65" i="3"/>
  <c r="AX141" i="3" s="1"/>
  <c r="AX142" i="3" s="1"/>
  <c r="AX211" i="3" s="1"/>
  <c r="AX219" i="3" s="1"/>
  <c r="AX220" i="3" s="1"/>
  <c r="BY65" i="3"/>
  <c r="L80" i="3"/>
  <c r="L97" i="3" s="1"/>
  <c r="R79" i="3"/>
  <c r="BW79" i="3"/>
  <c r="CC79" i="3" s="1"/>
  <c r="D79" i="10" s="1"/>
  <c r="BT90" i="3"/>
  <c r="BV96" i="3"/>
  <c r="AR133" i="3"/>
  <c r="I130" i="3"/>
  <c r="BV130" i="3"/>
  <c r="AI133" i="3"/>
  <c r="BV76" i="3"/>
  <c r="CC76" i="3" s="1"/>
  <c r="D76" i="10" s="1"/>
  <c r="AA131" i="3"/>
  <c r="CA131" i="3"/>
  <c r="BW130" i="3"/>
  <c r="I151" i="3"/>
  <c r="BV151" i="3"/>
  <c r="CC151" i="3" s="1"/>
  <c r="D151" i="10" s="1"/>
  <c r="D154" i="10" s="1"/>
  <c r="BK151" i="3"/>
  <c r="D151" i="11" s="1"/>
  <c r="D154" i="11" s="1"/>
  <c r="BE154" i="3"/>
  <c r="AA124" i="3"/>
  <c r="BW124" i="3"/>
  <c r="CC124" i="3" s="1"/>
  <c r="BN131" i="3"/>
  <c r="BZ130" i="3"/>
  <c r="BZ131" i="3" s="1"/>
  <c r="AA130" i="3"/>
  <c r="U131" i="3"/>
  <c r="AJ145" i="3"/>
  <c r="CC189" i="3"/>
  <c r="R209" i="3"/>
  <c r="AV121" i="3"/>
  <c r="AV132" i="3" s="1"/>
  <c r="BX120" i="3"/>
  <c r="CC120" i="3" s="1"/>
  <c r="D120" i="10" s="1"/>
  <c r="BB131" i="3"/>
  <c r="BV128" i="3"/>
  <c r="CC128" i="3" s="1"/>
  <c r="K131" i="3"/>
  <c r="BT129" i="3"/>
  <c r="BT131" i="3" s="1"/>
  <c r="BK144" i="3"/>
  <c r="BW154" i="3"/>
  <c r="CA197" i="3"/>
  <c r="BK108" i="3"/>
  <c r="R128" i="3"/>
  <c r="R131" i="3" s="1"/>
  <c r="CC186" i="3"/>
  <c r="Y121" i="3"/>
  <c r="Y132" i="3" s="1"/>
  <c r="CA118" i="3"/>
  <c r="CA121" i="3" s="1"/>
  <c r="CA132" i="3" s="1"/>
  <c r="AJ151" i="3"/>
  <c r="R156" i="3"/>
  <c r="BY170" i="3"/>
  <c r="BA133" i="3"/>
  <c r="BA141" i="3" s="1"/>
  <c r="BA142" i="3" s="1"/>
  <c r="AJ94" i="3"/>
  <c r="AC96" i="3"/>
  <c r="AU121" i="3"/>
  <c r="AM131" i="3"/>
  <c r="B131" i="3"/>
  <c r="I129" i="3"/>
  <c r="AO142" i="3"/>
  <c r="AO211" i="3" s="1"/>
  <c r="AO219" i="3" s="1"/>
  <c r="AO220" i="3" s="1"/>
  <c r="BY154" i="3"/>
  <c r="BY197" i="3"/>
  <c r="BB209" i="3"/>
  <c r="AQ132" i="3"/>
  <c r="AA126" i="3"/>
  <c r="BW126" i="3"/>
  <c r="CC126" i="3" s="1"/>
  <c r="AS156" i="3"/>
  <c r="BZ197" i="3"/>
  <c r="CC172" i="3"/>
  <c r="AA209" i="3"/>
  <c r="AJ172" i="3"/>
  <c r="CC173" i="3"/>
  <c r="AJ209" i="3"/>
  <c r="CC205" i="3"/>
  <c r="CC162" i="3"/>
  <c r="D162" i="10" s="1"/>
  <c r="CC174" i="3"/>
  <c r="CC206" i="3"/>
  <c r="CC192" i="3"/>
  <c r="T209" i="3"/>
  <c r="BV204" i="3"/>
  <c r="CC204" i="3" s="1"/>
  <c r="K209" i="3"/>
  <c r="I173" i="3"/>
  <c r="BK200" i="3"/>
  <c r="BK209" i="3" s="1"/>
  <c r="I207" i="3"/>
  <c r="I209" i="3" s="1"/>
  <c r="I172" i="3"/>
  <c r="BR133" i="2"/>
  <c r="BS133" i="2"/>
  <c r="BT103" i="2"/>
  <c r="BM167" i="2"/>
  <c r="BT167" i="2" s="1"/>
  <c r="BM166" i="2"/>
  <c r="BT166" i="2" s="1"/>
  <c r="BT74" i="2"/>
  <c r="BT80" i="2" s="1"/>
  <c r="BM80" i="2"/>
  <c r="BM97" i="2" s="1"/>
  <c r="BM168" i="2"/>
  <c r="BT168" i="2" s="1"/>
  <c r="BQ133" i="2"/>
  <c r="BQ136" i="2"/>
  <c r="BQ134" i="2"/>
  <c r="BQ161" i="2"/>
  <c r="BP134" i="2"/>
  <c r="BP141" i="2" s="1"/>
  <c r="BM133" i="2"/>
  <c r="BO132" i="2"/>
  <c r="BM65" i="2"/>
  <c r="BT197" i="2"/>
  <c r="BR63" i="2"/>
  <c r="BR65" i="2" s="1"/>
  <c r="BQ103" i="2"/>
  <c r="BS63" i="2"/>
  <c r="BS65" i="2" s="1"/>
  <c r="BN121" i="2"/>
  <c r="BN132" i="2" s="1"/>
  <c r="BP131" i="2"/>
  <c r="BP132" i="2" s="1"/>
  <c r="BM148" i="2"/>
  <c r="BT148" i="2" s="1"/>
  <c r="BO84" i="2"/>
  <c r="BR140" i="2"/>
  <c r="BT140" i="2" s="1"/>
  <c r="BM149" i="2"/>
  <c r="BT149" i="2" s="1"/>
  <c r="BT129" i="2"/>
  <c r="BS140" i="2"/>
  <c r="BN170" i="2"/>
  <c r="BM150" i="2"/>
  <c r="BT150" i="2" s="1"/>
  <c r="BT3" i="2"/>
  <c r="BT121" i="2"/>
  <c r="BT183" i="2"/>
  <c r="BN63" i="2"/>
  <c r="BN65" i="2" s="1"/>
  <c r="BM146" i="2"/>
  <c r="BT146" i="2" s="1"/>
  <c r="BT154" i="2" s="1"/>
  <c r="BM160" i="2"/>
  <c r="BM147" i="2"/>
  <c r="BT147" i="2" s="1"/>
  <c r="BE121" i="2"/>
  <c r="BE132" i="2" s="1"/>
  <c r="BK115" i="2"/>
  <c r="BF133" i="2"/>
  <c r="BF136" i="2"/>
  <c r="BF134" i="2"/>
  <c r="BG133" i="2"/>
  <c r="BG141" i="2" s="1"/>
  <c r="BG142" i="2" s="1"/>
  <c r="BG211" i="2" s="1"/>
  <c r="BG219" i="2" s="1"/>
  <c r="BG220" i="2" s="1"/>
  <c r="BD121" i="2"/>
  <c r="BD132" i="2" s="1"/>
  <c r="BH133" i="2"/>
  <c r="BH141" i="2" s="1"/>
  <c r="BH142" i="2"/>
  <c r="BH211" i="2" s="1"/>
  <c r="BK209" i="2"/>
  <c r="BF197" i="2"/>
  <c r="BK182" i="2"/>
  <c r="BI133" i="2"/>
  <c r="BJ133" i="2"/>
  <c r="BD154" i="2"/>
  <c r="BK140" i="2"/>
  <c r="BD167" i="2"/>
  <c r="BK167" i="2" s="1"/>
  <c r="BK74" i="2"/>
  <c r="BK80" i="2" s="1"/>
  <c r="BD80" i="2"/>
  <c r="BD97" i="2" s="1"/>
  <c r="BD168" i="2"/>
  <c r="BK168" i="2" s="1"/>
  <c r="BD166" i="2"/>
  <c r="BK166" i="2" s="1"/>
  <c r="BI63" i="2"/>
  <c r="BI65" i="2" s="1"/>
  <c r="BH103" i="2"/>
  <c r="BH219" i="2" s="1"/>
  <c r="BH220" i="2" s="1"/>
  <c r="BJ63" i="2"/>
  <c r="BJ65" i="2" s="1"/>
  <c r="BF90" i="2"/>
  <c r="BF97" i="2" s="1"/>
  <c r="BF135" i="2"/>
  <c r="BF183" i="2"/>
  <c r="BK183" i="2" s="1"/>
  <c r="BD213" i="2"/>
  <c r="BK213" i="2" s="1"/>
  <c r="BI135" i="2"/>
  <c r="BK135" i="2" s="1"/>
  <c r="BJ135" i="2"/>
  <c r="BK160" i="2"/>
  <c r="BK109" i="2"/>
  <c r="BF140" i="2"/>
  <c r="BK147" i="2"/>
  <c r="BK154" i="2" s="1"/>
  <c r="BV109" i="2"/>
  <c r="CC109" i="2" s="1"/>
  <c r="BD148" i="2"/>
  <c r="BK148" i="2" s="1"/>
  <c r="BD187" i="2"/>
  <c r="BK3" i="2"/>
  <c r="BD63" i="2"/>
  <c r="BD65" i="2" s="1"/>
  <c r="BD149" i="2"/>
  <c r="BK149" i="2" s="1"/>
  <c r="BE63" i="2"/>
  <c r="BE65" i="2" s="1"/>
  <c r="BD114" i="2"/>
  <c r="BK114" i="2" s="1"/>
  <c r="BD150" i="2"/>
  <c r="BK150" i="2" s="1"/>
  <c r="BD164" i="2"/>
  <c r="BK164" i="2" s="1"/>
  <c r="BD209" i="2"/>
  <c r="BE157" i="2"/>
  <c r="AW136" i="2"/>
  <c r="AU154" i="2"/>
  <c r="AU168" i="2"/>
  <c r="BB168" i="2" s="1"/>
  <c r="AU167" i="2"/>
  <c r="BB167" i="2" s="1"/>
  <c r="AU196" i="2"/>
  <c r="BB196" i="2" s="1"/>
  <c r="AU166" i="2"/>
  <c r="BB166" i="2" s="1"/>
  <c r="BB74" i="2"/>
  <c r="BB80" i="2" s="1"/>
  <c r="AU80" i="2"/>
  <c r="AU97" i="2" s="1"/>
  <c r="AV136" i="2"/>
  <c r="AV134" i="2"/>
  <c r="AX134" i="2"/>
  <c r="AX141" i="2" s="1"/>
  <c r="AX142" i="2" s="1"/>
  <c r="AX211" i="2" s="1"/>
  <c r="AX219" i="2" s="1"/>
  <c r="AX220" i="2" s="1"/>
  <c r="AY133" i="2"/>
  <c r="BB131" i="2"/>
  <c r="AU121" i="2"/>
  <c r="AU132" i="2" s="1"/>
  <c r="AV133" i="2"/>
  <c r="AZ161" i="2"/>
  <c r="AZ134" i="2"/>
  <c r="AZ136" i="2"/>
  <c r="BB121" i="2"/>
  <c r="BA161" i="2"/>
  <c r="BA134" i="2"/>
  <c r="BA136" i="2"/>
  <c r="AZ133" i="2"/>
  <c r="AU136" i="2"/>
  <c r="BA133" i="2"/>
  <c r="BB3" i="2"/>
  <c r="BB157" i="2"/>
  <c r="AU114" i="2"/>
  <c r="BB114" i="2" s="1"/>
  <c r="AU137" i="2"/>
  <c r="BB137" i="2" s="1"/>
  <c r="AU158" i="2"/>
  <c r="AU164" i="2"/>
  <c r="BB164" i="2" s="1"/>
  <c r="AW183" i="2"/>
  <c r="AU131" i="2"/>
  <c r="AZ135" i="2"/>
  <c r="BB135" i="2" s="1"/>
  <c r="AU159" i="2"/>
  <c r="BB159" i="2" s="1"/>
  <c r="AY63" i="2"/>
  <c r="AY65" i="2" s="1"/>
  <c r="BA135" i="2"/>
  <c r="BB145" i="2"/>
  <c r="BB154" i="2" s="1"/>
  <c r="AW131" i="2"/>
  <c r="AW132" i="2" s="1"/>
  <c r="AU160" i="2"/>
  <c r="BB160" i="2" s="1"/>
  <c r="AU147" i="2"/>
  <c r="BB147" i="2" s="1"/>
  <c r="AU187" i="2"/>
  <c r="AW84" i="2"/>
  <c r="AQ132" i="2"/>
  <c r="AO65" i="2"/>
  <c r="AO134" i="2" s="1"/>
  <c r="AO141" i="2" s="1"/>
  <c r="AO142" i="2" s="1"/>
  <c r="AO211" i="2" s="1"/>
  <c r="AO219" i="2" s="1"/>
  <c r="AO220" i="2" s="1"/>
  <c r="AP65" i="2"/>
  <c r="AQ136" i="2"/>
  <c r="AQ161" i="2"/>
  <c r="AQ170" i="2" s="1"/>
  <c r="AQ134" i="2"/>
  <c r="AL132" i="2"/>
  <c r="AL166" i="2"/>
  <c r="AS166" i="2" s="1"/>
  <c r="AS74" i="2"/>
  <c r="AS80" i="2" s="1"/>
  <c r="AL196" i="2"/>
  <c r="AS196" i="2" s="1"/>
  <c r="AL167" i="2"/>
  <c r="AS167" i="2" s="1"/>
  <c r="AL80" i="2"/>
  <c r="AL97" i="2" s="1"/>
  <c r="AL168" i="2"/>
  <c r="AS168" i="2" s="1"/>
  <c r="AR65" i="2"/>
  <c r="AL160" i="2"/>
  <c r="AS160" i="2" s="1"/>
  <c r="AN183" i="2"/>
  <c r="AL164" i="2"/>
  <c r="AS164" i="2" s="1"/>
  <c r="AM157" i="2"/>
  <c r="AL150" i="2"/>
  <c r="AS150" i="2" s="1"/>
  <c r="AL149" i="2"/>
  <c r="AS149" i="2" s="1"/>
  <c r="AN84" i="2"/>
  <c r="AL187" i="2"/>
  <c r="AS187" i="2" s="1"/>
  <c r="AL148" i="2"/>
  <c r="AS148" i="2" s="1"/>
  <c r="AL153" i="2"/>
  <c r="AS153" i="2" s="1"/>
  <c r="AL147" i="2"/>
  <c r="AN133" i="2"/>
  <c r="AR133" i="2"/>
  <c r="AS103" i="2"/>
  <c r="AM136" i="2"/>
  <c r="AP133" i="2"/>
  <c r="AN134" i="2"/>
  <c r="AN136" i="2"/>
  <c r="AM140" i="2"/>
  <c r="AS140" i="2" s="1"/>
  <c r="AS107" i="2"/>
  <c r="AN140" i="2"/>
  <c r="AM115" i="2"/>
  <c r="CC46" i="2"/>
  <c r="AS3" i="2"/>
  <c r="AS22" i="2"/>
  <c r="AP140" i="2"/>
  <c r="AM154" i="2"/>
  <c r="AS118" i="2"/>
  <c r="AS129" i="2"/>
  <c r="AS125" i="2"/>
  <c r="AS131" i="2" s="1"/>
  <c r="AQ140" i="2"/>
  <c r="AL197" i="2"/>
  <c r="AS4" i="2"/>
  <c r="AS17" i="2" s="1"/>
  <c r="AL135" i="2"/>
  <c r="AR140" i="2"/>
  <c r="AM135" i="2"/>
  <c r="AN135" i="2"/>
  <c r="AS203" i="2"/>
  <c r="AS209" i="2" s="1"/>
  <c r="AL63" i="2"/>
  <c r="AL65" i="2" s="1"/>
  <c r="AC133" i="2"/>
  <c r="AD132" i="2"/>
  <c r="AF141" i="2"/>
  <c r="AJ68" i="2"/>
  <c r="AJ121" i="2"/>
  <c r="AJ132" i="2" s="1"/>
  <c r="AJ69" i="2" s="1"/>
  <c r="AH132" i="2"/>
  <c r="AI133" i="2"/>
  <c r="AJ135" i="2"/>
  <c r="AC134" i="2"/>
  <c r="AC136" i="2"/>
  <c r="AC166" i="2"/>
  <c r="AJ166" i="2" s="1"/>
  <c r="AC168" i="2"/>
  <c r="AJ168" i="2" s="1"/>
  <c r="AJ74" i="2"/>
  <c r="AJ80" i="2" s="1"/>
  <c r="AC196" i="2"/>
  <c r="AJ196" i="2" s="1"/>
  <c r="AC167" i="2"/>
  <c r="AJ167" i="2" s="1"/>
  <c r="AD65" i="2"/>
  <c r="AF219" i="2"/>
  <c r="AF220" i="2" s="1"/>
  <c r="AJ131" i="2"/>
  <c r="AH136" i="2"/>
  <c r="AH161" i="2"/>
  <c r="AH170" i="2" s="1"/>
  <c r="AH134" i="2"/>
  <c r="AE133" i="2"/>
  <c r="AF142" i="2"/>
  <c r="AF211" i="2" s="1"/>
  <c r="AE197" i="2"/>
  <c r="AJ183" i="2"/>
  <c r="AG133" i="2"/>
  <c r="BX80" i="2"/>
  <c r="AE63" i="2"/>
  <c r="AE65" i="2" s="1"/>
  <c r="AJ100" i="2"/>
  <c r="AJ103" i="2" s="1"/>
  <c r="AF140" i="2"/>
  <c r="AJ140" i="2" s="1"/>
  <c r="AJ173" i="2"/>
  <c r="AJ197" i="2" s="1"/>
  <c r="AJ203" i="2"/>
  <c r="AJ209" i="2" s="1"/>
  <c r="BV203" i="2"/>
  <c r="CC203" i="2" s="1"/>
  <c r="AG140" i="2"/>
  <c r="AC148" i="2"/>
  <c r="AJ148" i="2" s="1"/>
  <c r="AC147" i="2"/>
  <c r="AJ147" i="2" s="1"/>
  <c r="AC153" i="2"/>
  <c r="AJ153" i="2" s="1"/>
  <c r="AC160" i="2"/>
  <c r="AJ160" i="2" s="1"/>
  <c r="AG63" i="2"/>
  <c r="AG65" i="2" s="1"/>
  <c r="AC76" i="2"/>
  <c r="AJ76" i="2" s="1"/>
  <c r="AD154" i="2"/>
  <c r="AC149" i="2"/>
  <c r="AJ149" i="2" s="1"/>
  <c r="AC187" i="2"/>
  <c r="AJ187" i="2" s="1"/>
  <c r="AI63" i="2"/>
  <c r="AI65" i="2" s="1"/>
  <c r="AD135" i="2"/>
  <c r="AC144" i="2"/>
  <c r="AC150" i="2"/>
  <c r="AJ150" i="2" s="1"/>
  <c r="AE84" i="2"/>
  <c r="AD157" i="2"/>
  <c r="AC164" i="2"/>
  <c r="AJ164" i="2" s="1"/>
  <c r="X136" i="2"/>
  <c r="X161" i="2"/>
  <c r="Y136" i="2"/>
  <c r="Y161" i="2"/>
  <c r="Y170" i="2" s="1"/>
  <c r="AA209" i="2"/>
  <c r="Z136" i="2"/>
  <c r="Z161" i="2"/>
  <c r="AA65" i="2"/>
  <c r="U136" i="2"/>
  <c r="V136" i="2"/>
  <c r="W136" i="2"/>
  <c r="W134" i="2"/>
  <c r="T74" i="2"/>
  <c r="AA3" i="2"/>
  <c r="AA17" i="2"/>
  <c r="T136" i="2"/>
  <c r="U121" i="2"/>
  <c r="AA115" i="2"/>
  <c r="AA6" i="2"/>
  <c r="T17" i="2"/>
  <c r="T114" i="2"/>
  <c r="BY135" i="2"/>
  <c r="T76" i="2"/>
  <c r="AA76" i="2" s="1"/>
  <c r="T131" i="2"/>
  <c r="Z135" i="2"/>
  <c r="AA204" i="2"/>
  <c r="AA130" i="2"/>
  <c r="AA131" i="2" s="1"/>
  <c r="U131" i="2"/>
  <c r="T140" i="2"/>
  <c r="AA140" i="2" s="1"/>
  <c r="CC21" i="2"/>
  <c r="V131" i="2"/>
  <c r="V132" i="2" s="1"/>
  <c r="CC20" i="2"/>
  <c r="X131" i="2"/>
  <c r="X132" i="2" s="1"/>
  <c r="Y131" i="2"/>
  <c r="Y132" i="2" s="1"/>
  <c r="Z131" i="2"/>
  <c r="Z132" i="2" s="1"/>
  <c r="T135" i="2"/>
  <c r="AA135" i="2" s="1"/>
  <c r="P133" i="2"/>
  <c r="Q136" i="2"/>
  <c r="Q134" i="2"/>
  <c r="Q161" i="2"/>
  <c r="Q133" i="2"/>
  <c r="M133" i="2"/>
  <c r="M136" i="2"/>
  <c r="M134" i="2"/>
  <c r="R131" i="2"/>
  <c r="R3" i="2"/>
  <c r="K74" i="2"/>
  <c r="O132" i="2"/>
  <c r="R79" i="2"/>
  <c r="CC32" i="2"/>
  <c r="K63" i="2"/>
  <c r="K65" i="2" s="1"/>
  <c r="Q135" i="2"/>
  <c r="R135" i="2" s="1"/>
  <c r="K140" i="2"/>
  <c r="R204" i="2"/>
  <c r="R209" i="2" s="1"/>
  <c r="K17" i="2"/>
  <c r="L63" i="2"/>
  <c r="L65" i="2" s="1"/>
  <c r="K131" i="2"/>
  <c r="L140" i="2"/>
  <c r="R4" i="2"/>
  <c r="R17" i="2" s="1"/>
  <c r="L131" i="2"/>
  <c r="M140" i="2"/>
  <c r="BX140" i="2" s="1"/>
  <c r="CC87" i="2"/>
  <c r="CC14" i="2"/>
  <c r="CC102" i="2"/>
  <c r="K114" i="2"/>
  <c r="BV4" i="2"/>
  <c r="CC4" i="2" s="1"/>
  <c r="BZ80" i="2"/>
  <c r="O63" i="2"/>
  <c r="O65" i="2" s="1"/>
  <c r="K76" i="2"/>
  <c r="R76" i="2" s="1"/>
  <c r="R156" i="2"/>
  <c r="CC193" i="2"/>
  <c r="CC205" i="2"/>
  <c r="CC44" i="2"/>
  <c r="BX103" i="2"/>
  <c r="CC124" i="2"/>
  <c r="P63" i="2"/>
  <c r="P65" i="2" s="1"/>
  <c r="L115" i="2"/>
  <c r="CC88" i="2"/>
  <c r="CC51" i="2"/>
  <c r="CC176" i="2"/>
  <c r="CC27" i="2"/>
  <c r="CC30" i="2"/>
  <c r="CC116" i="2"/>
  <c r="CC29" i="2"/>
  <c r="CC139" i="2"/>
  <c r="CA154" i="2"/>
  <c r="CC201" i="2"/>
  <c r="CC9" i="2"/>
  <c r="I3" i="2"/>
  <c r="B74" i="2"/>
  <c r="I65" i="2"/>
  <c r="G136" i="2"/>
  <c r="G161" i="2"/>
  <c r="G170" i="2" s="1"/>
  <c r="G134" i="2"/>
  <c r="D132" i="2"/>
  <c r="D134" i="2" s="1"/>
  <c r="H136" i="2"/>
  <c r="H134" i="2"/>
  <c r="H161" i="2"/>
  <c r="E133" i="2"/>
  <c r="F133" i="2"/>
  <c r="B136" i="2"/>
  <c r="C65" i="2"/>
  <c r="I209" i="2"/>
  <c r="D136" i="2"/>
  <c r="G133" i="2"/>
  <c r="E134" i="2"/>
  <c r="H133" i="2"/>
  <c r="F161" i="2"/>
  <c r="F134" i="2"/>
  <c r="I135" i="2"/>
  <c r="CC10" i="2"/>
  <c r="CC101" i="2"/>
  <c r="CC165" i="2"/>
  <c r="BW197" i="2"/>
  <c r="CC186" i="2"/>
  <c r="CC214" i="2"/>
  <c r="B140" i="2"/>
  <c r="CC12" i="2"/>
  <c r="CC41" i="2"/>
  <c r="CC50" i="2"/>
  <c r="BZ90" i="2"/>
  <c r="CC215" i="2"/>
  <c r="H135" i="2"/>
  <c r="C140" i="2"/>
  <c r="I173" i="2"/>
  <c r="CC15" i="2"/>
  <c r="CC39" i="2"/>
  <c r="BW61" i="2"/>
  <c r="BW64" i="2" s="1"/>
  <c r="CC174" i="2"/>
  <c r="CC175" i="2"/>
  <c r="I7" i="2"/>
  <c r="I17" i="2" s="1"/>
  <c r="B17" i="2"/>
  <c r="B114" i="2"/>
  <c r="I114" i="2" s="1"/>
  <c r="CC128" i="2"/>
  <c r="CC216" i="2"/>
  <c r="BW17" i="2"/>
  <c r="BV7" i="2"/>
  <c r="CC7" i="2" s="1"/>
  <c r="CC43" i="2"/>
  <c r="CC95" i="2"/>
  <c r="CC181" i="2"/>
  <c r="BW209" i="2"/>
  <c r="CC16" i="2"/>
  <c r="CC54" i="2"/>
  <c r="CC82" i="2"/>
  <c r="CC163" i="2"/>
  <c r="CC188" i="2"/>
  <c r="BX209" i="2"/>
  <c r="C115" i="2"/>
  <c r="I207" i="2"/>
  <c r="CC6" i="2"/>
  <c r="CC28" i="2"/>
  <c r="CC31" i="2"/>
  <c r="CC42" i="2"/>
  <c r="CC55" i="2"/>
  <c r="CA80" i="2"/>
  <c r="CC78" i="2"/>
  <c r="CC152" i="2"/>
  <c r="CC190" i="2"/>
  <c r="CC23" i="2"/>
  <c r="CC33" i="2"/>
  <c r="BV173" i="2"/>
  <c r="CC173" i="2" s="1"/>
  <c r="CC191" i="2"/>
  <c r="I9" i="2"/>
  <c r="CC22" i="2"/>
  <c r="CC34" i="2"/>
  <c r="CC48" i="2"/>
  <c r="CC192" i="2"/>
  <c r="CC49" i="2"/>
  <c r="CC58" i="2"/>
  <c r="CC60" i="2"/>
  <c r="CC177" i="2"/>
  <c r="CC47" i="2"/>
  <c r="CC59" i="2"/>
  <c r="CC86" i="2"/>
  <c r="BW96" i="2"/>
  <c r="BY103" i="2"/>
  <c r="CC189" i="2"/>
  <c r="BV5" i="2"/>
  <c r="BV103" i="2"/>
  <c r="BW79" i="2"/>
  <c r="CC79" i="2" s="1"/>
  <c r="CC8" i="2"/>
  <c r="BV11" i="2"/>
  <c r="CC11" i="2" s="1"/>
  <c r="CC53" i="2"/>
  <c r="BV77" i="2"/>
  <c r="CC77" i="2" s="1"/>
  <c r="BX17" i="2"/>
  <c r="BX36" i="2"/>
  <c r="BX63" i="2" s="1"/>
  <c r="BZ61" i="2"/>
  <c r="BZ64" i="2" s="1"/>
  <c r="BV118" i="2"/>
  <c r="BV129" i="2"/>
  <c r="CC129" i="2" s="1"/>
  <c r="BZ17" i="2"/>
  <c r="BV13" i="2"/>
  <c r="CC13" i="2" s="1"/>
  <c r="CA17" i="2"/>
  <c r="BY61" i="2"/>
  <c r="BY64" i="2" s="1"/>
  <c r="BY65" i="2" s="1"/>
  <c r="CA36" i="2"/>
  <c r="CA63" i="2" s="1"/>
  <c r="CC52" i="2"/>
  <c r="CC57" i="2"/>
  <c r="CA90" i="2"/>
  <c r="BZ100" i="2"/>
  <c r="BZ103" i="2" s="1"/>
  <c r="CC123" i="2"/>
  <c r="BZ130" i="2"/>
  <c r="BZ131" i="2" s="1"/>
  <c r="BV61" i="2"/>
  <c r="BV64" i="2" s="1"/>
  <c r="CA100" i="2"/>
  <c r="CA103" i="2" s="1"/>
  <c r="CA118" i="2"/>
  <c r="CA121" i="2" s="1"/>
  <c r="CC24" i="2"/>
  <c r="CC35" i="2"/>
  <c r="BX61" i="2"/>
  <c r="BX64" i="2" s="1"/>
  <c r="CA61" i="2"/>
  <c r="CA64" i="2" s="1"/>
  <c r="CC110" i="2"/>
  <c r="BV108" i="2"/>
  <c r="CC108" i="2" s="1"/>
  <c r="BY118" i="2"/>
  <c r="BY121" i="2" s="1"/>
  <c r="CC40" i="2"/>
  <c r="CC45" i="2"/>
  <c r="CB63" i="2"/>
  <c r="CB65" i="2" s="1"/>
  <c r="BV94" i="2"/>
  <c r="CC94" i="2" s="1"/>
  <c r="CC99" i="2"/>
  <c r="BX154" i="2"/>
  <c r="BV36" i="2"/>
  <c r="BV63" i="2" s="1"/>
  <c r="BX96" i="2"/>
  <c r="BW36" i="2"/>
  <c r="BW63" i="2" s="1"/>
  <c r="BW90" i="2"/>
  <c r="BV113" i="2"/>
  <c r="CC113" i="2" s="1"/>
  <c r="BX120" i="2"/>
  <c r="CC120" i="2" s="1"/>
  <c r="C120" i="10" s="1"/>
  <c r="BV75" i="2"/>
  <c r="CC75" i="2" s="1"/>
  <c r="BV117" i="2"/>
  <c r="CC117" i="2" s="1"/>
  <c r="CC56" i="2"/>
  <c r="CC126" i="2"/>
  <c r="BZ36" i="2"/>
  <c r="BZ63" i="2" s="1"/>
  <c r="CC92" i="2"/>
  <c r="BV107" i="2"/>
  <c r="BV112" i="2"/>
  <c r="CC112" i="2" s="1"/>
  <c r="BW125" i="2"/>
  <c r="CC125" i="2" s="1"/>
  <c r="BV172" i="2"/>
  <c r="BX118" i="2"/>
  <c r="BX130" i="2"/>
  <c r="BX131" i="2" s="1"/>
  <c r="BY130" i="2"/>
  <c r="BY131" i="2" s="1"/>
  <c r="CC162" i="2"/>
  <c r="BV207" i="2"/>
  <c r="CC207" i="2" s="1"/>
  <c r="BW103" i="2"/>
  <c r="BV90" i="2"/>
  <c r="CC85" i="2"/>
  <c r="BV111" i="2"/>
  <c r="CC111" i="2" s="1"/>
  <c r="CC194" i="2"/>
  <c r="BW127" i="2"/>
  <c r="CC127" i="2" s="1"/>
  <c r="BV119" i="2"/>
  <c r="CC119" i="2" s="1"/>
  <c r="CC138" i="2"/>
  <c r="BY154" i="2"/>
  <c r="BW151" i="2"/>
  <c r="BW154" i="2" s="1"/>
  <c r="CA197" i="2"/>
  <c r="BV208" i="2"/>
  <c r="CC208" i="2" s="1"/>
  <c r="CB132" i="2"/>
  <c r="BV158" i="2"/>
  <c r="CC158" i="2" s="1"/>
  <c r="CC195" i="2"/>
  <c r="BZ197" i="2"/>
  <c r="CC199" i="2"/>
  <c r="BV130" i="2"/>
  <c r="CC179" i="2"/>
  <c r="CC217" i="2"/>
  <c r="BZ118" i="2"/>
  <c r="BZ121" i="2" s="1"/>
  <c r="BW130" i="2"/>
  <c r="CC169" i="2"/>
  <c r="BV156" i="2"/>
  <c r="BY170" i="2"/>
  <c r="CC180" i="2"/>
  <c r="CA130" i="2"/>
  <c r="CA131" i="2" s="1"/>
  <c r="BY197" i="2"/>
  <c r="BZ154" i="2"/>
  <c r="CC184" i="2"/>
  <c r="BY209" i="2"/>
  <c r="BV202" i="2"/>
  <c r="CC202" i="2" s="1"/>
  <c r="BZ209" i="2"/>
  <c r="CC185" i="2"/>
  <c r="CA209" i="2"/>
  <c r="CC206" i="2"/>
  <c r="BV151" i="2"/>
  <c r="BV204" i="2"/>
  <c r="CC204" i="2" s="1"/>
  <c r="BV200" i="2"/>
  <c r="CC200" i="2" s="1"/>
  <c r="BF183" i="1"/>
  <c r="BK183" i="1" s="1"/>
  <c r="AG63" i="1"/>
  <c r="AR140" i="1"/>
  <c r="BD164" i="1"/>
  <c r="BK164" i="1" s="1"/>
  <c r="BN140" i="1"/>
  <c r="CC11" i="1"/>
  <c r="CC205" i="1"/>
  <c r="CC215" i="1"/>
  <c r="AC76" i="1"/>
  <c r="AJ76" i="1" s="1"/>
  <c r="BB118" i="1"/>
  <c r="AZ132" i="1"/>
  <c r="AZ133" i="1" s="1"/>
  <c r="BK17" i="1"/>
  <c r="BK61" i="1"/>
  <c r="BK64" i="1" s="1"/>
  <c r="BD209" i="1"/>
  <c r="BT118" i="1"/>
  <c r="CC185" i="1"/>
  <c r="M63" i="1"/>
  <c r="K76" i="1"/>
  <c r="R76" i="1" s="1"/>
  <c r="CC127" i="1"/>
  <c r="CC138" i="1"/>
  <c r="K209" i="1"/>
  <c r="BB209" i="1"/>
  <c r="CC21" i="1"/>
  <c r="BX36" i="1"/>
  <c r="BX63" i="1" s="1"/>
  <c r="CA154" i="1"/>
  <c r="BY170" i="1"/>
  <c r="AV97" i="1"/>
  <c r="AY135" i="1"/>
  <c r="BH132" i="1"/>
  <c r="BH133" i="1" s="1"/>
  <c r="BH141" i="1" s="1"/>
  <c r="BH142" i="1" s="1"/>
  <c r="BH211" i="1" s="1"/>
  <c r="BH219" i="1" s="1"/>
  <c r="BH220" i="1" s="1"/>
  <c r="BZ17" i="1"/>
  <c r="CC23" i="1"/>
  <c r="B23" i="10" s="1"/>
  <c r="CA80" i="1"/>
  <c r="CC176" i="1"/>
  <c r="BV202" i="1"/>
  <c r="CC202" i="1" s="1"/>
  <c r="AI132" i="1"/>
  <c r="X132" i="1"/>
  <c r="X133" i="1" s="1"/>
  <c r="Y132" i="1"/>
  <c r="AQ97" i="1"/>
  <c r="BI132" i="1"/>
  <c r="BV36" i="1"/>
  <c r="CC55" i="1"/>
  <c r="CC43" i="1"/>
  <c r="BV113" i="1"/>
  <c r="CC180" i="1"/>
  <c r="CC175" i="1"/>
  <c r="AF97" i="1"/>
  <c r="AJ103" i="1"/>
  <c r="AN121" i="1"/>
  <c r="BJ132" i="1"/>
  <c r="BN131" i="1"/>
  <c r="CC9" i="1"/>
  <c r="CC30" i="1"/>
  <c r="BY103" i="1"/>
  <c r="BX103" i="1"/>
  <c r="BX154" i="1"/>
  <c r="CC206" i="1"/>
  <c r="AC209" i="1"/>
  <c r="AL131" i="1"/>
  <c r="AV63" i="1"/>
  <c r="AV65" i="1" s="1"/>
  <c r="AV136" i="1" s="1"/>
  <c r="BB130" i="1"/>
  <c r="AV140" i="1"/>
  <c r="BQ63" i="1"/>
  <c r="CC28" i="1"/>
  <c r="CC54" i="1"/>
  <c r="CC52" i="1"/>
  <c r="CC46" i="1"/>
  <c r="CC42" i="1"/>
  <c r="CC40" i="1"/>
  <c r="CC186" i="1"/>
  <c r="CC184" i="1"/>
  <c r="AA36" i="1"/>
  <c r="AA63" i="1" s="1"/>
  <c r="V121" i="1"/>
  <c r="V132" i="1" s="1"/>
  <c r="AH140" i="1"/>
  <c r="AH132" i="1"/>
  <c r="AS129" i="1"/>
  <c r="AS151" i="1"/>
  <c r="BS63" i="1"/>
  <c r="BS65" i="1" s="1"/>
  <c r="CC24" i="1"/>
  <c r="BV103" i="1"/>
  <c r="CC190" i="1"/>
  <c r="Z132" i="1"/>
  <c r="Z133" i="1" s="1"/>
  <c r="AW132" i="1"/>
  <c r="AW133" i="1" s="1"/>
  <c r="BF132" i="1"/>
  <c r="BP132" i="1"/>
  <c r="BP134" i="1" s="1"/>
  <c r="BP141" i="1" s="1"/>
  <c r="O135" i="1"/>
  <c r="AA61" i="1"/>
  <c r="AA64" i="1" s="1"/>
  <c r="U97" i="1"/>
  <c r="AN132" i="1"/>
  <c r="BB36" i="1"/>
  <c r="BB63" i="1" s="1"/>
  <c r="BB79" i="1"/>
  <c r="AW140" i="1"/>
  <c r="BK36" i="1"/>
  <c r="BK63" i="1" s="1"/>
  <c r="BR135" i="1"/>
  <c r="BT209" i="1"/>
  <c r="BV7" i="1"/>
  <c r="CC7" i="1" s="1"/>
  <c r="CC15" i="1"/>
  <c r="CC33" i="1"/>
  <c r="BW36" i="1"/>
  <c r="CC88" i="1"/>
  <c r="BW90" i="1"/>
  <c r="CC94" i="1"/>
  <c r="B94" i="10" s="1"/>
  <c r="B96" i="10" s="1"/>
  <c r="B97" i="10" s="1"/>
  <c r="B70" i="10" s="1"/>
  <c r="BQ65" i="1"/>
  <c r="BQ161" i="1" s="1"/>
  <c r="AD97" i="1"/>
  <c r="AS100" i="1"/>
  <c r="AS103" i="1" s="1"/>
  <c r="CC41" i="1"/>
  <c r="CC152" i="1"/>
  <c r="AA130" i="1"/>
  <c r="AH97" i="1"/>
  <c r="AG103" i="1"/>
  <c r="AS118" i="1"/>
  <c r="AW63" i="1"/>
  <c r="AW65" i="1" s="1"/>
  <c r="BK130" i="1"/>
  <c r="BH140" i="1"/>
  <c r="BT151" i="1"/>
  <c r="BV4" i="1"/>
  <c r="CC5" i="1"/>
  <c r="CA36" i="1"/>
  <c r="CA63" i="1" s="1"/>
  <c r="CA65" i="1" s="1"/>
  <c r="CA90" i="1"/>
  <c r="CA118" i="1"/>
  <c r="CA121" i="1" s="1"/>
  <c r="CC163" i="1"/>
  <c r="CA197" i="1"/>
  <c r="BV199" i="1"/>
  <c r="CC31" i="1"/>
  <c r="CC57" i="1"/>
  <c r="CC162" i="1"/>
  <c r="CC217" i="1"/>
  <c r="R151" i="1"/>
  <c r="AA11" i="1"/>
  <c r="AA100" i="1"/>
  <c r="AA103" i="1" s="1"/>
  <c r="AG140" i="1"/>
  <c r="AJ118" i="1"/>
  <c r="AC145" i="1"/>
  <c r="AS61" i="1"/>
  <c r="AS64" i="1" s="1"/>
  <c r="AX65" i="1"/>
  <c r="BB100" i="1"/>
  <c r="BB103" i="1" s="1"/>
  <c r="BH97" i="1"/>
  <c r="BI140" i="1"/>
  <c r="BD150" i="1"/>
  <c r="BK150" i="1" s="1"/>
  <c r="BT61" i="1"/>
  <c r="BT64" i="1" s="1"/>
  <c r="BO132" i="1"/>
  <c r="CC58" i="1"/>
  <c r="CC169" i="1"/>
  <c r="CC165" i="1"/>
  <c r="B165" i="10" s="1"/>
  <c r="B170" i="10" s="1"/>
  <c r="AA118" i="1"/>
  <c r="BB61" i="1"/>
  <c r="BB64" i="1" s="1"/>
  <c r="BT17" i="1"/>
  <c r="CC78" i="1"/>
  <c r="CC113" i="1"/>
  <c r="L140" i="1"/>
  <c r="V63" i="1"/>
  <c r="V65" i="1" s="1"/>
  <c r="AJ61" i="1"/>
  <c r="AJ64" i="1" s="1"/>
  <c r="AJ130" i="1"/>
  <c r="AS36" i="1"/>
  <c r="AS63" i="1" s="1"/>
  <c r="AS65" i="1" s="1"/>
  <c r="AM131" i="1"/>
  <c r="AY63" i="1"/>
  <c r="AY65" i="1" s="1"/>
  <c r="AY136" i="1" s="1"/>
  <c r="BB151" i="1"/>
  <c r="BG65" i="1"/>
  <c r="BI97" i="1"/>
  <c r="BP131" i="1"/>
  <c r="CC188" i="1"/>
  <c r="BY197" i="1"/>
  <c r="BY209" i="1"/>
  <c r="CC53" i="1"/>
  <c r="AC17" i="1"/>
  <c r="AC149" i="1" s="1"/>
  <c r="AJ149" i="1" s="1"/>
  <c r="AJ36" i="1"/>
  <c r="AJ63" i="1" s="1"/>
  <c r="AJ65" i="1" s="1"/>
  <c r="AD131" i="1"/>
  <c r="AF140" i="1"/>
  <c r="AM135" i="1"/>
  <c r="BB17" i="1"/>
  <c r="BB131" i="1"/>
  <c r="BV14" i="1"/>
  <c r="CC139" i="1"/>
  <c r="O65" i="1"/>
  <c r="O136" i="1" s="1"/>
  <c r="L115" i="1"/>
  <c r="R115" i="1" s="1"/>
  <c r="T17" i="1"/>
  <c r="T187" i="1" s="1"/>
  <c r="AA187" i="1" s="1"/>
  <c r="X63" i="1"/>
  <c r="X65" i="1" s="1"/>
  <c r="U131" i="1"/>
  <c r="X140" i="1"/>
  <c r="V140" i="1"/>
  <c r="W211" i="1"/>
  <c r="W219" i="1" s="1"/>
  <c r="W220" i="1" s="1"/>
  <c r="AJ11" i="1"/>
  <c r="AJ17" i="1" s="1"/>
  <c r="AF132" i="1"/>
  <c r="AO65" i="1"/>
  <c r="AN135" i="1"/>
  <c r="AU131" i="1"/>
  <c r="AZ135" i="1"/>
  <c r="BI63" i="1"/>
  <c r="BI65" i="1" s="1"/>
  <c r="BD74" i="1"/>
  <c r="BD80" i="1" s="1"/>
  <c r="BD97" i="1" s="1"/>
  <c r="BK118" i="1"/>
  <c r="BF131" i="1"/>
  <c r="BM121" i="1"/>
  <c r="CB135" i="1"/>
  <c r="BV13" i="1"/>
  <c r="BW126" i="1"/>
  <c r="CC126" i="1" s="1"/>
  <c r="BW124" i="1"/>
  <c r="CC124" i="1" s="1"/>
  <c r="BV6" i="1"/>
  <c r="BV3" i="1" s="1"/>
  <c r="CC3" i="1" s="1"/>
  <c r="CC35" i="1"/>
  <c r="AC63" i="1"/>
  <c r="AC65" i="1" s="1"/>
  <c r="AG132" i="1"/>
  <c r="BA135" i="1"/>
  <c r="BT36" i="1"/>
  <c r="BT63" i="1" s="1"/>
  <c r="BT79" i="1"/>
  <c r="BT111" i="1"/>
  <c r="BS132" i="1"/>
  <c r="BV12" i="1"/>
  <c r="CC12" i="1" s="1"/>
  <c r="CC16" i="1"/>
  <c r="BV77" i="1"/>
  <c r="CC77" i="1" s="1"/>
  <c r="BV112" i="1"/>
  <c r="CC112" i="1" s="1"/>
  <c r="BV110" i="1"/>
  <c r="CC110" i="1" s="1"/>
  <c r="BV128" i="1"/>
  <c r="CC128" i="1" s="1"/>
  <c r="BV203" i="1"/>
  <c r="CC203" i="1" s="1"/>
  <c r="BV201" i="1"/>
  <c r="CC201" i="1" s="1"/>
  <c r="CC45" i="1"/>
  <c r="Z140" i="1"/>
  <c r="AL17" i="1"/>
  <c r="AL160" i="1" s="1"/>
  <c r="AS160" i="1" s="1"/>
  <c r="AS209" i="1"/>
  <c r="BM63" i="1"/>
  <c r="BM65" i="1" s="1"/>
  <c r="BM136" i="1" s="1"/>
  <c r="BM131" i="1"/>
  <c r="BW17" i="1"/>
  <c r="CC6" i="1"/>
  <c r="CC20" i="1"/>
  <c r="CC39" i="1"/>
  <c r="CC99" i="1"/>
  <c r="CC125" i="1"/>
  <c r="AC121" i="1"/>
  <c r="AC132" i="1" s="1"/>
  <c r="AC133" i="1" s="1"/>
  <c r="Q140" i="1"/>
  <c r="AC140" i="1"/>
  <c r="AS4" i="1"/>
  <c r="AX131" i="1"/>
  <c r="AX132" i="1" s="1"/>
  <c r="BO63" i="1"/>
  <c r="BO65" i="1" s="1"/>
  <c r="BO136" i="1" s="1"/>
  <c r="CC59" i="1"/>
  <c r="CC49" i="1"/>
  <c r="CC47" i="1"/>
  <c r="BW123" i="1"/>
  <c r="CC123" i="1" s="1"/>
  <c r="CC195" i="1"/>
  <c r="CC193" i="1"/>
  <c r="CC191" i="1"/>
  <c r="CC189" i="1"/>
  <c r="CC181" i="1"/>
  <c r="CC179" i="1"/>
  <c r="BZ197" i="1"/>
  <c r="CC86" i="1"/>
  <c r="CC109" i="1"/>
  <c r="BV191" i="1"/>
  <c r="L63" i="1"/>
  <c r="L65" i="1" s="1"/>
  <c r="T209" i="1"/>
  <c r="AC96" i="1"/>
  <c r="AE132" i="1"/>
  <c r="AE133" i="1" s="1"/>
  <c r="AL3" i="1"/>
  <c r="AL74" i="1" s="1"/>
  <c r="AU140" i="1"/>
  <c r="BB140" i="1" s="1"/>
  <c r="BH103" i="1"/>
  <c r="BK129" i="1"/>
  <c r="BT100" i="1"/>
  <c r="BT103" i="1" s="1"/>
  <c r="BX17" i="1"/>
  <c r="CA17" i="1"/>
  <c r="BX80" i="1"/>
  <c r="BX96" i="1"/>
  <c r="BY154" i="1"/>
  <c r="CC174" i="1"/>
  <c r="BW197" i="1"/>
  <c r="CC101" i="1"/>
  <c r="BW96" i="1"/>
  <c r="CC92" i="1"/>
  <c r="BV90" i="1"/>
  <c r="CC82" i="1"/>
  <c r="BX61" i="1"/>
  <c r="BX64" i="1" s="1"/>
  <c r="BY61" i="1"/>
  <c r="BY64" i="1" s="1"/>
  <c r="BY65" i="1" s="1"/>
  <c r="BZ61" i="1"/>
  <c r="BZ64" i="1" s="1"/>
  <c r="CA61" i="1"/>
  <c r="CA64" i="1" s="1"/>
  <c r="CC51" i="1"/>
  <c r="BV61" i="1"/>
  <c r="BV64" i="1" s="1"/>
  <c r="BX65" i="1"/>
  <c r="CC29" i="1"/>
  <c r="CC36" i="1" s="1"/>
  <c r="CC63" i="1" s="1"/>
  <c r="BZ36" i="1"/>
  <c r="BZ63" i="1" s="1"/>
  <c r="BZ65" i="1" s="1"/>
  <c r="CC10" i="1"/>
  <c r="CC14" i="1"/>
  <c r="CC13" i="1"/>
  <c r="CC4" i="1"/>
  <c r="CB133" i="1"/>
  <c r="BW63" i="1"/>
  <c r="BW65" i="1" s="1"/>
  <c r="BV63" i="1"/>
  <c r="CB63" i="1"/>
  <c r="CB65" i="1" s="1"/>
  <c r="BS133" i="1"/>
  <c r="BM161" i="1"/>
  <c r="BV161" i="1" s="1"/>
  <c r="BO134" i="1"/>
  <c r="BT131" i="1"/>
  <c r="BQ136" i="1"/>
  <c r="BQ133" i="1"/>
  <c r="BR133" i="1"/>
  <c r="BN135" i="1"/>
  <c r="BM144" i="1"/>
  <c r="BN157" i="1"/>
  <c r="BM80" i="1"/>
  <c r="BM97" i="1" s="1"/>
  <c r="BO183" i="1"/>
  <c r="BN63" i="1"/>
  <c r="BN65" i="1" s="1"/>
  <c r="BT74" i="1"/>
  <c r="BQ135" i="1"/>
  <c r="BM146" i="1"/>
  <c r="BN115" i="1"/>
  <c r="BT130" i="1"/>
  <c r="BM160" i="1"/>
  <c r="BM166" i="1"/>
  <c r="BT166" i="1" s="1"/>
  <c r="BS135" i="1"/>
  <c r="BM147" i="1"/>
  <c r="BT147" i="1" s="1"/>
  <c r="BM153" i="1"/>
  <c r="BT153" i="1" s="1"/>
  <c r="BO140" i="1"/>
  <c r="BT140" i="1" s="1"/>
  <c r="BM167" i="1"/>
  <c r="BT167" i="1" s="1"/>
  <c r="BR63" i="1"/>
  <c r="BR65" i="1" s="1"/>
  <c r="BM148" i="1"/>
  <c r="BT148" i="1" s="1"/>
  <c r="BM149" i="1"/>
  <c r="BT149" i="1" s="1"/>
  <c r="BO84" i="1"/>
  <c r="BJ133" i="1"/>
  <c r="BK103" i="1"/>
  <c r="BH65" i="1"/>
  <c r="BK115" i="1"/>
  <c r="BE121" i="1"/>
  <c r="BE132" i="1" s="1"/>
  <c r="BI133" i="1"/>
  <c r="BK199" i="1"/>
  <c r="BK209" i="1" s="1"/>
  <c r="BJ63" i="1"/>
  <c r="BJ65" i="1" s="1"/>
  <c r="BK108" i="1"/>
  <c r="BJ140" i="1"/>
  <c r="BE157" i="1"/>
  <c r="BF182" i="1"/>
  <c r="BX182" i="1" s="1"/>
  <c r="CC182" i="1" s="1"/>
  <c r="BF83" i="1"/>
  <c r="BX83" i="1" s="1"/>
  <c r="CC83" i="1" s="1"/>
  <c r="BG131" i="1"/>
  <c r="BG132" i="1" s="1"/>
  <c r="BF84" i="1"/>
  <c r="BD135" i="1"/>
  <c r="BK151" i="1"/>
  <c r="BE135" i="1"/>
  <c r="BD160" i="1"/>
  <c r="BF135" i="1"/>
  <c r="BD147" i="1"/>
  <c r="BD153" i="1"/>
  <c r="BK153" i="1" s="1"/>
  <c r="BD213" i="1"/>
  <c r="BD63" i="1"/>
  <c r="BD65" i="1" s="1"/>
  <c r="BD114" i="1"/>
  <c r="BK114" i="1" s="1"/>
  <c r="BE63" i="1"/>
  <c r="BE65" i="1" s="1"/>
  <c r="BE140" i="1"/>
  <c r="BD148" i="1"/>
  <c r="BK148" i="1" s="1"/>
  <c r="BD178" i="1"/>
  <c r="BD187" i="1"/>
  <c r="BK187" i="1" s="1"/>
  <c r="BF63" i="1"/>
  <c r="BF65" i="1" s="1"/>
  <c r="BB183" i="1"/>
  <c r="AW197" i="1"/>
  <c r="AU136" i="1"/>
  <c r="AV133" i="1"/>
  <c r="AY133" i="1"/>
  <c r="AW136" i="1"/>
  <c r="AU166" i="1"/>
  <c r="BB166" i="1" s="1"/>
  <c r="BB74" i="1"/>
  <c r="BB80" i="1" s="1"/>
  <c r="AU80" i="1"/>
  <c r="AU97" i="1" s="1"/>
  <c r="AU196" i="1"/>
  <c r="BB196" i="1" s="1"/>
  <c r="AU167" i="1"/>
  <c r="BB167" i="1" s="1"/>
  <c r="AU168" i="1"/>
  <c r="BB168" i="1" s="1"/>
  <c r="AU160" i="1"/>
  <c r="BB160" i="1" s="1"/>
  <c r="AZ63" i="1"/>
  <c r="AZ65" i="1" s="1"/>
  <c r="AU148" i="1"/>
  <c r="BB148" i="1" s="1"/>
  <c r="AU187" i="1"/>
  <c r="BB187" i="1" s="1"/>
  <c r="BA63" i="1"/>
  <c r="BA65" i="1" s="1"/>
  <c r="AU178" i="1"/>
  <c r="AU147" i="1"/>
  <c r="AW84" i="1"/>
  <c r="AU135" i="1"/>
  <c r="AU149" i="1"/>
  <c r="BB149" i="1" s="1"/>
  <c r="BB156" i="1"/>
  <c r="AV157" i="1"/>
  <c r="BA133" i="1"/>
  <c r="AU137" i="1"/>
  <c r="AU158" i="1"/>
  <c r="AU164" i="1"/>
  <c r="BB164" i="1" s="1"/>
  <c r="AU114" i="1"/>
  <c r="BB3" i="1"/>
  <c r="AU159" i="1"/>
  <c r="AP132" i="1"/>
  <c r="AL178" i="1"/>
  <c r="AS178" i="1" s="1"/>
  <c r="AN84" i="1"/>
  <c r="AL187" i="1"/>
  <c r="AS187" i="1" s="1"/>
  <c r="AL149" i="1"/>
  <c r="AS149" i="1" s="1"/>
  <c r="AL148" i="1"/>
  <c r="AS148" i="1" s="1"/>
  <c r="AL153" i="1"/>
  <c r="AS153" i="1" s="1"/>
  <c r="AL147" i="1"/>
  <c r="AS147" i="1" s="1"/>
  <c r="AN183" i="1"/>
  <c r="AL164" i="1"/>
  <c r="AS164" i="1" s="1"/>
  <c r="AM157" i="1"/>
  <c r="AL150" i="1"/>
  <c r="AS150" i="1" s="1"/>
  <c r="AQ132" i="1"/>
  <c r="AS115" i="1"/>
  <c r="AM121" i="1"/>
  <c r="AR132" i="1"/>
  <c r="AN133" i="1"/>
  <c r="AS5" i="1"/>
  <c r="AS17" i="1" s="1"/>
  <c r="AS144" i="1"/>
  <c r="AM80" i="1"/>
  <c r="AM97" i="1" s="1"/>
  <c r="AS130" i="1"/>
  <c r="AS131" i="1" s="1"/>
  <c r="AP135" i="1"/>
  <c r="AL63" i="1"/>
  <c r="AL65" i="1" s="1"/>
  <c r="AS128" i="1"/>
  <c r="AQ135" i="1"/>
  <c r="AS172" i="1"/>
  <c r="AL209" i="1"/>
  <c r="AM63" i="1"/>
  <c r="AM65" i="1" s="1"/>
  <c r="AR135" i="1"/>
  <c r="AL140" i="1"/>
  <c r="AS140" i="1" s="1"/>
  <c r="AN63" i="1"/>
  <c r="AN65" i="1" s="1"/>
  <c r="AM140" i="1"/>
  <c r="AL114" i="1"/>
  <c r="AS114" i="1" s="1"/>
  <c r="AO131" i="1"/>
  <c r="AO132" i="1" s="1"/>
  <c r="AP63" i="1"/>
  <c r="AP65" i="1" s="1"/>
  <c r="AL76" i="1"/>
  <c r="AS76" i="1" s="1"/>
  <c r="AQ63" i="1"/>
  <c r="AQ65" i="1" s="1"/>
  <c r="AR63" i="1"/>
  <c r="AR65" i="1" s="1"/>
  <c r="AE183" i="1"/>
  <c r="AC147" i="1"/>
  <c r="AJ147" i="1" s="1"/>
  <c r="AC178" i="1"/>
  <c r="AJ178" i="1" s="1"/>
  <c r="AC150" i="1"/>
  <c r="AJ150" i="1" s="1"/>
  <c r="AC144" i="1"/>
  <c r="AD157" i="1"/>
  <c r="AG133" i="1"/>
  <c r="AF134" i="1"/>
  <c r="AG65" i="1"/>
  <c r="AH65" i="1"/>
  <c r="AH133" i="1"/>
  <c r="AI133" i="1"/>
  <c r="AJ131" i="1"/>
  <c r="AJ127" i="1"/>
  <c r="AJ207" i="1"/>
  <c r="AJ209" i="1" s="1"/>
  <c r="AC3" i="1"/>
  <c r="AI63" i="1"/>
  <c r="AI65" i="1" s="1"/>
  <c r="AI135" i="1"/>
  <c r="AJ135" i="1" s="1"/>
  <c r="AD140" i="1"/>
  <c r="AJ172" i="1"/>
  <c r="AJ79" i="1"/>
  <c r="AJ107" i="1"/>
  <c r="AE140" i="1"/>
  <c r="AD115" i="1"/>
  <c r="AD63" i="1"/>
  <c r="AD65" i="1" s="1"/>
  <c r="AE63" i="1"/>
  <c r="AE65" i="1" s="1"/>
  <c r="V133" i="1"/>
  <c r="Y133" i="1"/>
  <c r="V134" i="1"/>
  <c r="V136" i="1"/>
  <c r="W65" i="1"/>
  <c r="T164" i="1"/>
  <c r="AA164" i="1" s="1"/>
  <c r="U157" i="1"/>
  <c r="T150" i="1"/>
  <c r="AA150" i="1" s="1"/>
  <c r="AA107" i="1"/>
  <c r="AA123" i="1"/>
  <c r="AA207" i="1"/>
  <c r="AA209" i="1" s="1"/>
  <c r="T3" i="1"/>
  <c r="Y63" i="1"/>
  <c r="Y65" i="1" s="1"/>
  <c r="Z103" i="1"/>
  <c r="Z63" i="1"/>
  <c r="Z65" i="1" s="1"/>
  <c r="T135" i="1"/>
  <c r="AA135" i="1" s="1"/>
  <c r="Y140" i="1"/>
  <c r="AA79" i="1"/>
  <c r="U135" i="1"/>
  <c r="AA4" i="1"/>
  <c r="AA17" i="1" s="1"/>
  <c r="T114" i="1"/>
  <c r="AA114" i="1" s="1"/>
  <c r="T131" i="1"/>
  <c r="T63" i="1"/>
  <c r="T65" i="1" s="1"/>
  <c r="U63" i="1"/>
  <c r="U65" i="1" s="1"/>
  <c r="U115" i="1"/>
  <c r="O140" i="1"/>
  <c r="R61" i="1"/>
  <c r="R64" i="1" s="1"/>
  <c r="L97" i="1"/>
  <c r="Q131" i="1"/>
  <c r="Q132" i="1" s="1"/>
  <c r="N211" i="1"/>
  <c r="N219" i="1" s="1"/>
  <c r="N220" i="1" s="1"/>
  <c r="K135" i="1"/>
  <c r="K63" i="1"/>
  <c r="K114" i="1"/>
  <c r="R114" i="1" s="1"/>
  <c r="M135" i="1"/>
  <c r="M65" i="1"/>
  <c r="M136" i="1" s="1"/>
  <c r="R3" i="1"/>
  <c r="K74" i="1"/>
  <c r="L136" i="1"/>
  <c r="M121" i="1"/>
  <c r="M132" i="1" s="1"/>
  <c r="R118" i="1"/>
  <c r="O132" i="1"/>
  <c r="R100" i="1"/>
  <c r="R103" i="1" s="1"/>
  <c r="Q103" i="1"/>
  <c r="R36" i="1"/>
  <c r="R63" i="1" s="1"/>
  <c r="P132" i="1"/>
  <c r="P135" i="1"/>
  <c r="P63" i="1"/>
  <c r="P65" i="1" s="1"/>
  <c r="R207" i="1"/>
  <c r="R209" i="1" s="1"/>
  <c r="P140" i="1"/>
  <c r="R144" i="1"/>
  <c r="K17" i="1"/>
  <c r="R6" i="1"/>
  <c r="R17" i="1" s="1"/>
  <c r="K131" i="1"/>
  <c r="R130" i="1"/>
  <c r="K65" i="1"/>
  <c r="L131" i="1"/>
  <c r="O161" i="1"/>
  <c r="R172" i="1"/>
  <c r="R107" i="1"/>
  <c r="R125" i="1"/>
  <c r="Q63" i="1"/>
  <c r="Q65" i="1" s="1"/>
  <c r="B219" i="9" l="1"/>
  <c r="B236" i="9"/>
  <c r="I236" i="9" s="1"/>
  <c r="B234" i="9"/>
  <c r="I234" i="9" s="1"/>
  <c r="B232" i="9"/>
  <c r="I232" i="9" s="1"/>
  <c r="B230" i="9"/>
  <c r="I230" i="9" s="1"/>
  <c r="B228" i="9"/>
  <c r="I228" i="9" s="1"/>
  <c r="B225" i="9"/>
  <c r="B227" i="9"/>
  <c r="I227" i="9" s="1"/>
  <c r="B229" i="9"/>
  <c r="I229" i="9" s="1"/>
  <c r="B235" i="9"/>
  <c r="I235" i="9" s="1"/>
  <c r="B233" i="9"/>
  <c r="I233" i="9" s="1"/>
  <c r="B231" i="9"/>
  <c r="I231" i="9" s="1"/>
  <c r="B238" i="9"/>
  <c r="I238" i="9" s="1"/>
  <c r="B226" i="9"/>
  <c r="I226" i="9" s="1"/>
  <c r="B67" i="9"/>
  <c r="B237" i="9"/>
  <c r="I237" i="9" s="1"/>
  <c r="D211" i="11"/>
  <c r="D196" i="9"/>
  <c r="D197" i="9" s="1"/>
  <c r="BC196" i="3"/>
  <c r="D219" i="11"/>
  <c r="D220" i="11" s="1"/>
  <c r="D67" i="11"/>
  <c r="D80" i="10"/>
  <c r="D97" i="10" s="1"/>
  <c r="D70" i="10" s="1"/>
  <c r="D121" i="10"/>
  <c r="D132" i="10" s="1"/>
  <c r="D69" i="10" s="1"/>
  <c r="C121" i="10"/>
  <c r="C132" i="10" s="1"/>
  <c r="C69" i="10" s="1"/>
  <c r="D209" i="9"/>
  <c r="D205" i="10"/>
  <c r="D209" i="10" s="1"/>
  <c r="CC103" i="3"/>
  <c r="BV209" i="3"/>
  <c r="CC209" i="3"/>
  <c r="CC118" i="3"/>
  <c r="BW80" i="3"/>
  <c r="BW97" i="3" s="1"/>
  <c r="BB154" i="3"/>
  <c r="AU154" i="3"/>
  <c r="I17" i="3"/>
  <c r="AF141" i="3"/>
  <c r="AF142" i="3" s="1"/>
  <c r="AF211" i="3" s="1"/>
  <c r="AF219" i="3" s="1"/>
  <c r="AF220" i="3" s="1"/>
  <c r="Y133" i="3"/>
  <c r="W136" i="3"/>
  <c r="BY136" i="3" s="1"/>
  <c r="U121" i="3"/>
  <c r="U132" i="3" s="1"/>
  <c r="AA115" i="3"/>
  <c r="AA121" i="3" s="1"/>
  <c r="AA132" i="3" s="1"/>
  <c r="AA69" i="3" s="1"/>
  <c r="AL133" i="3"/>
  <c r="U136" i="3"/>
  <c r="BW140" i="3"/>
  <c r="CC140" i="3" s="1"/>
  <c r="K133" i="3"/>
  <c r="BR141" i="3"/>
  <c r="BR142" i="3" s="1"/>
  <c r="BN121" i="3"/>
  <c r="BN132" i="3" s="1"/>
  <c r="BT115" i="3"/>
  <c r="V90" i="3"/>
  <c r="V97" i="3" s="1"/>
  <c r="AA84" i="3"/>
  <c r="AA90" i="3" s="1"/>
  <c r="R135" i="3"/>
  <c r="BB135" i="3"/>
  <c r="BZ136" i="3"/>
  <c r="AA65" i="3"/>
  <c r="Q170" i="3"/>
  <c r="Q211" i="3" s="1"/>
  <c r="Q93" i="3"/>
  <c r="Q96" i="3" s="1"/>
  <c r="Q97" i="3" s="1"/>
  <c r="AZ170" i="3"/>
  <c r="AZ93" i="3"/>
  <c r="AU136" i="3"/>
  <c r="AC133" i="3"/>
  <c r="BI141" i="3"/>
  <c r="BI142" i="3" s="1"/>
  <c r="AW90" i="3"/>
  <c r="AW97" i="3" s="1"/>
  <c r="BB84" i="3"/>
  <c r="BB90" i="3" s="1"/>
  <c r="BD136" i="3"/>
  <c r="BK136" i="3" s="1"/>
  <c r="R161" i="3"/>
  <c r="O170" i="3"/>
  <c r="O93" i="3"/>
  <c r="BZ161" i="3"/>
  <c r="I161" i="3"/>
  <c r="F170" i="3"/>
  <c r="F93" i="3"/>
  <c r="AS131" i="3"/>
  <c r="BZ135" i="3"/>
  <c r="BQ141" i="3"/>
  <c r="BQ142" i="3" s="1"/>
  <c r="BB187" i="3"/>
  <c r="AU197" i="3"/>
  <c r="AP136" i="3"/>
  <c r="AP161" i="3"/>
  <c r="R115" i="3"/>
  <c r="L121" i="3"/>
  <c r="L132" i="3" s="1"/>
  <c r="E133" i="3"/>
  <c r="G161" i="3"/>
  <c r="G136" i="3"/>
  <c r="BX83" i="3"/>
  <c r="BF90" i="3"/>
  <c r="BF97" i="3" s="1"/>
  <c r="BK83" i="3"/>
  <c r="BK90" i="3" s="1"/>
  <c r="BF197" i="3"/>
  <c r="BK182" i="3"/>
  <c r="BX182" i="3"/>
  <c r="AM136" i="3"/>
  <c r="AG133" i="3"/>
  <c r="AG141" i="3" s="1"/>
  <c r="AG142" i="3" s="1"/>
  <c r="AG211" i="3" s="1"/>
  <c r="BT157" i="3"/>
  <c r="BN170" i="3"/>
  <c r="AE133" i="3"/>
  <c r="BX133" i="3" s="1"/>
  <c r="BV137" i="3"/>
  <c r="CC137" i="3" s="1"/>
  <c r="BB137" i="3"/>
  <c r="BP142" i="3"/>
  <c r="BP211" i="3" s="1"/>
  <c r="BP219" i="3" s="1"/>
  <c r="BP220" i="3" s="1"/>
  <c r="AC136" i="3"/>
  <c r="BB80" i="3"/>
  <c r="BK135" i="3"/>
  <c r="I140" i="3"/>
  <c r="AM121" i="3"/>
  <c r="AM132" i="3" s="1"/>
  <c r="AS115" i="3"/>
  <c r="AS121" i="3" s="1"/>
  <c r="BF136" i="3"/>
  <c r="AG170" i="3"/>
  <c r="AG93" i="3"/>
  <c r="Y161" i="3"/>
  <c r="Y170" i="3" s="1"/>
  <c r="Y136" i="3"/>
  <c r="BZ134" i="3"/>
  <c r="AV133" i="3"/>
  <c r="BM170" i="3"/>
  <c r="BT160" i="3"/>
  <c r="BK140" i="3"/>
  <c r="AQ133" i="3"/>
  <c r="I131" i="3"/>
  <c r="CC130" i="3"/>
  <c r="AS140" i="3"/>
  <c r="O133" i="3"/>
  <c r="O141" i="3" s="1"/>
  <c r="O142" i="3" s="1"/>
  <c r="O211" i="3" s="1"/>
  <c r="AA160" i="3"/>
  <c r="BO133" i="3"/>
  <c r="BE136" i="3"/>
  <c r="BB158" i="3"/>
  <c r="BV158" i="3"/>
  <c r="AU170" i="3"/>
  <c r="T154" i="3"/>
  <c r="CC129" i="3"/>
  <c r="CC131" i="3" s="1"/>
  <c r="T168" i="3"/>
  <c r="AA168" i="3" s="1"/>
  <c r="AA196" i="3"/>
  <c r="AB196" i="3" s="1"/>
  <c r="T166" i="3"/>
  <c r="AA166" i="3" s="1"/>
  <c r="T167" i="3"/>
  <c r="AA167" i="3" s="1"/>
  <c r="AA74" i="3"/>
  <c r="AA80" i="3" s="1"/>
  <c r="T80" i="3"/>
  <c r="T97" i="3" s="1"/>
  <c r="AS196" i="3"/>
  <c r="AT196" i="3" s="1"/>
  <c r="AL166" i="3"/>
  <c r="AS166" i="3" s="1"/>
  <c r="AL167" i="3"/>
  <c r="AS167" i="3" s="1"/>
  <c r="AL168" i="3"/>
  <c r="AS168" i="3" s="1"/>
  <c r="AS74" i="3"/>
  <c r="AS80" i="3" s="1"/>
  <c r="AL80" i="3"/>
  <c r="AL97" i="3" s="1"/>
  <c r="BK160" i="3"/>
  <c r="BD170" i="3"/>
  <c r="AL187" i="3"/>
  <c r="AL160" i="3"/>
  <c r="AL153" i="3"/>
  <c r="AS153" i="3" s="1"/>
  <c r="AL164" i="3"/>
  <c r="AS164" i="3" s="1"/>
  <c r="AL147" i="3"/>
  <c r="AL149" i="3"/>
  <c r="AS149" i="3" s="1"/>
  <c r="AL148" i="3"/>
  <c r="AS148" i="3" s="1"/>
  <c r="AM157" i="3"/>
  <c r="AL150" i="3"/>
  <c r="AS150" i="3" s="1"/>
  <c r="AN183" i="3"/>
  <c r="AN84" i="3"/>
  <c r="CC36" i="3"/>
  <c r="CC63" i="3" s="1"/>
  <c r="CC65" i="3" s="1"/>
  <c r="BR161" i="3"/>
  <c r="BR136" i="3"/>
  <c r="BQ170" i="3"/>
  <c r="BQ93" i="3"/>
  <c r="BX121" i="3"/>
  <c r="BX132" i="3" s="1"/>
  <c r="F141" i="3"/>
  <c r="F142" i="3" s="1"/>
  <c r="F211" i="3" s="1"/>
  <c r="CB170" i="3"/>
  <c r="CB211" i="3" s="1"/>
  <c r="CB93" i="3"/>
  <c r="CB96" i="3" s="1"/>
  <c r="CB97" i="3" s="1"/>
  <c r="BZ140" i="3"/>
  <c r="BJ134" i="3"/>
  <c r="BJ161" i="3"/>
  <c r="BJ136" i="3"/>
  <c r="AA187" i="3"/>
  <c r="BT183" i="3"/>
  <c r="BT197" i="3" s="1"/>
  <c r="BO197" i="3"/>
  <c r="BS161" i="3"/>
  <c r="BT161" i="3" s="1"/>
  <c r="BS136" i="3"/>
  <c r="BS141" i="3" s="1"/>
  <c r="BS142" i="3" s="1"/>
  <c r="BS134" i="3"/>
  <c r="D141" i="3"/>
  <c r="D142" i="3" s="1"/>
  <c r="AQ161" i="3"/>
  <c r="AQ170" i="3" s="1"/>
  <c r="AQ136" i="3"/>
  <c r="AV170" i="3"/>
  <c r="BB157" i="3"/>
  <c r="AA154" i="3"/>
  <c r="AC150" i="3"/>
  <c r="AJ150" i="3" s="1"/>
  <c r="AD157" i="3"/>
  <c r="AC187" i="3"/>
  <c r="AC160" i="3"/>
  <c r="AC153" i="3"/>
  <c r="AJ153" i="3" s="1"/>
  <c r="AC164" i="3"/>
  <c r="AJ164" i="3" s="1"/>
  <c r="AC147" i="3"/>
  <c r="AJ147" i="3" s="1"/>
  <c r="AC148" i="3"/>
  <c r="AJ148" i="3" s="1"/>
  <c r="AE183" i="3"/>
  <c r="AC149" i="3"/>
  <c r="AJ149" i="3" s="1"/>
  <c r="AE84" i="3"/>
  <c r="AP133" i="3"/>
  <c r="AP141" i="3" s="1"/>
  <c r="AP142" i="3" s="1"/>
  <c r="Z136" i="3"/>
  <c r="Z161" i="3"/>
  <c r="Z134" i="3"/>
  <c r="Z141" i="3" s="1"/>
  <c r="Z142" i="3" s="1"/>
  <c r="BD197" i="3"/>
  <c r="BK187" i="3"/>
  <c r="K164" i="3"/>
  <c r="R164" i="3" s="1"/>
  <c r="M183" i="3"/>
  <c r="K149" i="3"/>
  <c r="R149" i="3" s="1"/>
  <c r="K150" i="3"/>
  <c r="R150" i="3" s="1"/>
  <c r="L157" i="3"/>
  <c r="K187" i="3"/>
  <c r="K160" i="3"/>
  <c r="K153" i="3"/>
  <c r="R153" i="3" s="1"/>
  <c r="K148" i="3"/>
  <c r="R148" i="3" s="1"/>
  <c r="M84" i="3"/>
  <c r="K147" i="3"/>
  <c r="AU132" i="3"/>
  <c r="BK154" i="3"/>
  <c r="AW141" i="3"/>
  <c r="AW142" i="3" s="1"/>
  <c r="AW136" i="3"/>
  <c r="AA140" i="3"/>
  <c r="U170" i="3"/>
  <c r="AA157" i="3"/>
  <c r="M136" i="3"/>
  <c r="M141" i="3"/>
  <c r="M142" i="3" s="1"/>
  <c r="B164" i="3"/>
  <c r="B147" i="3"/>
  <c r="D183" i="3"/>
  <c r="B148" i="3"/>
  <c r="B149" i="3"/>
  <c r="B150" i="3"/>
  <c r="C157" i="3"/>
  <c r="B153" i="3"/>
  <c r="B160" i="3"/>
  <c r="B187" i="3"/>
  <c r="D84" i="3"/>
  <c r="AN136" i="3"/>
  <c r="AN141" i="3"/>
  <c r="AN142" i="3" s="1"/>
  <c r="C136" i="3"/>
  <c r="I136" i="3" s="1"/>
  <c r="BT140" i="3"/>
  <c r="H134" i="3"/>
  <c r="H141" i="3" s="1"/>
  <c r="H142" i="3" s="1"/>
  <c r="H161" i="3"/>
  <c r="H136" i="3"/>
  <c r="AA136" i="3"/>
  <c r="BM154" i="3"/>
  <c r="BT144" i="3"/>
  <c r="AE136" i="3"/>
  <c r="BX136" i="3" s="1"/>
  <c r="AD136" i="3"/>
  <c r="B74" i="3"/>
  <c r="I3" i="3"/>
  <c r="X170" i="3"/>
  <c r="X93" i="3"/>
  <c r="BD154" i="3"/>
  <c r="CA140" i="3"/>
  <c r="AI161" i="3"/>
  <c r="AI134" i="3"/>
  <c r="AI141" i="3" s="1"/>
  <c r="AI142" i="3" s="1"/>
  <c r="AI136" i="3"/>
  <c r="BI161" i="3"/>
  <c r="BI136" i="3"/>
  <c r="AA135" i="3"/>
  <c r="I114" i="3"/>
  <c r="B121" i="3"/>
  <c r="B132" i="3" s="1"/>
  <c r="BV114" i="3"/>
  <c r="CC114" i="3" s="1"/>
  <c r="BT146" i="3"/>
  <c r="BV146" i="3"/>
  <c r="CC146" i="3" s="1"/>
  <c r="BD133" i="3"/>
  <c r="AZ141" i="3"/>
  <c r="AZ142" i="3" s="1"/>
  <c r="BV131" i="3"/>
  <c r="BE121" i="3"/>
  <c r="BE132" i="3" s="1"/>
  <c r="BK115" i="3"/>
  <c r="BK121" i="3" s="1"/>
  <c r="BK132" i="3" s="1"/>
  <c r="BK68" i="3" s="1"/>
  <c r="AJ196" i="3"/>
  <c r="AK196" i="3" s="1"/>
  <c r="AC167" i="3"/>
  <c r="AJ167" i="3" s="1"/>
  <c r="AC166" i="3"/>
  <c r="AJ166" i="3" s="1"/>
  <c r="AC168" i="3"/>
  <c r="AJ168" i="3" s="1"/>
  <c r="AC80" i="3"/>
  <c r="AC97" i="3" s="1"/>
  <c r="AJ74" i="3"/>
  <c r="AJ80" i="3" s="1"/>
  <c r="L136" i="3"/>
  <c r="BN136" i="3"/>
  <c r="BE170" i="3"/>
  <c r="BK157" i="3"/>
  <c r="V141" i="3"/>
  <c r="V142" i="3" s="1"/>
  <c r="V136" i="3"/>
  <c r="K74" i="3"/>
  <c r="R3" i="3"/>
  <c r="BV17" i="3"/>
  <c r="CA135" i="3"/>
  <c r="AV136" i="3"/>
  <c r="BX140" i="3"/>
  <c r="BZ132" i="3"/>
  <c r="I135" i="3"/>
  <c r="BV135" i="3"/>
  <c r="BB183" i="3"/>
  <c r="AW197" i="3"/>
  <c r="P141" i="3"/>
  <c r="P142" i="3" s="1"/>
  <c r="P211" i="3" s="1"/>
  <c r="P219" i="3" s="1"/>
  <c r="P220" i="3" s="1"/>
  <c r="BB69" i="3"/>
  <c r="BY134" i="3"/>
  <c r="AR161" i="3"/>
  <c r="AR134" i="3"/>
  <c r="AR136" i="3"/>
  <c r="AR141" i="3" s="1"/>
  <c r="AR142" i="3" s="1"/>
  <c r="AL136" i="3"/>
  <c r="BV213" i="3"/>
  <c r="CC213" i="3" s="1"/>
  <c r="BK213" i="3"/>
  <c r="CC17" i="3"/>
  <c r="C121" i="3"/>
  <c r="C132" i="3" s="1"/>
  <c r="I115" i="3"/>
  <c r="BW115" i="3"/>
  <c r="BW131" i="3"/>
  <c r="AH141" i="3"/>
  <c r="AH142" i="3" s="1"/>
  <c r="AH211" i="3" s="1"/>
  <c r="AH219" i="3" s="1"/>
  <c r="AH220" i="3" s="1"/>
  <c r="AH161" i="3"/>
  <c r="AH170" i="3" s="1"/>
  <c r="AH136" i="3"/>
  <c r="BW135" i="3"/>
  <c r="AA183" i="3"/>
  <c r="V197" i="3"/>
  <c r="T133" i="3"/>
  <c r="R121" i="3"/>
  <c r="R132" i="3" s="1"/>
  <c r="R69" i="3" s="1"/>
  <c r="BB68" i="3"/>
  <c r="AD121" i="3"/>
  <c r="AD132" i="3" s="1"/>
  <c r="AJ115" i="3"/>
  <c r="X133" i="3"/>
  <c r="X141" i="3" s="1"/>
  <c r="X142" i="3"/>
  <c r="BF141" i="3"/>
  <c r="BF142" i="3" s="1"/>
  <c r="AY161" i="3"/>
  <c r="AY136" i="3"/>
  <c r="AY141" i="3"/>
  <c r="AY142" i="3" s="1"/>
  <c r="K136" i="3"/>
  <c r="R136" i="3" s="1"/>
  <c r="BM136" i="3"/>
  <c r="BV3" i="3"/>
  <c r="CC3" i="3" s="1"/>
  <c r="BA170" i="3"/>
  <c r="BA211" i="3" s="1"/>
  <c r="BA93" i="3"/>
  <c r="BA96" i="3" s="1"/>
  <c r="BA97" i="3" s="1"/>
  <c r="BT69" i="2"/>
  <c r="CA140" i="2"/>
  <c r="BM134" i="2"/>
  <c r="BM136" i="2"/>
  <c r="BM154" i="2"/>
  <c r="BO134" i="2"/>
  <c r="BO133" i="2"/>
  <c r="BO141" i="2" s="1"/>
  <c r="BO142" i="2" s="1"/>
  <c r="BO211" i="2" s="1"/>
  <c r="BT160" i="2"/>
  <c r="BM170" i="2"/>
  <c r="BN134" i="2"/>
  <c r="BN136" i="2"/>
  <c r="BO90" i="2"/>
  <c r="BO97" i="2" s="1"/>
  <c r="BT84" i="2"/>
  <c r="BT90" i="2" s="1"/>
  <c r="BQ170" i="2"/>
  <c r="BQ93" i="2"/>
  <c r="BT161" i="2"/>
  <c r="BP142" i="2"/>
  <c r="BP211" i="2" s="1"/>
  <c r="BP219" i="2" s="1"/>
  <c r="BP220" i="2" s="1"/>
  <c r="BQ141" i="2"/>
  <c r="BQ142" i="2" s="1"/>
  <c r="BQ211" i="2" s="1"/>
  <c r="BS141" i="2"/>
  <c r="BS142" i="2" s="1"/>
  <c r="BT132" i="2"/>
  <c r="BN133" i="2"/>
  <c r="BN141" i="2" s="1"/>
  <c r="BN142" i="2" s="1"/>
  <c r="BN211" i="2" s="1"/>
  <c r="BN219" i="2" s="1"/>
  <c r="BN220" i="2" s="1"/>
  <c r="BS136" i="2"/>
  <c r="BS161" i="2"/>
  <c r="BS134" i="2"/>
  <c r="BT131" i="2"/>
  <c r="BM141" i="2"/>
  <c r="BM142" i="2" s="1"/>
  <c r="BM211" i="2" s="1"/>
  <c r="BM219" i="2" s="1"/>
  <c r="BM220" i="2" s="1"/>
  <c r="BR136" i="2"/>
  <c r="BR134" i="2"/>
  <c r="BR141" i="2" s="1"/>
  <c r="BR142" i="2" s="1"/>
  <c r="BR161" i="2"/>
  <c r="BK69" i="2"/>
  <c r="BE136" i="2"/>
  <c r="BE134" i="2"/>
  <c r="BD136" i="2"/>
  <c r="BD134" i="2"/>
  <c r="BK134" i="2" s="1"/>
  <c r="BV65" i="2"/>
  <c r="BK187" i="2"/>
  <c r="BK197" i="2" s="1"/>
  <c r="BD197" i="2"/>
  <c r="BJ136" i="2"/>
  <c r="BJ141" i="2" s="1"/>
  <c r="BJ142" i="2" s="1"/>
  <c r="BJ134" i="2"/>
  <c r="BJ161" i="2"/>
  <c r="BF141" i="2"/>
  <c r="BF142" i="2" s="1"/>
  <c r="BF211" i="2" s="1"/>
  <c r="BF219" i="2" s="1"/>
  <c r="BF220" i="2" s="1"/>
  <c r="BK121" i="2"/>
  <c r="BK132" i="2" s="1"/>
  <c r="BK157" i="2"/>
  <c r="BE170" i="2"/>
  <c r="BE133" i="2"/>
  <c r="BI136" i="2"/>
  <c r="BI134" i="2"/>
  <c r="BI141" i="2" s="1"/>
  <c r="BI142" i="2" s="1"/>
  <c r="BI161" i="2"/>
  <c r="BD170" i="2"/>
  <c r="BD133" i="2"/>
  <c r="AW133" i="2"/>
  <c r="AW134" i="2"/>
  <c r="BB84" i="2"/>
  <c r="BB90" i="2" s="1"/>
  <c r="AW90" i="2"/>
  <c r="AW97" i="2" s="1"/>
  <c r="BB187" i="2"/>
  <c r="AU197" i="2"/>
  <c r="BB158" i="2"/>
  <c r="AU170" i="2"/>
  <c r="AZ141" i="2"/>
  <c r="AZ142" i="2" s="1"/>
  <c r="AZ170" i="2"/>
  <c r="AZ93" i="2"/>
  <c r="AZ96" i="2" s="1"/>
  <c r="AZ97" i="2" s="1"/>
  <c r="BB68" i="2"/>
  <c r="AV141" i="2"/>
  <c r="AV142" i="2" s="1"/>
  <c r="AV211" i="2" s="1"/>
  <c r="AV219" i="2" s="1"/>
  <c r="AV220" i="2" s="1"/>
  <c r="AU133" i="2"/>
  <c r="AY136" i="2"/>
  <c r="BB136" i="2" s="1"/>
  <c r="AY161" i="2"/>
  <c r="AY134" i="2"/>
  <c r="BA141" i="2"/>
  <c r="BA142" i="2" s="1"/>
  <c r="BA170" i="2"/>
  <c r="BA93" i="2"/>
  <c r="BA96" i="2" s="1"/>
  <c r="BA97" i="2" s="1"/>
  <c r="AU134" i="2"/>
  <c r="BB134" i="2" s="1"/>
  <c r="BB132" i="2"/>
  <c r="AW197" i="2"/>
  <c r="BB183" i="2"/>
  <c r="BB197" i="2" s="1"/>
  <c r="AS147" i="2"/>
  <c r="AS154" i="2" s="1"/>
  <c r="AL154" i="2"/>
  <c r="AL170" i="2"/>
  <c r="AP136" i="2"/>
  <c r="AP161" i="2"/>
  <c r="AP134" i="2"/>
  <c r="AP141" i="2" s="1"/>
  <c r="AP142" i="2" s="1"/>
  <c r="AS135" i="2"/>
  <c r="AM121" i="2"/>
  <c r="AM132" i="2" s="1"/>
  <c r="AS115" i="2"/>
  <c r="AR136" i="2"/>
  <c r="AR161" i="2"/>
  <c r="AR134" i="2"/>
  <c r="AS84" i="2"/>
  <c r="AS90" i="2" s="1"/>
  <c r="AN90" i="2"/>
  <c r="AN97" i="2" s="1"/>
  <c r="BX135" i="2"/>
  <c r="AS157" i="2"/>
  <c r="AM170" i="2"/>
  <c r="AR141" i="2"/>
  <c r="AR142" i="2" s="1"/>
  <c r="AQ142" i="2"/>
  <c r="AQ211" i="2" s="1"/>
  <c r="AQ219" i="2" s="1"/>
  <c r="AQ220" i="2" s="1"/>
  <c r="AQ133" i="2"/>
  <c r="AQ141" i="2" s="1"/>
  <c r="AS183" i="2"/>
  <c r="AS197" i="2" s="1"/>
  <c r="AN197" i="2"/>
  <c r="AL133" i="2"/>
  <c r="AL134" i="2"/>
  <c r="AL136" i="2"/>
  <c r="AN141" i="2"/>
  <c r="AN142" i="2" s="1"/>
  <c r="AN211" i="2" s="1"/>
  <c r="BY140" i="2"/>
  <c r="AH142" i="2"/>
  <c r="AH211" i="2" s="1"/>
  <c r="AH219" i="2" s="1"/>
  <c r="AH220" i="2" s="1"/>
  <c r="AH133" i="2"/>
  <c r="AH141" i="2" s="1"/>
  <c r="AD134" i="2"/>
  <c r="AJ134" i="2" s="1"/>
  <c r="AD136" i="2"/>
  <c r="AE134" i="2"/>
  <c r="AE136" i="2"/>
  <c r="AI136" i="2"/>
  <c r="AI161" i="2"/>
  <c r="AI134" i="2"/>
  <c r="AI141" i="2" s="1"/>
  <c r="AI142" i="2" s="1"/>
  <c r="AG136" i="2"/>
  <c r="AG134" i="2"/>
  <c r="AG141" i="2" s="1"/>
  <c r="AG142" i="2" s="1"/>
  <c r="AG161" i="2"/>
  <c r="AJ157" i="2"/>
  <c r="AD170" i="2"/>
  <c r="AC80" i="2"/>
  <c r="AC97" i="2" s="1"/>
  <c r="AJ84" i="2"/>
  <c r="AJ90" i="2" s="1"/>
  <c r="AE90" i="2"/>
  <c r="AE97" i="2" s="1"/>
  <c r="AC170" i="2"/>
  <c r="AJ144" i="2"/>
  <c r="AJ154" i="2" s="1"/>
  <c r="AC154" i="2"/>
  <c r="AD133" i="2"/>
  <c r="AJ133" i="2"/>
  <c r="AC141" i="2"/>
  <c r="AC142" i="2" s="1"/>
  <c r="AE141" i="2"/>
  <c r="AE142" i="2" s="1"/>
  <c r="AE211" i="2" s="1"/>
  <c r="AC197" i="2"/>
  <c r="Z133" i="2"/>
  <c r="Z141" i="2" s="1"/>
  <c r="Z142" i="2" s="1"/>
  <c r="Z211" i="2" s="1"/>
  <c r="Z134" i="2"/>
  <c r="Y133" i="2"/>
  <c r="Y134" i="2"/>
  <c r="X133" i="2"/>
  <c r="X134" i="2"/>
  <c r="V133" i="2"/>
  <c r="V134" i="2"/>
  <c r="Z93" i="2"/>
  <c r="Z96" i="2" s="1"/>
  <c r="Z97" i="2" s="1"/>
  <c r="Z170" i="2"/>
  <c r="U132" i="2"/>
  <c r="T121" i="2"/>
  <c r="T132" i="2" s="1"/>
  <c r="AA114" i="2"/>
  <c r="AA136" i="2"/>
  <c r="T164" i="2"/>
  <c r="AA164" i="2" s="1"/>
  <c r="U157" i="2"/>
  <c r="T150" i="2"/>
  <c r="AA150" i="2" s="1"/>
  <c r="V84" i="2"/>
  <c r="T149" i="2"/>
  <c r="AA149" i="2" s="1"/>
  <c r="T187" i="2"/>
  <c r="T148" i="2"/>
  <c r="AA148" i="2" s="1"/>
  <c r="T153" i="2"/>
  <c r="AA153" i="2" s="1"/>
  <c r="T147" i="2"/>
  <c r="T160" i="2"/>
  <c r="V183" i="2"/>
  <c r="BV96" i="2"/>
  <c r="T80" i="2"/>
  <c r="T97" i="2" s="1"/>
  <c r="T168" i="2"/>
  <c r="AA168" i="2" s="1"/>
  <c r="AA74" i="2"/>
  <c r="AA80" i="2" s="1"/>
  <c r="T196" i="2"/>
  <c r="AA196" i="2" s="1"/>
  <c r="T167" i="2"/>
  <c r="AA167" i="2" s="1"/>
  <c r="T166" i="2"/>
  <c r="AA166" i="2" s="1"/>
  <c r="X170" i="2"/>
  <c r="X93" i="2"/>
  <c r="AA161" i="2"/>
  <c r="P136" i="2"/>
  <c r="P134" i="2"/>
  <c r="P141" i="2" s="1"/>
  <c r="P142" i="2" s="1"/>
  <c r="P211" i="2" s="1"/>
  <c r="P219" i="2" s="1"/>
  <c r="P220" i="2" s="1"/>
  <c r="P161" i="2"/>
  <c r="P170" i="2" s="1"/>
  <c r="R140" i="2"/>
  <c r="CA132" i="2"/>
  <c r="M141" i="2"/>
  <c r="M142" i="2" s="1"/>
  <c r="O133" i="2"/>
  <c r="Q141" i="2"/>
  <c r="Q142" i="2" s="1"/>
  <c r="Q211" i="2" s="1"/>
  <c r="K136" i="2"/>
  <c r="K134" i="2"/>
  <c r="BX121" i="2"/>
  <c r="BX132" i="2" s="1"/>
  <c r="CC36" i="2"/>
  <c r="CC63" i="2" s="1"/>
  <c r="K168" i="2"/>
  <c r="R168" i="2" s="1"/>
  <c r="R74" i="2"/>
  <c r="R80" i="2" s="1"/>
  <c r="K196" i="2"/>
  <c r="R196" i="2" s="1"/>
  <c r="K167" i="2"/>
  <c r="R167" i="2" s="1"/>
  <c r="K80" i="2"/>
  <c r="K97" i="2" s="1"/>
  <c r="K166" i="2"/>
  <c r="R166" i="2" s="1"/>
  <c r="BV76" i="2"/>
  <c r="CC76" i="2" s="1"/>
  <c r="O136" i="2"/>
  <c r="O134" i="2"/>
  <c r="O161" i="2"/>
  <c r="M84" i="2"/>
  <c r="K164" i="2"/>
  <c r="R164" i="2" s="1"/>
  <c r="L157" i="2"/>
  <c r="K150" i="2"/>
  <c r="R150" i="2" s="1"/>
  <c r="K187" i="2"/>
  <c r="K149" i="2"/>
  <c r="R149" i="2" s="1"/>
  <c r="M183" i="2"/>
  <c r="K148" i="2"/>
  <c r="R148" i="2" s="1"/>
  <c r="K160" i="2"/>
  <c r="K153" i="2"/>
  <c r="R153" i="2" s="1"/>
  <c r="K147" i="2"/>
  <c r="L136" i="2"/>
  <c r="BW136" i="2" s="1"/>
  <c r="Q93" i="2"/>
  <c r="Q96" i="2" s="1"/>
  <c r="Q97" i="2" s="1"/>
  <c r="Q219" i="2" s="1"/>
  <c r="Q220" i="2" s="1"/>
  <c r="Q170" i="2"/>
  <c r="R115" i="2"/>
  <c r="L121" i="2"/>
  <c r="L132" i="2" s="1"/>
  <c r="L134" i="2" s="1"/>
  <c r="R114" i="2"/>
  <c r="K121" i="2"/>
  <c r="K132" i="2" s="1"/>
  <c r="F170" i="2"/>
  <c r="I161" i="2"/>
  <c r="F93" i="2"/>
  <c r="CC151" i="2"/>
  <c r="C121" i="2"/>
  <c r="C132" i="2" s="1"/>
  <c r="C134" i="2" s="1"/>
  <c r="I115" i="2"/>
  <c r="I121" i="2" s="1"/>
  <c r="I132" i="2" s="1"/>
  <c r="I68" i="2" s="1"/>
  <c r="C136" i="2"/>
  <c r="I136" i="2" s="1"/>
  <c r="H141" i="2"/>
  <c r="H142" i="2" s="1"/>
  <c r="D133" i="2"/>
  <c r="D141" i="2" s="1"/>
  <c r="D142" i="2" s="1"/>
  <c r="CC61" i="2"/>
  <c r="CC64" i="2" s="1"/>
  <c r="H93" i="2"/>
  <c r="H96" i="2" s="1"/>
  <c r="H97" i="2" s="1"/>
  <c r="H170" i="2"/>
  <c r="B121" i="2"/>
  <c r="B132" i="2" s="1"/>
  <c r="BZ132" i="2"/>
  <c r="D183" i="2"/>
  <c r="D84" i="2"/>
  <c r="B164" i="2"/>
  <c r="I164" i="2" s="1"/>
  <c r="C157" i="2"/>
  <c r="B150" i="2"/>
  <c r="I150" i="2" s="1"/>
  <c r="B148" i="2"/>
  <c r="I148" i="2" s="1"/>
  <c r="B187" i="2"/>
  <c r="B149" i="2"/>
  <c r="I149" i="2" s="1"/>
  <c r="B160" i="2"/>
  <c r="B153" i="2"/>
  <c r="I153" i="2" s="1"/>
  <c r="B147" i="2"/>
  <c r="BW65" i="2"/>
  <c r="CC100" i="2"/>
  <c r="CC103" i="2" s="1"/>
  <c r="G141" i="2"/>
  <c r="G142" i="2" s="1"/>
  <c r="G211" i="2" s="1"/>
  <c r="G219" i="2" s="1"/>
  <c r="G220" i="2" s="1"/>
  <c r="F141" i="2"/>
  <c r="F142" i="2" s="1"/>
  <c r="BW115" i="2"/>
  <c r="CC115" i="2" s="1"/>
  <c r="I140" i="2"/>
  <c r="E141" i="2"/>
  <c r="E142" i="2" s="1"/>
  <c r="E211" i="2" s="1"/>
  <c r="E219" i="2" s="1"/>
  <c r="E220" i="2" s="1"/>
  <c r="B166" i="2"/>
  <c r="I166" i="2" s="1"/>
  <c r="B196" i="2"/>
  <c r="I196" i="2" s="1"/>
  <c r="B168" i="2"/>
  <c r="I168" i="2" s="1"/>
  <c r="I74" i="2"/>
  <c r="I80" i="2" s="1"/>
  <c r="B167" i="2"/>
  <c r="I167" i="2" s="1"/>
  <c r="B80" i="2"/>
  <c r="B97" i="2" s="1"/>
  <c r="CC130" i="2"/>
  <c r="CC131" i="2" s="1"/>
  <c r="BV17" i="2"/>
  <c r="BW131" i="2"/>
  <c r="BY136" i="2"/>
  <c r="BX83" i="2"/>
  <c r="BV213" i="2"/>
  <c r="CC213" i="2" s="1"/>
  <c r="CB161" i="2"/>
  <c r="CB136" i="2"/>
  <c r="CB134" i="2"/>
  <c r="BV137" i="2"/>
  <c r="CC137" i="2" s="1"/>
  <c r="BX65" i="2"/>
  <c r="CA135" i="2"/>
  <c r="CB133" i="2"/>
  <c r="BZ140" i="2"/>
  <c r="CC107" i="2"/>
  <c r="CC209" i="2"/>
  <c r="CC118" i="2"/>
  <c r="BZ135" i="2"/>
  <c r="BV209" i="2"/>
  <c r="BW80" i="2"/>
  <c r="BW97" i="2" s="1"/>
  <c r="CC156" i="2"/>
  <c r="BV135" i="2"/>
  <c r="BV160" i="2"/>
  <c r="CC160" i="2" s="1"/>
  <c r="BV140" i="2"/>
  <c r="BW135" i="2"/>
  <c r="BY132" i="2"/>
  <c r="BV114" i="2"/>
  <c r="CC114" i="2" s="1"/>
  <c r="BV145" i="2"/>
  <c r="CC145" i="2" s="1"/>
  <c r="BW140" i="2"/>
  <c r="BV146" i="2"/>
  <c r="CC146" i="2" s="1"/>
  <c r="BZ65" i="2"/>
  <c r="CA65" i="2"/>
  <c r="BV131" i="2"/>
  <c r="BZ161" i="2"/>
  <c r="BZ170" i="2" s="1"/>
  <c r="BV159" i="2"/>
  <c r="CC159" i="2" s="1"/>
  <c r="CC172" i="2"/>
  <c r="BX182" i="2"/>
  <c r="BV147" i="2"/>
  <c r="CC147" i="2" s="1"/>
  <c r="CC5" i="2"/>
  <c r="CC17" i="2" s="1"/>
  <c r="BV3" i="2"/>
  <c r="CC3" i="2" s="1"/>
  <c r="BS136" i="1"/>
  <c r="BS161" i="1"/>
  <c r="BS134" i="1"/>
  <c r="BK121" i="1"/>
  <c r="BQ141" i="1"/>
  <c r="BQ142" i="1" s="1"/>
  <c r="X134" i="1"/>
  <c r="X141" i="1" s="1"/>
  <c r="X142" i="1" s="1"/>
  <c r="AS121" i="1"/>
  <c r="BT80" i="1"/>
  <c r="BQ134" i="1"/>
  <c r="BI134" i="1"/>
  <c r="BK65" i="1"/>
  <c r="AV134" i="1"/>
  <c r="AV141" i="1" s="1"/>
  <c r="AV142" i="1" s="1"/>
  <c r="R140" i="1"/>
  <c r="CC61" i="1"/>
  <c r="CC64" i="1" s="1"/>
  <c r="BT65" i="1"/>
  <c r="AF141" i="1"/>
  <c r="AF142" i="1" s="1"/>
  <c r="AF211" i="1" s="1"/>
  <c r="AF219" i="1" s="1"/>
  <c r="AF220" i="1" s="1"/>
  <c r="BV17" i="1"/>
  <c r="AL121" i="1"/>
  <c r="AL132" i="1" s="1"/>
  <c r="AW134" i="1"/>
  <c r="BK131" i="1"/>
  <c r="AA65" i="1"/>
  <c r="AW141" i="1"/>
  <c r="AW142" i="1" s="1"/>
  <c r="AW211" i="1" s="1"/>
  <c r="BS141" i="1"/>
  <c r="BS142" i="1" s="1"/>
  <c r="AC136" i="1"/>
  <c r="AC141" i="1" s="1"/>
  <c r="AC142" i="1" s="1"/>
  <c r="AC134" i="1"/>
  <c r="V183" i="1"/>
  <c r="AA183" i="1" s="1"/>
  <c r="AC160" i="1"/>
  <c r="AJ160" i="1" s="1"/>
  <c r="BD167" i="1"/>
  <c r="BK167" i="1" s="1"/>
  <c r="AJ145" i="1"/>
  <c r="BV145" i="1"/>
  <c r="CC145" i="1" s="1"/>
  <c r="B145" i="10" s="1"/>
  <c r="B154" i="10" s="1"/>
  <c r="X136" i="1"/>
  <c r="T147" i="1"/>
  <c r="AA147" i="1" s="1"/>
  <c r="AC153" i="1"/>
  <c r="AJ153" i="1" s="1"/>
  <c r="AY161" i="1"/>
  <c r="AY170" i="1" s="1"/>
  <c r="BO161" i="1"/>
  <c r="BB65" i="1"/>
  <c r="BB159" i="1"/>
  <c r="BV159" i="1"/>
  <c r="CC159" i="1" s="1"/>
  <c r="BK213" i="1"/>
  <c r="BV213" i="1"/>
  <c r="CC213" i="1" s="1"/>
  <c r="BI136" i="1"/>
  <c r="T144" i="1"/>
  <c r="T154" i="1" s="1"/>
  <c r="BB158" i="1"/>
  <c r="BV158" i="1"/>
  <c r="CC158" i="1" s="1"/>
  <c r="BI161" i="1"/>
  <c r="BI170" i="1" s="1"/>
  <c r="BI211" i="1" s="1"/>
  <c r="BI219" i="1" s="1"/>
  <c r="BI220" i="1" s="1"/>
  <c r="R135" i="1"/>
  <c r="AX134" i="1"/>
  <c r="AX141" i="1" s="1"/>
  <c r="AX142" i="1" s="1"/>
  <c r="AX211" i="1" s="1"/>
  <c r="AX219" i="1" s="1"/>
  <c r="AX220" i="1" s="1"/>
  <c r="L121" i="1"/>
  <c r="T149" i="1"/>
  <c r="AA149" i="1" s="1"/>
  <c r="CC199" i="1"/>
  <c r="V84" i="1"/>
  <c r="X161" i="1"/>
  <c r="V141" i="1"/>
  <c r="V142" i="1" s="1"/>
  <c r="AS135" i="1"/>
  <c r="O134" i="1"/>
  <c r="T148" i="1"/>
  <c r="AA148" i="1" s="1"/>
  <c r="T121" i="1"/>
  <c r="T132" i="1" s="1"/>
  <c r="T134" i="1" s="1"/>
  <c r="AC187" i="1"/>
  <c r="AJ187" i="1" s="1"/>
  <c r="AS3" i="1"/>
  <c r="BB135" i="1"/>
  <c r="AY134" i="1"/>
  <c r="AY141" i="1" s="1"/>
  <c r="AY142" i="1" s="1"/>
  <c r="BP142" i="1"/>
  <c r="BP211" i="1" s="1"/>
  <c r="BP219" i="1" s="1"/>
  <c r="BP220" i="1" s="1"/>
  <c r="T160" i="1"/>
  <c r="AA160" i="1" s="1"/>
  <c r="AC164" i="1"/>
  <c r="AJ164" i="1" s="1"/>
  <c r="BB137" i="1"/>
  <c r="BV137" i="1"/>
  <c r="CC137" i="1" s="1"/>
  <c r="BK140" i="1"/>
  <c r="AA131" i="1"/>
  <c r="AJ140" i="1"/>
  <c r="AC148" i="1"/>
  <c r="AJ148" i="1" s="1"/>
  <c r="AM132" i="1"/>
  <c r="AM134" i="1" s="1"/>
  <c r="R65" i="1"/>
  <c r="AS132" i="1"/>
  <c r="AS69" i="1" s="1"/>
  <c r="T153" i="1"/>
  <c r="AA153" i="1" s="1"/>
  <c r="AE84" i="1"/>
  <c r="AE90" i="1" s="1"/>
  <c r="AE97" i="1" s="1"/>
  <c r="BI141" i="1"/>
  <c r="BI142" i="1" s="1"/>
  <c r="BM132" i="1"/>
  <c r="BM133" i="1" s="1"/>
  <c r="AA140" i="1"/>
  <c r="T178" i="1"/>
  <c r="BK135" i="1"/>
  <c r="BT146" i="1"/>
  <c r="BV146" i="1"/>
  <c r="CC146" i="1" s="1"/>
  <c r="CC17" i="1"/>
  <c r="BD168" i="1"/>
  <c r="BK168" i="1" s="1"/>
  <c r="BK74" i="1"/>
  <c r="BK80" i="1" s="1"/>
  <c r="BD166" i="1"/>
  <c r="BK166" i="1" s="1"/>
  <c r="BV65" i="1"/>
  <c r="CC65" i="1"/>
  <c r="CB161" i="1"/>
  <c r="CB134" i="1"/>
  <c r="CB141" i="1" s="1"/>
  <c r="CB142" i="1" s="1"/>
  <c r="CB136" i="1"/>
  <c r="BT157" i="1"/>
  <c r="BN170" i="1"/>
  <c r="BM154" i="1"/>
  <c r="BT144" i="1"/>
  <c r="BT135" i="1"/>
  <c r="BM170" i="1"/>
  <c r="BT160" i="1"/>
  <c r="BQ170" i="1"/>
  <c r="BQ93" i="1"/>
  <c r="BT84" i="1"/>
  <c r="BT90" i="1" s="1"/>
  <c r="BO90" i="1"/>
  <c r="BO97" i="1" s="1"/>
  <c r="BN121" i="1"/>
  <c r="BN132" i="1" s="1"/>
  <c r="BT115" i="1"/>
  <c r="BS170" i="1"/>
  <c r="BS211" i="1" s="1"/>
  <c r="BS93" i="1"/>
  <c r="BS96" i="1" s="1"/>
  <c r="BS97" i="1" s="1"/>
  <c r="BR136" i="1"/>
  <c r="BT136" i="1" s="1"/>
  <c r="BR161" i="1"/>
  <c r="BR134" i="1"/>
  <c r="BR141" i="1" s="1"/>
  <c r="BR142" i="1" s="1"/>
  <c r="BO141" i="1"/>
  <c r="BO142" i="1" s="1"/>
  <c r="BN136" i="1"/>
  <c r="BN134" i="1"/>
  <c r="BO197" i="1"/>
  <c r="BT183" i="1"/>
  <c r="BT197" i="1" s="1"/>
  <c r="BQ211" i="1"/>
  <c r="BG133" i="1"/>
  <c r="BD154" i="1"/>
  <c r="BK147" i="1"/>
  <c r="BK154" i="1" s="1"/>
  <c r="BK157" i="1"/>
  <c r="BE170" i="1"/>
  <c r="BF136" i="1"/>
  <c r="BF134" i="1"/>
  <c r="BF141" i="1" s="1"/>
  <c r="BF142" i="1" s="1"/>
  <c r="BJ161" i="1"/>
  <c r="BJ136" i="1"/>
  <c r="BJ134" i="1"/>
  <c r="BK178" i="1"/>
  <c r="BD197" i="1"/>
  <c r="BD170" i="1"/>
  <c r="BK160" i="1"/>
  <c r="BE136" i="1"/>
  <c r="BE134" i="1"/>
  <c r="BE133" i="1"/>
  <c r="BK84" i="1"/>
  <c r="BD136" i="1"/>
  <c r="BK83" i="1"/>
  <c r="BK90" i="1" s="1"/>
  <c r="BF90" i="1"/>
  <c r="BF97" i="1" s="1"/>
  <c r="BF197" i="1"/>
  <c r="BK182" i="1"/>
  <c r="BD121" i="1"/>
  <c r="BD132" i="1" s="1"/>
  <c r="BD134" i="1" s="1"/>
  <c r="AV170" i="1"/>
  <c r="BB157" i="1"/>
  <c r="BB84" i="1"/>
  <c r="BB90" i="1" s="1"/>
  <c r="AW90" i="1"/>
  <c r="AW97" i="1" s="1"/>
  <c r="BB147" i="1"/>
  <c r="BB154" i="1" s="1"/>
  <c r="AU154" i="1"/>
  <c r="BB178" i="1"/>
  <c r="BB197" i="1" s="1"/>
  <c r="AU197" i="1"/>
  <c r="AU170" i="1"/>
  <c r="BB114" i="1"/>
  <c r="AU121" i="1"/>
  <c r="AU132" i="1" s="1"/>
  <c r="BA136" i="1"/>
  <c r="BA161" i="1"/>
  <c r="BA134" i="1"/>
  <c r="AZ136" i="1"/>
  <c r="AZ161" i="1"/>
  <c r="AZ134" i="1"/>
  <c r="AZ141" i="1" s="1"/>
  <c r="AZ142" i="1" s="1"/>
  <c r="AR161" i="1"/>
  <c r="AR134" i="1"/>
  <c r="AR136" i="1"/>
  <c r="AQ133" i="1"/>
  <c r="AP136" i="1"/>
  <c r="AP161" i="1"/>
  <c r="AP134" i="1"/>
  <c r="AL136" i="1"/>
  <c r="AL134" i="1"/>
  <c r="AL168" i="1"/>
  <c r="AS168" i="1" s="1"/>
  <c r="AL167" i="1"/>
  <c r="AS167" i="1" s="1"/>
  <c r="AS74" i="1"/>
  <c r="AS80" i="1" s="1"/>
  <c r="AL166" i="1"/>
  <c r="AL80" i="1"/>
  <c r="AL97" i="1" s="1"/>
  <c r="AN136" i="1"/>
  <c r="AN134" i="1"/>
  <c r="AN141" i="1" s="1"/>
  <c r="AN142" i="1" s="1"/>
  <c r="AN211" i="1" s="1"/>
  <c r="AQ136" i="1"/>
  <c r="AQ161" i="1"/>
  <c r="AQ170" i="1" s="1"/>
  <c r="AQ134" i="1"/>
  <c r="AO142" i="1"/>
  <c r="AO211" i="1" s="1"/>
  <c r="AO219" i="1" s="1"/>
  <c r="AO220" i="1" s="1"/>
  <c r="AS68" i="1"/>
  <c r="AN90" i="1"/>
  <c r="AN97" i="1" s="1"/>
  <c r="AS84" i="1"/>
  <c r="AS90" i="1" s="1"/>
  <c r="AL197" i="1"/>
  <c r="AL133" i="1"/>
  <c r="AL154" i="1"/>
  <c r="AS154" i="1"/>
  <c r="AS157" i="1"/>
  <c r="AM170" i="1"/>
  <c r="AR133" i="1"/>
  <c r="AP133" i="1"/>
  <c r="AM136" i="1"/>
  <c r="AO134" i="1"/>
  <c r="AO141" i="1" s="1"/>
  <c r="AN197" i="1"/>
  <c r="AS183" i="1"/>
  <c r="AS197" i="1" s="1"/>
  <c r="AD121" i="1"/>
  <c r="AD132" i="1" s="1"/>
  <c r="AD134" i="1" s="1"/>
  <c r="AJ115" i="1"/>
  <c r="AE197" i="1"/>
  <c r="AJ183" i="1"/>
  <c r="AI136" i="1"/>
  <c r="AI161" i="1"/>
  <c r="AI134" i="1"/>
  <c r="AG134" i="1"/>
  <c r="AG136" i="1"/>
  <c r="AG161" i="1"/>
  <c r="AC74" i="1"/>
  <c r="AJ3" i="1"/>
  <c r="AJ84" i="1"/>
  <c r="AJ90" i="1" s="1"/>
  <c r="AE136" i="1"/>
  <c r="AE134" i="1"/>
  <c r="AJ121" i="1"/>
  <c r="AJ132" i="1" s="1"/>
  <c r="AJ144" i="1"/>
  <c r="AD136" i="1"/>
  <c r="AH136" i="1"/>
  <c r="AH161" i="1"/>
  <c r="AH170" i="1" s="1"/>
  <c r="AH134" i="1"/>
  <c r="AD170" i="1"/>
  <c r="AJ157" i="1"/>
  <c r="X93" i="1"/>
  <c r="X170" i="1"/>
  <c r="Z161" i="1"/>
  <c r="Z136" i="1"/>
  <c r="Z134" i="1"/>
  <c r="AA178" i="1"/>
  <c r="AA115" i="1"/>
  <c r="U121" i="1"/>
  <c r="U132" i="1" s="1"/>
  <c r="Y161" i="1"/>
  <c r="Y170" i="1" s="1"/>
  <c r="Y134" i="1"/>
  <c r="Y136" i="1"/>
  <c r="AA157" i="1"/>
  <c r="U170" i="1"/>
  <c r="U136" i="1"/>
  <c r="T74" i="1"/>
  <c r="AA3" i="1"/>
  <c r="W134" i="1"/>
  <c r="W136" i="1"/>
  <c r="BY136" i="1" s="1"/>
  <c r="T136" i="1"/>
  <c r="AA144" i="1"/>
  <c r="AA154" i="1" s="1"/>
  <c r="AA121" i="1"/>
  <c r="AA132" i="1" s="1"/>
  <c r="AA69" i="1" s="1"/>
  <c r="V90" i="1"/>
  <c r="V97" i="1" s="1"/>
  <c r="AA84" i="1"/>
  <c r="AA90" i="1" s="1"/>
  <c r="R131" i="1"/>
  <c r="K121" i="1"/>
  <c r="K132" i="1" s="1"/>
  <c r="L132" i="1"/>
  <c r="L133" i="1" s="1"/>
  <c r="Q161" i="1"/>
  <c r="Q136" i="1"/>
  <c r="Q134" i="1"/>
  <c r="Q133" i="1"/>
  <c r="K136" i="1"/>
  <c r="K196" i="1"/>
  <c r="R196" i="1" s="1"/>
  <c r="K168" i="1"/>
  <c r="R168" i="1" s="1"/>
  <c r="K167" i="1"/>
  <c r="R167" i="1" s="1"/>
  <c r="K166" i="1"/>
  <c r="R166" i="1" s="1"/>
  <c r="K80" i="1"/>
  <c r="K97" i="1" s="1"/>
  <c r="R74" i="1"/>
  <c r="R80" i="1" s="1"/>
  <c r="O133" i="1"/>
  <c r="M133" i="1"/>
  <c r="R121" i="1"/>
  <c r="K187" i="1"/>
  <c r="R187" i="1" s="1"/>
  <c r="K149" i="1"/>
  <c r="R149" i="1" s="1"/>
  <c r="K148" i="1"/>
  <c r="R148" i="1" s="1"/>
  <c r="M183" i="1"/>
  <c r="K160" i="1"/>
  <c r="K153" i="1"/>
  <c r="R153" i="1" s="1"/>
  <c r="K147" i="1"/>
  <c r="M84" i="1"/>
  <c r="K164" i="1"/>
  <c r="R164" i="1" s="1"/>
  <c r="K178" i="1"/>
  <c r="K150" i="1"/>
  <c r="R150" i="1" s="1"/>
  <c r="L157" i="1"/>
  <c r="P134" i="1"/>
  <c r="P161" i="1"/>
  <c r="P170" i="1" s="1"/>
  <c r="P136" i="1"/>
  <c r="O93" i="1"/>
  <c r="O170" i="1"/>
  <c r="P133" i="1"/>
  <c r="M134" i="1"/>
  <c r="AV211" i="1" l="1"/>
  <c r="AV219" i="1" s="1"/>
  <c r="AV220" i="1" s="1"/>
  <c r="B240" i="9"/>
  <c r="I225" i="9"/>
  <c r="I240" i="9" s="1"/>
  <c r="B220" i="9"/>
  <c r="B211" i="10"/>
  <c r="B231" i="10" s="1"/>
  <c r="I231" i="10" s="1"/>
  <c r="D211" i="9"/>
  <c r="D68" i="10"/>
  <c r="C68" i="10"/>
  <c r="D219" i="9"/>
  <c r="D67" i="9"/>
  <c r="AA134" i="3"/>
  <c r="BK69" i="3"/>
  <c r="AS134" i="3"/>
  <c r="AA68" i="3"/>
  <c r="BF211" i="3"/>
  <c r="V211" i="3"/>
  <c r="V219" i="3" s="1"/>
  <c r="V220" i="3" s="1"/>
  <c r="AW211" i="3"/>
  <c r="T197" i="3"/>
  <c r="AR211" i="3"/>
  <c r="AJ160" i="3"/>
  <c r="AC170" i="3"/>
  <c r="AD133" i="3"/>
  <c r="AJ133" i="3" s="1"/>
  <c r="BD141" i="3"/>
  <c r="BD142" i="3" s="1"/>
  <c r="BD211" i="3" s="1"/>
  <c r="BD219" i="3" s="1"/>
  <c r="BD220" i="3" s="1"/>
  <c r="BW134" i="3"/>
  <c r="BV149" i="3"/>
  <c r="CC149" i="3" s="1"/>
  <c r="I149" i="3"/>
  <c r="AJ84" i="3"/>
  <c r="AJ90" i="3" s="1"/>
  <c r="AE90" i="3"/>
  <c r="AE97" i="3" s="1"/>
  <c r="AM170" i="3"/>
  <c r="AS157" i="3"/>
  <c r="AV141" i="3"/>
  <c r="AV142" i="3" s="1"/>
  <c r="AV211" i="3" s="1"/>
  <c r="AV219" i="3" s="1"/>
  <c r="AV220" i="3" s="1"/>
  <c r="AS132" i="3"/>
  <c r="CC182" i="3"/>
  <c r="BB136" i="3"/>
  <c r="BT134" i="3"/>
  <c r="BM141" i="3"/>
  <c r="BM142" i="3" s="1"/>
  <c r="BM211" i="3" s="1"/>
  <c r="BM219" i="3" s="1"/>
  <c r="BM220" i="3" s="1"/>
  <c r="BW121" i="3"/>
  <c r="BW132" i="3" s="1"/>
  <c r="CC115" i="3"/>
  <c r="CC121" i="3" s="1"/>
  <c r="CC132" i="3" s="1"/>
  <c r="BV148" i="3"/>
  <c r="CC148" i="3" s="1"/>
  <c r="I148" i="3"/>
  <c r="AM133" i="3"/>
  <c r="AM141" i="3" s="1"/>
  <c r="AM142" i="3" s="1"/>
  <c r="AE141" i="3"/>
  <c r="AE142" i="3" s="1"/>
  <c r="BK197" i="3"/>
  <c r="BY133" i="3"/>
  <c r="BY141" i="3" s="1"/>
  <c r="BY142" i="3" s="1"/>
  <c r="BY211" i="3" s="1"/>
  <c r="BY219" i="3" s="1"/>
  <c r="BY220" i="3" s="1"/>
  <c r="E141" i="3"/>
  <c r="E142" i="3" s="1"/>
  <c r="E211" i="3" s="1"/>
  <c r="E219" i="3" s="1"/>
  <c r="E220" i="3" s="1"/>
  <c r="BK134" i="3"/>
  <c r="AZ96" i="3"/>
  <c r="AZ97" i="3" s="1"/>
  <c r="R183" i="3"/>
  <c r="M197" i="3"/>
  <c r="M211" i="3" s="1"/>
  <c r="AU133" i="3"/>
  <c r="AS147" i="3"/>
  <c r="AS154" i="3" s="1"/>
  <c r="AL154" i="3"/>
  <c r="CC158" i="3"/>
  <c r="L133" i="3"/>
  <c r="L141" i="3" s="1"/>
  <c r="L142" i="3" s="1"/>
  <c r="BN133" i="3"/>
  <c r="T141" i="3"/>
  <c r="T142" i="3" s="1"/>
  <c r="BB197" i="3"/>
  <c r="BT154" i="3"/>
  <c r="BV164" i="3"/>
  <c r="CC164" i="3" s="1"/>
  <c r="I164" i="3"/>
  <c r="BJ170" i="3"/>
  <c r="BJ93" i="3"/>
  <c r="BT170" i="3"/>
  <c r="BF219" i="3"/>
  <c r="BF220" i="3" s="1"/>
  <c r="R68" i="3"/>
  <c r="BV136" i="3"/>
  <c r="AW219" i="3"/>
  <c r="AW220" i="3" s="1"/>
  <c r="Q219" i="3"/>
  <c r="Q220" i="3" s="1"/>
  <c r="AL141" i="3"/>
  <c r="AL142" i="3" s="1"/>
  <c r="BJ141" i="3"/>
  <c r="BJ142" i="3" s="1"/>
  <c r="CC83" i="3"/>
  <c r="AS161" i="3"/>
  <c r="AP93" i="3"/>
  <c r="AP170" i="3"/>
  <c r="BW136" i="3"/>
  <c r="AE197" i="3"/>
  <c r="AJ183" i="3"/>
  <c r="BQ96" i="3"/>
  <c r="BQ97" i="3" s="1"/>
  <c r="R134" i="3"/>
  <c r="C133" i="3"/>
  <c r="K166" i="3"/>
  <c r="R166" i="3" s="1"/>
  <c r="K167" i="3"/>
  <c r="R167" i="3" s="1"/>
  <c r="R196" i="3"/>
  <c r="S196" i="3" s="1"/>
  <c r="K168" i="3"/>
  <c r="R168" i="3" s="1"/>
  <c r="K80" i="3"/>
  <c r="K97" i="3" s="1"/>
  <c r="R74" i="3"/>
  <c r="R80" i="3" s="1"/>
  <c r="AI170" i="3"/>
  <c r="AI211" i="3" s="1"/>
  <c r="AI93" i="3"/>
  <c r="AI96" i="3" s="1"/>
  <c r="AI97" i="3" s="1"/>
  <c r="BV147" i="3"/>
  <c r="CC147" i="3" s="1"/>
  <c r="I147" i="3"/>
  <c r="B154" i="3"/>
  <c r="AC154" i="3"/>
  <c r="AJ144" i="3"/>
  <c r="AJ154" i="3" s="1"/>
  <c r="BV144" i="3"/>
  <c r="B133" i="3"/>
  <c r="R147" i="3"/>
  <c r="R154" i="3" s="1"/>
  <c r="K154" i="3"/>
  <c r="CC135" i="3"/>
  <c r="I121" i="3"/>
  <c r="I132" i="3" s="1"/>
  <c r="I84" i="3"/>
  <c r="I90" i="3" s="1"/>
  <c r="D90" i="3"/>
  <c r="D97" i="3" s="1"/>
  <c r="BX84" i="3"/>
  <c r="CC84" i="3" s="1"/>
  <c r="R84" i="3"/>
  <c r="R90" i="3" s="1"/>
  <c r="M90" i="3"/>
  <c r="M97" i="3" s="1"/>
  <c r="BV121" i="3"/>
  <c r="BV132" i="3" s="1"/>
  <c r="AS160" i="3"/>
  <c r="AL170" i="3"/>
  <c r="CA136" i="3"/>
  <c r="F96" i="3"/>
  <c r="F97" i="3" s="1"/>
  <c r="F219" i="3" s="1"/>
  <c r="F220" i="3" s="1"/>
  <c r="BX134" i="3"/>
  <c r="BX141" i="3" s="1"/>
  <c r="BX142" i="3" s="1"/>
  <c r="BT136" i="3"/>
  <c r="D197" i="3"/>
  <c r="D211" i="3" s="1"/>
  <c r="I183" i="3"/>
  <c r="BX183" i="3"/>
  <c r="CC183" i="3" s="1"/>
  <c r="BT121" i="3"/>
  <c r="BT132" i="3" s="1"/>
  <c r="BT68" i="3" s="1"/>
  <c r="BB161" i="3"/>
  <c r="BB170" i="3" s="1"/>
  <c r="AY170" i="3"/>
  <c r="AY211" i="3" s="1"/>
  <c r="AY93" i="3"/>
  <c r="BZ93" i="3" s="1"/>
  <c r="AA197" i="3"/>
  <c r="AS136" i="3"/>
  <c r="X96" i="3"/>
  <c r="X97" i="3" s="1"/>
  <c r="X219" i="3" s="1"/>
  <c r="X220" i="3" s="1"/>
  <c r="AA93" i="3"/>
  <c r="AA96" i="3" s="1"/>
  <c r="AA97" i="3" s="1"/>
  <c r="BV187" i="3"/>
  <c r="I187" i="3"/>
  <c r="BR170" i="3"/>
  <c r="BR211" i="3" s="1"/>
  <c r="BR93" i="3"/>
  <c r="BR96" i="3" s="1"/>
  <c r="BR97" i="3" s="1"/>
  <c r="AS187" i="3"/>
  <c r="AL197" i="3"/>
  <c r="AQ141" i="3"/>
  <c r="AQ142" i="3" s="1"/>
  <c r="AQ211" i="3" s="1"/>
  <c r="AQ219" i="3" s="1"/>
  <c r="AQ220" i="3" s="1"/>
  <c r="AG96" i="3"/>
  <c r="AG97" i="3" s="1"/>
  <c r="AG219" i="3" s="1"/>
  <c r="AG220" i="3" s="1"/>
  <c r="AJ136" i="3"/>
  <c r="CA161" i="3"/>
  <c r="CA170" i="3" s="1"/>
  <c r="G170" i="3"/>
  <c r="U133" i="3"/>
  <c r="U141" i="3" s="1"/>
  <c r="U142" i="3" s="1"/>
  <c r="U211" i="3" s="1"/>
  <c r="U219" i="3" s="1"/>
  <c r="U220" i="3" s="1"/>
  <c r="BE133" i="3"/>
  <c r="BE141" i="3" s="1"/>
  <c r="BE142" i="3" s="1"/>
  <c r="BE211" i="3" s="1"/>
  <c r="BE219" i="3" s="1"/>
  <c r="BE220" i="3" s="1"/>
  <c r="BV160" i="3"/>
  <c r="CC160" i="3" s="1"/>
  <c r="I160" i="3"/>
  <c r="BZ142" i="3"/>
  <c r="BZ211" i="3" s="1"/>
  <c r="Z170" i="3"/>
  <c r="Z211" i="3" s="1"/>
  <c r="Z93" i="3"/>
  <c r="Z96" i="3" s="1"/>
  <c r="Z97" i="3" s="1"/>
  <c r="CB219" i="3"/>
  <c r="CB220" i="3" s="1"/>
  <c r="AJ161" i="3"/>
  <c r="CA134" i="3"/>
  <c r="G141" i="3"/>
  <c r="G142" i="3" s="1"/>
  <c r="G211" i="3" s="1"/>
  <c r="G219" i="3" s="1"/>
  <c r="G220" i="3" s="1"/>
  <c r="X211" i="3"/>
  <c r="AA161" i="3"/>
  <c r="AA170" i="3" s="1"/>
  <c r="BV153" i="3"/>
  <c r="CC153" i="3" s="1"/>
  <c r="I153" i="3"/>
  <c r="R160" i="3"/>
  <c r="AJ187" i="3"/>
  <c r="AC197" i="3"/>
  <c r="BS170" i="3"/>
  <c r="BS211" i="3" s="1"/>
  <c r="BS93" i="3"/>
  <c r="BS96" i="3" s="1"/>
  <c r="BS97" i="3" s="1"/>
  <c r="AN90" i="3"/>
  <c r="AN97" i="3" s="1"/>
  <c r="AS84" i="3"/>
  <c r="AS90" i="3" s="1"/>
  <c r="BO141" i="3"/>
  <c r="BO142" i="3" s="1"/>
  <c r="BO211" i="3" s="1"/>
  <c r="BO219" i="3" s="1"/>
  <c r="BO220" i="3" s="1"/>
  <c r="BZ170" i="3"/>
  <c r="K141" i="3"/>
  <c r="K142" i="3" s="1"/>
  <c r="BA219" i="3"/>
  <c r="BA220" i="3" s="1"/>
  <c r="AZ211" i="3"/>
  <c r="H170" i="3"/>
  <c r="H211" i="3" s="1"/>
  <c r="H93" i="3"/>
  <c r="H96" i="3" s="1"/>
  <c r="H97" i="3" s="1"/>
  <c r="C170" i="3"/>
  <c r="I157" i="3"/>
  <c r="BW157" i="3"/>
  <c r="R187" i="3"/>
  <c r="AJ157" i="3"/>
  <c r="AD170" i="3"/>
  <c r="AN197" i="3"/>
  <c r="AN211" i="3" s="1"/>
  <c r="AS183" i="3"/>
  <c r="O96" i="3"/>
  <c r="O97" i="3" s="1"/>
  <c r="O219" i="3" s="1"/>
  <c r="O220" i="3" s="1"/>
  <c r="R93" i="3"/>
  <c r="R96" i="3" s="1"/>
  <c r="AC141" i="3"/>
  <c r="AC142" i="3" s="1"/>
  <c r="AJ121" i="3"/>
  <c r="AJ132" i="3" s="1"/>
  <c r="AJ68" i="3" s="1"/>
  <c r="AR170" i="3"/>
  <c r="AR93" i="3"/>
  <c r="AR96" i="3" s="1"/>
  <c r="AR97" i="3" s="1"/>
  <c r="BI170" i="3"/>
  <c r="BI211" i="3" s="1"/>
  <c r="BI219" i="3" s="1"/>
  <c r="BI220" i="3" s="1"/>
  <c r="BK161" i="3"/>
  <c r="BK170" i="3" s="1"/>
  <c r="B197" i="3"/>
  <c r="B167" i="3"/>
  <c r="B168" i="3"/>
  <c r="B80" i="3"/>
  <c r="B97" i="3" s="1"/>
  <c r="B166" i="3"/>
  <c r="BV74" i="3"/>
  <c r="I74" i="3"/>
  <c r="I80" i="3" s="1"/>
  <c r="BV150" i="3"/>
  <c r="CC150" i="3" s="1"/>
  <c r="I150" i="3"/>
  <c r="R157" i="3"/>
  <c r="L170" i="3"/>
  <c r="AP211" i="3"/>
  <c r="BZ133" i="3"/>
  <c r="BZ141" i="3" s="1"/>
  <c r="T170" i="3"/>
  <c r="BQ211" i="3"/>
  <c r="BB134" i="3"/>
  <c r="Y141" i="3"/>
  <c r="Y142" i="3" s="1"/>
  <c r="Y211" i="3" s="1"/>
  <c r="Y219" i="3" s="1"/>
  <c r="Y220" i="3" s="1"/>
  <c r="CA133" i="3"/>
  <c r="BR211" i="2"/>
  <c r="BR170" i="2"/>
  <c r="BR93" i="2"/>
  <c r="BR96" i="2" s="1"/>
  <c r="BR97" i="2" s="1"/>
  <c r="BT68" i="2"/>
  <c r="BT170" i="2"/>
  <c r="BT133" i="2"/>
  <c r="BT141" i="2" s="1"/>
  <c r="BT142" i="2" s="1"/>
  <c r="BT93" i="2"/>
  <c r="BT96" i="2" s="1"/>
  <c r="BT97" i="2" s="1"/>
  <c r="BQ96" i="2"/>
  <c r="BQ97" i="2" s="1"/>
  <c r="BQ219" i="2" s="1"/>
  <c r="BQ220" i="2" s="1"/>
  <c r="BT136" i="2"/>
  <c r="BT134" i="2"/>
  <c r="BS170" i="2"/>
  <c r="BS211" i="2" s="1"/>
  <c r="BS93" i="2"/>
  <c r="BS96" i="2" s="1"/>
  <c r="BS97" i="2" s="1"/>
  <c r="BO219" i="2"/>
  <c r="BO220" i="2" s="1"/>
  <c r="BJ211" i="2"/>
  <c r="BI211" i="2"/>
  <c r="BI219" i="2" s="1"/>
  <c r="BI220" i="2" s="1"/>
  <c r="BK136" i="2"/>
  <c r="BE141" i="2"/>
  <c r="BE142" i="2" s="1"/>
  <c r="BE211" i="2" s="1"/>
  <c r="BE219" i="2" s="1"/>
  <c r="BE220" i="2" s="1"/>
  <c r="BJ93" i="2"/>
  <c r="BJ170" i="2"/>
  <c r="BD141" i="2"/>
  <c r="BD142" i="2" s="1"/>
  <c r="BD211" i="2" s="1"/>
  <c r="BD219" i="2" s="1"/>
  <c r="BD220" i="2" s="1"/>
  <c r="BK133" i="2"/>
  <c r="BK141" i="2" s="1"/>
  <c r="BK142" i="2" s="1"/>
  <c r="BK68" i="2"/>
  <c r="BK161" i="2"/>
  <c r="BK170" i="2" s="1"/>
  <c r="BI170" i="2"/>
  <c r="BB170" i="2"/>
  <c r="BA211" i="2"/>
  <c r="AW141" i="2"/>
  <c r="AW142" i="2" s="1"/>
  <c r="AW211" i="2" s="1"/>
  <c r="AW219" i="2" s="1"/>
  <c r="AW220" i="2" s="1"/>
  <c r="AZ211" i="2"/>
  <c r="AZ219" i="2" s="1"/>
  <c r="AZ220" i="2" s="1"/>
  <c r="AY170" i="2"/>
  <c r="BB161" i="2"/>
  <c r="AY93" i="2"/>
  <c r="BZ136" i="2"/>
  <c r="AY141" i="2"/>
  <c r="AY142" i="2" s="1"/>
  <c r="AU141" i="2"/>
  <c r="AU142" i="2" s="1"/>
  <c r="AU211" i="2" s="1"/>
  <c r="AU219" i="2" s="1"/>
  <c r="AU220" i="2" s="1"/>
  <c r="BB133" i="2"/>
  <c r="BB141" i="2" s="1"/>
  <c r="BB142" i="2"/>
  <c r="BB69" i="2"/>
  <c r="BA219" i="2"/>
  <c r="BA220" i="2" s="1"/>
  <c r="AR170" i="2"/>
  <c r="AR211" i="2" s="1"/>
  <c r="AR93" i="2"/>
  <c r="AR96" i="2" s="1"/>
  <c r="AR97" i="2" s="1"/>
  <c r="AS136" i="2"/>
  <c r="CA133" i="2"/>
  <c r="AS121" i="2"/>
  <c r="AS132" i="2" s="1"/>
  <c r="AP170" i="2"/>
  <c r="AP211" i="2" s="1"/>
  <c r="AP93" i="2"/>
  <c r="AS161" i="2"/>
  <c r="AS170" i="2" s="1"/>
  <c r="AM133" i="2"/>
  <c r="AS133" i="2" s="1"/>
  <c r="AM134" i="2"/>
  <c r="AS134" i="2" s="1"/>
  <c r="AL141" i="2"/>
  <c r="AL142" i="2" s="1"/>
  <c r="AL211" i="2" s="1"/>
  <c r="AL219" i="2" s="1"/>
  <c r="AL220" i="2" s="1"/>
  <c r="AN219" i="2"/>
  <c r="AN220" i="2" s="1"/>
  <c r="AI211" i="2"/>
  <c r="AI170" i="2"/>
  <c r="AI93" i="2"/>
  <c r="AI96" i="2" s="1"/>
  <c r="AI97" i="2" s="1"/>
  <c r="AE219" i="2"/>
  <c r="AE220" i="2" s="1"/>
  <c r="AC219" i="2"/>
  <c r="AC220" i="2" s="1"/>
  <c r="AC211" i="2"/>
  <c r="AJ136" i="2"/>
  <c r="AJ141" i="2"/>
  <c r="AJ142" i="2" s="1"/>
  <c r="AJ170" i="2"/>
  <c r="AD141" i="2"/>
  <c r="AD142" i="2" s="1"/>
  <c r="AD211" i="2" s="1"/>
  <c r="AD219" i="2" s="1"/>
  <c r="AD220" i="2" s="1"/>
  <c r="AG93" i="2"/>
  <c r="AG170" i="2"/>
  <c r="AG211" i="2" s="1"/>
  <c r="AJ161" i="2"/>
  <c r="AA187" i="2"/>
  <c r="T197" i="2"/>
  <c r="V141" i="2"/>
  <c r="V142" i="2" s="1"/>
  <c r="AA84" i="2"/>
  <c r="AA90" i="2" s="1"/>
  <c r="V90" i="2"/>
  <c r="V97" i="2" s="1"/>
  <c r="AA97" i="2"/>
  <c r="BV187" i="2"/>
  <c r="CC187" i="2" s="1"/>
  <c r="V197" i="2"/>
  <c r="AA183" i="2"/>
  <c r="AA197" i="2" s="1"/>
  <c r="AA121" i="2"/>
  <c r="AA132" i="2" s="1"/>
  <c r="Y141" i="2"/>
  <c r="Y142" i="2" s="1"/>
  <c r="Y211" i="2" s="1"/>
  <c r="Y219" i="2" s="1"/>
  <c r="Y220" i="2" s="1"/>
  <c r="AA160" i="2"/>
  <c r="T170" i="2"/>
  <c r="T133" i="2"/>
  <c r="T134" i="2"/>
  <c r="AA157" i="2"/>
  <c r="AA170" i="2" s="1"/>
  <c r="U170" i="2"/>
  <c r="X141" i="2"/>
  <c r="X142" i="2" s="1"/>
  <c r="X211" i="2" s="1"/>
  <c r="CC65" i="2"/>
  <c r="AA147" i="2"/>
  <c r="AA154" i="2" s="1"/>
  <c r="T154" i="2"/>
  <c r="U133" i="2"/>
  <c r="U134" i="2"/>
  <c r="AA93" i="2"/>
  <c r="AA96" i="2" s="1"/>
  <c r="X96" i="2"/>
  <c r="X97" i="2" s="1"/>
  <c r="Z219" i="2"/>
  <c r="Z220" i="2" s="1"/>
  <c r="M90" i="2"/>
  <c r="M97" i="2" s="1"/>
  <c r="M219" i="2" s="1"/>
  <c r="M220" i="2" s="1"/>
  <c r="R84" i="2"/>
  <c r="R90" i="2" s="1"/>
  <c r="O170" i="2"/>
  <c r="R161" i="2"/>
  <c r="O93" i="2"/>
  <c r="R147" i="2"/>
  <c r="R154" i="2" s="1"/>
  <c r="K154" i="2"/>
  <c r="R136" i="2"/>
  <c r="R134" i="2"/>
  <c r="R160" i="2"/>
  <c r="K170" i="2"/>
  <c r="O141" i="2"/>
  <c r="O142" i="2" s="1"/>
  <c r="K133" i="2"/>
  <c r="R183" i="2"/>
  <c r="R197" i="2" s="1"/>
  <c r="M197" i="2"/>
  <c r="R121" i="2"/>
  <c r="R132" i="2" s="1"/>
  <c r="M211" i="2"/>
  <c r="BW121" i="2"/>
  <c r="BW132" i="2" s="1"/>
  <c r="L133" i="2"/>
  <c r="L141" i="2" s="1"/>
  <c r="L142" i="2" s="1"/>
  <c r="L211" i="2" s="1"/>
  <c r="L219" i="2" s="1"/>
  <c r="L220" i="2" s="1"/>
  <c r="R187" i="2"/>
  <c r="K197" i="2"/>
  <c r="R157" i="2"/>
  <c r="R170" i="2" s="1"/>
  <c r="L170" i="2"/>
  <c r="F211" i="2"/>
  <c r="I157" i="2"/>
  <c r="I170" i="2" s="1"/>
  <c r="C170" i="2"/>
  <c r="I84" i="2"/>
  <c r="I90" i="2" s="1"/>
  <c r="D90" i="2"/>
  <c r="D97" i="2" s="1"/>
  <c r="BV153" i="2"/>
  <c r="CC153" i="2" s="1"/>
  <c r="D197" i="2"/>
  <c r="D211" i="2" s="1"/>
  <c r="I183" i="2"/>
  <c r="I197" i="2" s="1"/>
  <c r="H211" i="2"/>
  <c r="H219" i="2" s="1"/>
  <c r="H220" i="2" s="1"/>
  <c r="BV149" i="2"/>
  <c r="CC149" i="2" s="1"/>
  <c r="I69" i="2"/>
  <c r="B154" i="2"/>
  <c r="I147" i="2"/>
  <c r="I154" i="2" s="1"/>
  <c r="B133" i="2"/>
  <c r="B134" i="2"/>
  <c r="I134" i="2" s="1"/>
  <c r="C133" i="2"/>
  <c r="C141" i="2" s="1"/>
  <c r="C142" i="2" s="1"/>
  <c r="C211" i="2" s="1"/>
  <c r="C219" i="2" s="1"/>
  <c r="C220" i="2" s="1"/>
  <c r="I97" i="2"/>
  <c r="I160" i="2"/>
  <c r="B170" i="2"/>
  <c r="F96" i="2"/>
  <c r="F97" i="2" s="1"/>
  <c r="I93" i="2"/>
  <c r="I96" i="2" s="1"/>
  <c r="I187" i="2"/>
  <c r="B197" i="2"/>
  <c r="BY133" i="2"/>
  <c r="CC182" i="2"/>
  <c r="BZ134" i="2"/>
  <c r="BV150" i="2"/>
  <c r="CC150" i="2" s="1"/>
  <c r="BV136" i="2"/>
  <c r="BZ133" i="2"/>
  <c r="CC83" i="2"/>
  <c r="BY134" i="2"/>
  <c r="BV148" i="2"/>
  <c r="CC148" i="2" s="1"/>
  <c r="CA134" i="2"/>
  <c r="BW157" i="2"/>
  <c r="BX136" i="2"/>
  <c r="CC121" i="2"/>
  <c r="CC132" i="2" s="1"/>
  <c r="BV74" i="2"/>
  <c r="CA136" i="2"/>
  <c r="CA161" i="2"/>
  <c r="CA170" i="2" s="1"/>
  <c r="CC140" i="2"/>
  <c r="BX161" i="2"/>
  <c r="BX170" i="2" s="1"/>
  <c r="BV144" i="2"/>
  <c r="BV164" i="2"/>
  <c r="CC164" i="2" s="1"/>
  <c r="BX134" i="2"/>
  <c r="BV121" i="2"/>
  <c r="BV132" i="2" s="1"/>
  <c r="CC135" i="2"/>
  <c r="BV161" i="2"/>
  <c r="CB170" i="2"/>
  <c r="CB93" i="2"/>
  <c r="CB96" i="2" s="1"/>
  <c r="CB97" i="2" s="1"/>
  <c r="CB219" i="2" s="1"/>
  <c r="CB220" i="2" s="1"/>
  <c r="CA93" i="2"/>
  <c r="CA96" i="2" s="1"/>
  <c r="CA97" i="2" s="1"/>
  <c r="BX133" i="2"/>
  <c r="CB141" i="2"/>
  <c r="CB142" i="2" s="1"/>
  <c r="CB211" i="2" s="1"/>
  <c r="BX84" i="2"/>
  <c r="CC84" i="2" s="1"/>
  <c r="BX183" i="2"/>
  <c r="CC183" i="2" s="1"/>
  <c r="BV178" i="2"/>
  <c r="BJ141" i="1"/>
  <c r="BJ142" i="1" s="1"/>
  <c r="AJ134" i="1"/>
  <c r="AW219" i="1"/>
  <c r="AW220" i="1" s="1"/>
  <c r="BK132" i="1"/>
  <c r="R132" i="1"/>
  <c r="R69" i="1" s="1"/>
  <c r="AY93" i="1"/>
  <c r="AY96" i="1" s="1"/>
  <c r="AY97" i="1" s="1"/>
  <c r="AI141" i="1"/>
  <c r="AI142" i="1" s="1"/>
  <c r="AP141" i="1"/>
  <c r="AP142" i="1" s="1"/>
  <c r="AP211" i="1" s="1"/>
  <c r="BT154" i="1"/>
  <c r="AY211" i="1"/>
  <c r="BG141" i="1"/>
  <c r="BG142" i="1" s="1"/>
  <c r="BG211" i="1" s="1"/>
  <c r="BG219" i="1" s="1"/>
  <c r="BG220" i="1" s="1"/>
  <c r="BY133" i="1"/>
  <c r="AA136" i="1"/>
  <c r="AH141" i="1"/>
  <c r="AH142" i="1" s="1"/>
  <c r="AH211" i="1" s="1"/>
  <c r="AH219" i="1" s="1"/>
  <c r="AH220" i="1" s="1"/>
  <c r="X211" i="1"/>
  <c r="Z141" i="1"/>
  <c r="Z142" i="1" s="1"/>
  <c r="AJ136" i="1"/>
  <c r="BK134" i="1"/>
  <c r="AC154" i="1"/>
  <c r="AG141" i="1"/>
  <c r="AG142" i="1" s="1"/>
  <c r="AM133" i="1"/>
  <c r="AS133" i="1" s="1"/>
  <c r="AJ154" i="1"/>
  <c r="AN219" i="1"/>
  <c r="AN220" i="1" s="1"/>
  <c r="BB136" i="1"/>
  <c r="BM134" i="1"/>
  <c r="BT134" i="1" s="1"/>
  <c r="O141" i="1"/>
  <c r="O142" i="1" s="1"/>
  <c r="V197" i="1"/>
  <c r="V211" i="1" s="1"/>
  <c r="V219" i="1" s="1"/>
  <c r="V220" i="1" s="1"/>
  <c r="Y141" i="1"/>
  <c r="Y142" i="1" s="1"/>
  <c r="Y211" i="1" s="1"/>
  <c r="Y219" i="1" s="1"/>
  <c r="Y220" i="1" s="1"/>
  <c r="AE141" i="1"/>
  <c r="AE142" i="1" s="1"/>
  <c r="AE211" i="1" s="1"/>
  <c r="AE219" i="1" s="1"/>
  <c r="AE220" i="1" s="1"/>
  <c r="BA141" i="1"/>
  <c r="BA142" i="1" s="1"/>
  <c r="L134" i="1"/>
  <c r="BO170" i="1"/>
  <c r="BO211" i="1" s="1"/>
  <c r="BO219" i="1" s="1"/>
  <c r="BO220" i="1" s="1"/>
  <c r="BX161" i="1"/>
  <c r="BX170" i="1" s="1"/>
  <c r="CB170" i="1"/>
  <c r="CB211" i="1" s="1"/>
  <c r="CB93" i="1"/>
  <c r="CB96" i="1" s="1"/>
  <c r="CB97" i="1" s="1"/>
  <c r="BR211" i="1"/>
  <c r="BS219" i="1"/>
  <c r="BS220" i="1" s="1"/>
  <c r="BQ96" i="1"/>
  <c r="BQ97" i="1" s="1"/>
  <c r="BQ219" i="1" s="1"/>
  <c r="BQ220" i="1" s="1"/>
  <c r="BR170" i="1"/>
  <c r="BR93" i="1"/>
  <c r="BR96" i="1" s="1"/>
  <c r="BR97" i="1" s="1"/>
  <c r="BT161" i="1"/>
  <c r="BT170" i="1" s="1"/>
  <c r="BN133" i="1"/>
  <c r="BT121" i="1"/>
  <c r="BT132" i="1" s="1"/>
  <c r="BJ211" i="1"/>
  <c r="BE141" i="1"/>
  <c r="BE142" i="1" s="1"/>
  <c r="BE211" i="1" s="1"/>
  <c r="BE219" i="1" s="1"/>
  <c r="BE220" i="1" s="1"/>
  <c r="BJ93" i="1"/>
  <c r="BJ170" i="1"/>
  <c r="BF211" i="1"/>
  <c r="BF219" i="1" s="1"/>
  <c r="BF220" i="1" s="1"/>
  <c r="BK161" i="1"/>
  <c r="BK170" i="1"/>
  <c r="BK136" i="1"/>
  <c r="BD133" i="1"/>
  <c r="BK197" i="1"/>
  <c r="BA93" i="1"/>
  <c r="BA96" i="1" s="1"/>
  <c r="BA97" i="1" s="1"/>
  <c r="BA170" i="1"/>
  <c r="AZ170" i="1"/>
  <c r="AZ211" i="1" s="1"/>
  <c r="AZ93" i="1"/>
  <c r="BB93" i="1" s="1"/>
  <c r="BB96" i="1" s="1"/>
  <c r="BB97" i="1" s="1"/>
  <c r="AU133" i="1"/>
  <c r="AU134" i="1"/>
  <c r="BB134" i="1" s="1"/>
  <c r="BB161" i="1"/>
  <c r="BB170" i="1" s="1"/>
  <c r="BB121" i="1"/>
  <c r="BB132" i="1" s="1"/>
  <c r="AS134" i="1"/>
  <c r="AS136" i="1"/>
  <c r="AR141" i="1"/>
  <c r="AR142" i="1" s="1"/>
  <c r="AS161" i="1"/>
  <c r="AS170" i="1" s="1"/>
  <c r="AP93" i="1"/>
  <c r="AP170" i="1"/>
  <c r="AS166" i="1"/>
  <c r="AL170" i="1"/>
  <c r="AR170" i="1"/>
  <c r="AR93" i="1"/>
  <c r="AR96" i="1" s="1"/>
  <c r="AR97" i="1" s="1"/>
  <c r="AL141" i="1"/>
  <c r="AL142" i="1" s="1"/>
  <c r="AL211" i="1" s="1"/>
  <c r="AL219" i="1" s="1"/>
  <c r="AL220" i="1" s="1"/>
  <c r="AQ141" i="1"/>
  <c r="AQ142" i="1" s="1"/>
  <c r="AQ211" i="1" s="1"/>
  <c r="AQ219" i="1" s="1"/>
  <c r="AQ220" i="1" s="1"/>
  <c r="AI170" i="1"/>
  <c r="AI211" i="1" s="1"/>
  <c r="AI93" i="1"/>
  <c r="AI96" i="1" s="1"/>
  <c r="AI97" i="1" s="1"/>
  <c r="AD133" i="1"/>
  <c r="AJ69" i="1"/>
  <c r="AJ74" i="1"/>
  <c r="AJ80" i="1" s="1"/>
  <c r="AC196" i="1"/>
  <c r="AC168" i="1"/>
  <c r="AJ168" i="1" s="1"/>
  <c r="AC80" i="1"/>
  <c r="AC97" i="1" s="1"/>
  <c r="AC167" i="1"/>
  <c r="AJ167" i="1" s="1"/>
  <c r="AC166" i="1"/>
  <c r="AJ161" i="1"/>
  <c r="AG93" i="1"/>
  <c r="AG170" i="1"/>
  <c r="AG211" i="1" s="1"/>
  <c r="AJ68" i="1"/>
  <c r="AA161" i="1"/>
  <c r="U133" i="1"/>
  <c r="AA68" i="1"/>
  <c r="T168" i="1"/>
  <c r="AA168" i="1" s="1"/>
  <c r="AA74" i="1"/>
  <c r="AA80" i="1" s="1"/>
  <c r="T196" i="1"/>
  <c r="T167" i="1"/>
  <c r="AA167" i="1" s="1"/>
  <c r="T80" i="1"/>
  <c r="T97" i="1" s="1"/>
  <c r="T166" i="1"/>
  <c r="U134" i="1"/>
  <c r="AA134" i="1" s="1"/>
  <c r="Z170" i="1"/>
  <c r="Z211" i="1" s="1"/>
  <c r="Z93" i="1"/>
  <c r="Z96" i="1" s="1"/>
  <c r="Z97" i="1" s="1"/>
  <c r="T133" i="1"/>
  <c r="X96" i="1"/>
  <c r="X97" i="1" s="1"/>
  <c r="X219" i="1" s="1"/>
  <c r="X220" i="1" s="1"/>
  <c r="R161" i="1"/>
  <c r="O96" i="1"/>
  <c r="O97" i="1" s="1"/>
  <c r="R160" i="1"/>
  <c r="K170" i="1"/>
  <c r="Q170" i="1"/>
  <c r="Q93" i="1"/>
  <c r="Q96" i="1" s="1"/>
  <c r="Q97" i="1" s="1"/>
  <c r="L141" i="1"/>
  <c r="L142" i="1" s="1"/>
  <c r="R178" i="1"/>
  <c r="K197" i="1"/>
  <c r="K133" i="1"/>
  <c r="K134" i="1"/>
  <c r="P141" i="1"/>
  <c r="P142" i="1" s="1"/>
  <c r="P211" i="1" s="1"/>
  <c r="P219" i="1" s="1"/>
  <c r="P220" i="1" s="1"/>
  <c r="R84" i="1"/>
  <c r="R90" i="1" s="1"/>
  <c r="M90" i="1"/>
  <c r="M97" i="1" s="1"/>
  <c r="M141" i="1"/>
  <c r="M142" i="1" s="1"/>
  <c r="R136" i="1"/>
  <c r="O211" i="1"/>
  <c r="R183" i="1"/>
  <c r="M197" i="1"/>
  <c r="R157" i="1"/>
  <c r="L170" i="1"/>
  <c r="R147" i="1"/>
  <c r="R154" i="1" s="1"/>
  <c r="K154" i="1"/>
  <c r="R68" i="1"/>
  <c r="Q141" i="1"/>
  <c r="Q142" i="1" s="1"/>
  <c r="H17" i="1"/>
  <c r="H19" i="1"/>
  <c r="H26" i="1"/>
  <c r="H36" i="1"/>
  <c r="H63" i="1" s="1"/>
  <c r="H38" i="1"/>
  <c r="H61" i="1"/>
  <c r="H64" i="1" s="1"/>
  <c r="H72" i="1"/>
  <c r="H80" i="1"/>
  <c r="H90" i="1"/>
  <c r="H100" i="1"/>
  <c r="H103" i="1" s="1"/>
  <c r="H105" i="1"/>
  <c r="H121" i="1"/>
  <c r="H130" i="1"/>
  <c r="H131" i="1" s="1"/>
  <c r="H132" i="1" s="1"/>
  <c r="H143" i="1"/>
  <c r="H154" i="1"/>
  <c r="H155" i="1"/>
  <c r="H171" i="1"/>
  <c r="H197" i="1"/>
  <c r="H198" i="1"/>
  <c r="H209" i="1"/>
  <c r="H222" i="1"/>
  <c r="I222" i="1"/>
  <c r="G222" i="1"/>
  <c r="F222" i="1"/>
  <c r="E222" i="1"/>
  <c r="D222" i="1"/>
  <c r="C222" i="1"/>
  <c r="B222" i="1"/>
  <c r="A222" i="1"/>
  <c r="I218" i="1"/>
  <c r="I217" i="1"/>
  <c r="I216" i="1"/>
  <c r="I215" i="1"/>
  <c r="I214" i="1"/>
  <c r="I213" i="1"/>
  <c r="G209" i="1"/>
  <c r="F209" i="1"/>
  <c r="E209" i="1"/>
  <c r="D209" i="1"/>
  <c r="C209" i="1"/>
  <c r="B208" i="1"/>
  <c r="B207" i="1"/>
  <c r="I206" i="1"/>
  <c r="I205" i="1"/>
  <c r="B204" i="1"/>
  <c r="I203" i="1"/>
  <c r="I202" i="1"/>
  <c r="I201" i="1"/>
  <c r="B200" i="1"/>
  <c r="BV200" i="1" s="1"/>
  <c r="I199" i="1"/>
  <c r="I198" i="1"/>
  <c r="G198" i="1"/>
  <c r="F198" i="1"/>
  <c r="E198" i="1"/>
  <c r="D198" i="1"/>
  <c r="C198" i="1"/>
  <c r="B198" i="1"/>
  <c r="G197" i="1"/>
  <c r="F197" i="1"/>
  <c r="E197" i="1"/>
  <c r="C197" i="1"/>
  <c r="I195" i="1"/>
  <c r="I194" i="1"/>
  <c r="I193" i="1"/>
  <c r="I192" i="1"/>
  <c r="I191" i="1"/>
  <c r="I190" i="1"/>
  <c r="I189" i="1"/>
  <c r="I188" i="1"/>
  <c r="I186" i="1"/>
  <c r="I185" i="1"/>
  <c r="I184" i="1"/>
  <c r="I182" i="1"/>
  <c r="I181" i="1"/>
  <c r="I180" i="1"/>
  <c r="I179" i="1"/>
  <c r="I177" i="1"/>
  <c r="I176" i="1"/>
  <c r="I175" i="1"/>
  <c r="I174" i="1"/>
  <c r="B173" i="1"/>
  <c r="B172" i="1"/>
  <c r="BV172" i="1" s="1"/>
  <c r="I171" i="1"/>
  <c r="G171" i="1"/>
  <c r="F171" i="1"/>
  <c r="E171" i="1"/>
  <c r="D171" i="1"/>
  <c r="C171" i="1"/>
  <c r="B171" i="1"/>
  <c r="E170" i="1"/>
  <c r="D170" i="1"/>
  <c r="I169" i="1"/>
  <c r="I165" i="1"/>
  <c r="I163" i="1"/>
  <c r="I162" i="1"/>
  <c r="I159" i="1"/>
  <c r="I158" i="1"/>
  <c r="B156" i="1"/>
  <c r="I155" i="1"/>
  <c r="G155" i="1"/>
  <c r="F155" i="1"/>
  <c r="E155" i="1"/>
  <c r="D155" i="1"/>
  <c r="C155" i="1"/>
  <c r="B155" i="1"/>
  <c r="G154" i="1"/>
  <c r="F154" i="1"/>
  <c r="E154" i="1"/>
  <c r="D154" i="1"/>
  <c r="I152" i="1"/>
  <c r="C151" i="1"/>
  <c r="B151" i="1"/>
  <c r="I146" i="1"/>
  <c r="I145" i="1"/>
  <c r="B144" i="1"/>
  <c r="I143" i="1"/>
  <c r="G143" i="1"/>
  <c r="F143" i="1"/>
  <c r="E143" i="1"/>
  <c r="D143" i="1"/>
  <c r="C143" i="1"/>
  <c r="B143" i="1"/>
  <c r="I139" i="1"/>
  <c r="I138" i="1"/>
  <c r="I137" i="1"/>
  <c r="E135" i="1"/>
  <c r="BY135" i="1" s="1"/>
  <c r="G130" i="1"/>
  <c r="F130" i="1"/>
  <c r="E130" i="1"/>
  <c r="D130" i="1"/>
  <c r="BX130" i="1" s="1"/>
  <c r="BX131" i="1" s="1"/>
  <c r="C130" i="1"/>
  <c r="BW130" i="1" s="1"/>
  <c r="B130" i="1"/>
  <c r="BV130" i="1" s="1"/>
  <c r="C129" i="1"/>
  <c r="B129" i="1"/>
  <c r="BV129" i="1" s="1"/>
  <c r="I128" i="1"/>
  <c r="I127" i="1"/>
  <c r="I126" i="1"/>
  <c r="I125" i="1"/>
  <c r="I124" i="1"/>
  <c r="I123" i="1"/>
  <c r="G121" i="1"/>
  <c r="D120" i="1"/>
  <c r="B119" i="1"/>
  <c r="F118" i="1"/>
  <c r="E118" i="1"/>
  <c r="D118" i="1"/>
  <c r="C118" i="1"/>
  <c r="BW118" i="1" s="1"/>
  <c r="B118" i="1"/>
  <c r="BV118" i="1" s="1"/>
  <c r="B117" i="1"/>
  <c r="B116" i="1"/>
  <c r="I113" i="1"/>
  <c r="I112" i="1"/>
  <c r="B111" i="1"/>
  <c r="I110" i="1"/>
  <c r="I109" i="1"/>
  <c r="B108" i="1"/>
  <c r="B107" i="1"/>
  <c r="BV107" i="1" s="1"/>
  <c r="I105" i="1"/>
  <c r="G105" i="1"/>
  <c r="F105" i="1"/>
  <c r="E105" i="1"/>
  <c r="D105" i="1"/>
  <c r="C105" i="1"/>
  <c r="B105" i="1"/>
  <c r="E103" i="1"/>
  <c r="D103" i="1"/>
  <c r="C103" i="1"/>
  <c r="B103" i="1"/>
  <c r="I102" i="1"/>
  <c r="I101" i="1"/>
  <c r="G100" i="1"/>
  <c r="F100" i="1"/>
  <c r="BZ100" i="1" s="1"/>
  <c r="I99" i="1"/>
  <c r="G96" i="1"/>
  <c r="D96" i="1"/>
  <c r="C96" i="1"/>
  <c r="B96" i="1"/>
  <c r="I95" i="1"/>
  <c r="I94" i="1"/>
  <c r="I92" i="1"/>
  <c r="G90" i="1"/>
  <c r="F90" i="1"/>
  <c r="C90" i="1"/>
  <c r="B90" i="1"/>
  <c r="I88" i="1"/>
  <c r="I87" i="1"/>
  <c r="I86" i="1"/>
  <c r="I85" i="1"/>
  <c r="I83" i="1"/>
  <c r="I82" i="1"/>
  <c r="G80" i="1"/>
  <c r="F80" i="1"/>
  <c r="D80" i="1"/>
  <c r="C79" i="1"/>
  <c r="I78" i="1"/>
  <c r="I77" i="1"/>
  <c r="B75" i="1"/>
  <c r="I72" i="1"/>
  <c r="G72" i="1"/>
  <c r="F72" i="1"/>
  <c r="E72" i="1"/>
  <c r="D72" i="1"/>
  <c r="C72" i="1"/>
  <c r="B72" i="1"/>
  <c r="E63" i="1"/>
  <c r="G61" i="1"/>
  <c r="G64" i="1" s="1"/>
  <c r="F61" i="1"/>
  <c r="F64" i="1" s="1"/>
  <c r="E61" i="1"/>
  <c r="E64" i="1" s="1"/>
  <c r="D61" i="1"/>
  <c r="D64" i="1" s="1"/>
  <c r="C61" i="1"/>
  <c r="C64" i="1" s="1"/>
  <c r="B61" i="1"/>
  <c r="B64" i="1" s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G38" i="1"/>
  <c r="F38" i="1"/>
  <c r="E38" i="1"/>
  <c r="D38" i="1"/>
  <c r="C38" i="1"/>
  <c r="B38" i="1"/>
  <c r="G36" i="1"/>
  <c r="G135" i="1" s="1"/>
  <c r="CA135" i="1" s="1"/>
  <c r="F36" i="1"/>
  <c r="F63" i="1" s="1"/>
  <c r="D36" i="1"/>
  <c r="D135" i="1" s="1"/>
  <c r="BX135" i="1" s="1"/>
  <c r="C36" i="1"/>
  <c r="C115" i="1" s="1"/>
  <c r="BW115" i="1" s="1"/>
  <c r="B36" i="1"/>
  <c r="B135" i="1" s="1"/>
  <c r="BV135" i="1" s="1"/>
  <c r="I35" i="1"/>
  <c r="I34" i="1"/>
  <c r="I33" i="1"/>
  <c r="I32" i="1"/>
  <c r="I31" i="1"/>
  <c r="I30" i="1"/>
  <c r="I29" i="1"/>
  <c r="I28" i="1"/>
  <c r="I27" i="1"/>
  <c r="I26" i="1"/>
  <c r="G26" i="1"/>
  <c r="F26" i="1"/>
  <c r="E26" i="1"/>
  <c r="D26" i="1"/>
  <c r="C26" i="1"/>
  <c r="B26" i="1"/>
  <c r="I24" i="1"/>
  <c r="I23" i="1"/>
  <c r="B22" i="1"/>
  <c r="I21" i="1"/>
  <c r="I20" i="1"/>
  <c r="I19" i="1"/>
  <c r="G19" i="1"/>
  <c r="F19" i="1"/>
  <c r="E19" i="1"/>
  <c r="D19" i="1"/>
  <c r="C19" i="1"/>
  <c r="B19" i="1"/>
  <c r="G17" i="1"/>
  <c r="F17" i="1"/>
  <c r="D17" i="1"/>
  <c r="C17" i="1"/>
  <c r="B17" i="1"/>
  <c r="B164" i="1" s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B3" i="1"/>
  <c r="I3" i="1" s="1"/>
  <c r="I2" i="1"/>
  <c r="B67" i="10" l="1"/>
  <c r="B219" i="10"/>
  <c r="B233" i="10"/>
  <c r="I233" i="10" s="1"/>
  <c r="B230" i="10"/>
  <c r="I230" i="10" s="1"/>
  <c r="B228" i="10"/>
  <c r="I228" i="10" s="1"/>
  <c r="B232" i="10"/>
  <c r="I232" i="10" s="1"/>
  <c r="B229" i="10"/>
  <c r="I229" i="10" s="1"/>
  <c r="B236" i="10"/>
  <c r="I236" i="10" s="1"/>
  <c r="B234" i="10"/>
  <c r="I234" i="10" s="1"/>
  <c r="B226" i="10"/>
  <c r="I226" i="10" s="1"/>
  <c r="B227" i="10"/>
  <c r="I227" i="10" s="1"/>
  <c r="B237" i="10"/>
  <c r="I237" i="10" s="1"/>
  <c r="B238" i="10"/>
  <c r="I238" i="10" s="1"/>
  <c r="B235" i="10"/>
  <c r="I235" i="10" s="1"/>
  <c r="B225" i="10"/>
  <c r="B220" i="10"/>
  <c r="D220" i="9"/>
  <c r="AZ219" i="3"/>
  <c r="AZ220" i="3" s="1"/>
  <c r="AJ134" i="3"/>
  <c r="AM211" i="3"/>
  <c r="AM219" i="3" s="1"/>
  <c r="AM220" i="3" s="1"/>
  <c r="CC90" i="3"/>
  <c r="AC211" i="3"/>
  <c r="AC219" i="3" s="1"/>
  <c r="AC220" i="3" s="1"/>
  <c r="AJ197" i="3"/>
  <c r="L211" i="3"/>
  <c r="L219" i="3" s="1"/>
  <c r="L220" i="3" s="1"/>
  <c r="BX90" i="3"/>
  <c r="BX97" i="3" s="1"/>
  <c r="BX197" i="3"/>
  <c r="BX211" i="3" s="1"/>
  <c r="BZ96" i="3"/>
  <c r="BZ97" i="3" s="1"/>
  <c r="BZ219" i="3" s="1"/>
  <c r="BZ220" i="3" s="1"/>
  <c r="AJ97" i="3"/>
  <c r="AA70" i="3"/>
  <c r="T211" i="3"/>
  <c r="T219" i="3" s="1"/>
  <c r="T220" i="3" s="1"/>
  <c r="CC74" i="3"/>
  <c r="CC80" i="3" s="1"/>
  <c r="BV80" i="3"/>
  <c r="BV97" i="3" s="1"/>
  <c r="CC157" i="3"/>
  <c r="BW170" i="3"/>
  <c r="I93" i="3"/>
  <c r="I96" i="3" s="1"/>
  <c r="D219" i="3"/>
  <c r="D220" i="3" s="1"/>
  <c r="AP96" i="3"/>
  <c r="AP97" i="3" s="1"/>
  <c r="AP219" i="3" s="1"/>
  <c r="AP220" i="3" s="1"/>
  <c r="AS93" i="3"/>
  <c r="AS96" i="3" s="1"/>
  <c r="AS97" i="3" s="1"/>
  <c r="AS170" i="3"/>
  <c r="BS219" i="3"/>
  <c r="BS220" i="3" s="1"/>
  <c r="I166" i="3"/>
  <c r="BV166" i="3"/>
  <c r="AJ141" i="3"/>
  <c r="AJ142" i="3" s="1"/>
  <c r="AN219" i="3"/>
  <c r="AN220" i="3" s="1"/>
  <c r="BV154" i="3"/>
  <c r="CC144" i="3"/>
  <c r="CC154" i="3" s="1"/>
  <c r="CA93" i="3"/>
  <c r="CA96" i="3" s="1"/>
  <c r="CA97" i="3" s="1"/>
  <c r="BJ211" i="3"/>
  <c r="I69" i="3"/>
  <c r="BV168" i="3"/>
  <c r="CC168" i="3" s="1"/>
  <c r="I168" i="3"/>
  <c r="BR219" i="3"/>
  <c r="BR220" i="3" s="1"/>
  <c r="I68" i="3"/>
  <c r="C141" i="3"/>
  <c r="C142" i="3" s="1"/>
  <c r="C211" i="3" s="1"/>
  <c r="C219" i="3" s="1"/>
  <c r="C220" i="3" s="1"/>
  <c r="BW133" i="3"/>
  <c r="BW141" i="3" s="1"/>
  <c r="BW142" i="3" s="1"/>
  <c r="BV196" i="3"/>
  <c r="CC196" i="3" s="1"/>
  <c r="I196" i="3"/>
  <c r="I197" i="3" s="1"/>
  <c r="AS197" i="3"/>
  <c r="K170" i="3"/>
  <c r="Z219" i="3"/>
  <c r="Z220" i="3" s="1"/>
  <c r="BQ219" i="3"/>
  <c r="BQ220" i="3" s="1"/>
  <c r="AS133" i="3"/>
  <c r="AS141" i="3" s="1"/>
  <c r="AS142" i="3" s="1"/>
  <c r="CC69" i="3"/>
  <c r="H219" i="3"/>
  <c r="H220" i="3" s="1"/>
  <c r="BV167" i="3"/>
  <c r="CC167" i="3" s="1"/>
  <c r="I167" i="3"/>
  <c r="BT69" i="3"/>
  <c r="I154" i="3"/>
  <c r="R170" i="3"/>
  <c r="R133" i="3"/>
  <c r="R141" i="3" s="1"/>
  <c r="R142" i="3" s="1"/>
  <c r="CC187" i="3"/>
  <c r="AI219" i="3"/>
  <c r="AI220" i="3" s="1"/>
  <c r="BT93" i="3"/>
  <c r="BT96" i="3" s="1"/>
  <c r="BT97" i="3" s="1"/>
  <c r="AL211" i="3"/>
  <c r="AL219" i="3" s="1"/>
  <c r="AL220" i="3" s="1"/>
  <c r="CC68" i="3"/>
  <c r="AE211" i="3"/>
  <c r="AE219" i="3" s="1"/>
  <c r="AE220" i="3" s="1"/>
  <c r="BK133" i="3"/>
  <c r="BK141" i="3" s="1"/>
  <c r="BK142" i="3" s="1"/>
  <c r="AY96" i="3"/>
  <c r="AY97" i="3" s="1"/>
  <c r="AY219" i="3" s="1"/>
  <c r="AY220" i="3" s="1"/>
  <c r="BB93" i="3"/>
  <c r="BB96" i="3" s="1"/>
  <c r="BB97" i="3" s="1"/>
  <c r="BK93" i="3"/>
  <c r="BK96" i="3" s="1"/>
  <c r="BK97" i="3" s="1"/>
  <c r="BJ96" i="3"/>
  <c r="BJ97" i="3" s="1"/>
  <c r="BJ219" i="3" s="1"/>
  <c r="BJ220" i="3" s="1"/>
  <c r="AU141" i="3"/>
  <c r="AU142" i="3" s="1"/>
  <c r="AU211" i="3" s="1"/>
  <c r="AU219" i="3" s="1"/>
  <c r="AU220" i="3" s="1"/>
  <c r="BB133" i="3"/>
  <c r="BB141" i="3" s="1"/>
  <c r="BB142" i="3" s="1"/>
  <c r="AR219" i="3"/>
  <c r="AR220" i="3" s="1"/>
  <c r="BV134" i="3"/>
  <c r="CC134" i="3" s="1"/>
  <c r="D134" i="10" s="1"/>
  <c r="I134" i="3"/>
  <c r="CA141" i="3"/>
  <c r="CA142" i="3" s="1"/>
  <c r="CA211" i="3" s="1"/>
  <c r="K197" i="3"/>
  <c r="CC161" i="3"/>
  <c r="D161" i="10" s="1"/>
  <c r="D170" i="10" s="1"/>
  <c r="AJ93" i="3"/>
  <c r="AJ96" i="3" s="1"/>
  <c r="B141" i="3"/>
  <c r="B142" i="3" s="1"/>
  <c r="BV133" i="3"/>
  <c r="I133" i="3"/>
  <c r="CC136" i="3"/>
  <c r="AA133" i="3"/>
  <c r="AA141" i="3" s="1"/>
  <c r="AA142" i="3" s="1"/>
  <c r="AS68" i="3"/>
  <c r="AS69" i="3"/>
  <c r="AJ170" i="3"/>
  <c r="M219" i="3"/>
  <c r="M220" i="3" s="1"/>
  <c r="R97" i="3"/>
  <c r="I97" i="3"/>
  <c r="AJ69" i="3"/>
  <c r="B170" i="3"/>
  <c r="BN141" i="3"/>
  <c r="BN142" i="3" s="1"/>
  <c r="BN211" i="3" s="1"/>
  <c r="BN219" i="3" s="1"/>
  <c r="BN220" i="3" s="1"/>
  <c r="BT133" i="3"/>
  <c r="BT141" i="3" s="1"/>
  <c r="BT142" i="3" s="1"/>
  <c r="R197" i="3"/>
  <c r="AD141" i="3"/>
  <c r="AD142" i="3" s="1"/>
  <c r="AD211" i="3" s="1"/>
  <c r="AD219" i="3" s="1"/>
  <c r="AD220" i="3" s="1"/>
  <c r="BT211" i="2"/>
  <c r="BT219" i="2" s="1"/>
  <c r="BT220" i="2" s="1"/>
  <c r="BT70" i="2"/>
  <c r="BR219" i="2"/>
  <c r="BR220" i="2" s="1"/>
  <c r="BS219" i="2"/>
  <c r="BS220" i="2" s="1"/>
  <c r="BK67" i="2"/>
  <c r="BK211" i="2"/>
  <c r="BK93" i="2"/>
  <c r="BK96" i="2" s="1"/>
  <c r="BK97" i="2" s="1"/>
  <c r="BJ96" i="2"/>
  <c r="BJ97" i="2" s="1"/>
  <c r="BJ219" i="2" s="1"/>
  <c r="BJ220" i="2" s="1"/>
  <c r="BB211" i="2"/>
  <c r="BB67" i="2"/>
  <c r="AY211" i="2"/>
  <c r="AY96" i="2"/>
  <c r="AY97" i="2" s="1"/>
  <c r="AY219" i="2" s="1"/>
  <c r="AY220" i="2" s="1"/>
  <c r="BB93" i="2"/>
  <c r="BB96" i="2" s="1"/>
  <c r="BB97" i="2" s="1"/>
  <c r="AS141" i="2"/>
  <c r="AS142" i="2" s="1"/>
  <c r="AS93" i="2"/>
  <c r="AS96" i="2" s="1"/>
  <c r="AS97" i="2" s="1"/>
  <c r="AP96" i="2"/>
  <c r="AP97" i="2" s="1"/>
  <c r="AP219" i="2" s="1"/>
  <c r="AP220" i="2" s="1"/>
  <c r="AS69" i="2"/>
  <c r="BW134" i="2"/>
  <c r="AS68" i="2"/>
  <c r="AR219" i="2"/>
  <c r="AR220" i="2" s="1"/>
  <c r="AM141" i="2"/>
  <c r="AM142" i="2" s="1"/>
  <c r="AM211" i="2" s="1"/>
  <c r="AM219" i="2" s="1"/>
  <c r="AM220" i="2" s="1"/>
  <c r="AG96" i="2"/>
  <c r="AG97" i="2" s="1"/>
  <c r="AG219" i="2" s="1"/>
  <c r="AG220" i="2" s="1"/>
  <c r="AJ93" i="2"/>
  <c r="AJ96" i="2" s="1"/>
  <c r="AJ97" i="2" s="1"/>
  <c r="AJ211" i="2"/>
  <c r="AJ67" i="2" s="1"/>
  <c r="BY141" i="2"/>
  <c r="BY142" i="2" s="1"/>
  <c r="BY211" i="2" s="1"/>
  <c r="BY219" i="2" s="1"/>
  <c r="BY220" i="2" s="1"/>
  <c r="AI219" i="2"/>
  <c r="AI220" i="2" s="1"/>
  <c r="AA69" i="2"/>
  <c r="AA68" i="2"/>
  <c r="AA134" i="2"/>
  <c r="X219" i="2"/>
  <c r="X220" i="2" s="1"/>
  <c r="T141" i="2"/>
  <c r="T142" i="2" s="1"/>
  <c r="T211" i="2" s="1"/>
  <c r="T219" i="2" s="1"/>
  <c r="T220" i="2" s="1"/>
  <c r="AA133" i="2"/>
  <c r="AA141" i="2" s="1"/>
  <c r="AA142" i="2" s="1"/>
  <c r="AA70" i="2"/>
  <c r="V211" i="2"/>
  <c r="V219" i="2" s="1"/>
  <c r="V220" i="2" s="1"/>
  <c r="U141" i="2"/>
  <c r="U142" i="2" s="1"/>
  <c r="U211" i="2" s="1"/>
  <c r="U219" i="2" s="1"/>
  <c r="U220" i="2" s="1"/>
  <c r="O211" i="2"/>
  <c r="K141" i="2"/>
  <c r="K142" i="2" s="1"/>
  <c r="K211" i="2" s="1"/>
  <c r="K219" i="2" s="1"/>
  <c r="K220" i="2" s="1"/>
  <c r="R133" i="2"/>
  <c r="R141" i="2" s="1"/>
  <c r="R142" i="2" s="1"/>
  <c r="R69" i="2"/>
  <c r="R68" i="2"/>
  <c r="CA141" i="2"/>
  <c r="CA142" i="2" s="1"/>
  <c r="CA211" i="2" s="1"/>
  <c r="CA219" i="2" s="1"/>
  <c r="CA220" i="2" s="1"/>
  <c r="O96" i="2"/>
  <c r="O97" i="2" s="1"/>
  <c r="R93" i="2"/>
  <c r="R96" i="2" s="1"/>
  <c r="R97" i="2" s="1"/>
  <c r="CC136" i="2"/>
  <c r="BX141" i="2"/>
  <c r="BX142" i="2" s="1"/>
  <c r="D219" i="2"/>
  <c r="D220" i="2" s="1"/>
  <c r="I70" i="2"/>
  <c r="I133" i="2"/>
  <c r="I141" i="2" s="1"/>
  <c r="I142" i="2" s="1"/>
  <c r="B141" i="2"/>
  <c r="B142" i="2" s="1"/>
  <c r="B211" i="2" s="1"/>
  <c r="B219" i="2" s="1"/>
  <c r="B220" i="2" s="1"/>
  <c r="F219" i="2"/>
  <c r="F220" i="2" s="1"/>
  <c r="BV168" i="2"/>
  <c r="CC168" i="2" s="1"/>
  <c r="BV196" i="2"/>
  <c r="CC196" i="2" s="1"/>
  <c r="BW133" i="2"/>
  <c r="BV167" i="2"/>
  <c r="CC167" i="2" s="1"/>
  <c r="BV166" i="2"/>
  <c r="CC166" i="2" s="1"/>
  <c r="BV134" i="2"/>
  <c r="BV133" i="2"/>
  <c r="CC178" i="2"/>
  <c r="CC161" i="2"/>
  <c r="CC68" i="2"/>
  <c r="CC69" i="2"/>
  <c r="BZ93" i="2"/>
  <c r="BW170" i="2"/>
  <c r="CC157" i="2"/>
  <c r="BV80" i="2"/>
  <c r="BV97" i="2" s="1"/>
  <c r="CC74" i="2"/>
  <c r="CC80" i="2" s="1"/>
  <c r="BX90" i="2"/>
  <c r="BX97" i="2" s="1"/>
  <c r="CC144" i="2"/>
  <c r="CC154" i="2" s="1"/>
  <c r="BV154" i="2"/>
  <c r="CC90" i="2"/>
  <c r="BZ141" i="2"/>
  <c r="BZ142" i="2" s="1"/>
  <c r="BZ211" i="2" s="1"/>
  <c r="BX197" i="2"/>
  <c r="BM141" i="1"/>
  <c r="BM142" i="1" s="1"/>
  <c r="BM211" i="1" s="1"/>
  <c r="BM219" i="1" s="1"/>
  <c r="BM220" i="1" s="1"/>
  <c r="AA93" i="1"/>
  <c r="AA96" i="1" s="1"/>
  <c r="H135" i="1"/>
  <c r="BK69" i="1"/>
  <c r="BK68" i="1"/>
  <c r="AA97" i="1"/>
  <c r="AA70" i="1" s="1"/>
  <c r="F131" i="1"/>
  <c r="BZ130" i="1"/>
  <c r="BZ131" i="1" s="1"/>
  <c r="I116" i="1"/>
  <c r="BV116" i="1"/>
  <c r="CC116" i="1" s="1"/>
  <c r="D131" i="1"/>
  <c r="I144" i="1"/>
  <c r="BV144" i="1"/>
  <c r="O219" i="1"/>
  <c r="O220" i="1" s="1"/>
  <c r="AM141" i="1"/>
  <c r="AM142" i="1" s="1"/>
  <c r="AM211" i="1" s="1"/>
  <c r="AM219" i="1" s="1"/>
  <c r="AM220" i="1" s="1"/>
  <c r="I207" i="1"/>
  <c r="BV207" i="1"/>
  <c r="CC207" i="1" s="1"/>
  <c r="BZ103" i="1"/>
  <c r="CC100" i="1"/>
  <c r="CC103" i="1" s="1"/>
  <c r="I208" i="1"/>
  <c r="BV208" i="1"/>
  <c r="CC208" i="1" s="1"/>
  <c r="I108" i="1"/>
  <c r="BV108" i="1"/>
  <c r="CC108" i="1" s="1"/>
  <c r="AZ96" i="1"/>
  <c r="AZ97" i="1" s="1"/>
  <c r="AZ219" i="1" s="1"/>
  <c r="AZ220" i="1" s="1"/>
  <c r="CA93" i="1"/>
  <c r="CA96" i="1" s="1"/>
  <c r="CA97" i="1" s="1"/>
  <c r="I120" i="1"/>
  <c r="BX120" i="1"/>
  <c r="CC120" i="1" s="1"/>
  <c r="I111" i="1"/>
  <c r="BV111" i="1"/>
  <c r="CC111" i="1" s="1"/>
  <c r="I204" i="1"/>
  <c r="BV204" i="1"/>
  <c r="CC204" i="1" s="1"/>
  <c r="BW121" i="1"/>
  <c r="CC115" i="1"/>
  <c r="I164" i="1"/>
  <c r="BV164" i="1"/>
  <c r="CC164" i="1" s="1"/>
  <c r="G103" i="1"/>
  <c r="CA100" i="1"/>
  <c r="CA103" i="1" s="1"/>
  <c r="I151" i="1"/>
  <c r="BV151" i="1"/>
  <c r="CC151" i="1" s="1"/>
  <c r="R134" i="1"/>
  <c r="F121" i="1"/>
  <c r="BZ118" i="1"/>
  <c r="BZ121" i="1" s="1"/>
  <c r="BZ132" i="1" s="1"/>
  <c r="CC200" i="1"/>
  <c r="CC172" i="1"/>
  <c r="I173" i="1"/>
  <c r="BV173" i="1"/>
  <c r="CC173" i="1" s="1"/>
  <c r="G131" i="1"/>
  <c r="CA130" i="1"/>
  <c r="CA131" i="1" s="1"/>
  <c r="CA132" i="1" s="1"/>
  <c r="AY219" i="1"/>
  <c r="AY220" i="1" s="1"/>
  <c r="I79" i="1"/>
  <c r="BW79" i="1"/>
  <c r="D121" i="1"/>
  <c r="BX118" i="1"/>
  <c r="CC129" i="1"/>
  <c r="BV131" i="1"/>
  <c r="C154" i="1"/>
  <c r="BW151" i="1"/>
  <c r="BW154" i="1" s="1"/>
  <c r="H65" i="1"/>
  <c r="H136" i="1" s="1"/>
  <c r="I119" i="1"/>
  <c r="BV119" i="1"/>
  <c r="CC119" i="1" s="1"/>
  <c r="E140" i="1"/>
  <c r="BY140" i="1" s="1"/>
  <c r="BY130" i="1"/>
  <c r="BY131" i="1" s="1"/>
  <c r="BA211" i="1"/>
  <c r="BA219" i="1" s="1"/>
  <c r="BA220" i="1" s="1"/>
  <c r="I75" i="1"/>
  <c r="BV75" i="1"/>
  <c r="CC75" i="1" s="1"/>
  <c r="I117" i="1"/>
  <c r="BV117" i="1"/>
  <c r="CC117" i="1" s="1"/>
  <c r="I22" i="1"/>
  <c r="BV22" i="1"/>
  <c r="CC22" i="1" s="1"/>
  <c r="CC107" i="1"/>
  <c r="E121" i="1"/>
  <c r="BY118" i="1"/>
  <c r="BY121" i="1" s="1"/>
  <c r="C131" i="1"/>
  <c r="BW129" i="1"/>
  <c r="BW131" i="1" s="1"/>
  <c r="I156" i="1"/>
  <c r="BV156" i="1"/>
  <c r="Z219" i="1"/>
  <c r="Z220" i="1" s="1"/>
  <c r="CB219" i="1"/>
  <c r="CB220" i="1" s="1"/>
  <c r="BT69" i="1"/>
  <c r="BN141" i="1"/>
  <c r="BN142" i="1" s="1"/>
  <c r="BN211" i="1" s="1"/>
  <c r="BN219" i="1" s="1"/>
  <c r="BN220" i="1" s="1"/>
  <c r="BT133" i="1"/>
  <c r="BT141" i="1" s="1"/>
  <c r="BT142" i="1" s="1"/>
  <c r="BT93" i="1"/>
  <c r="BT96" i="1" s="1"/>
  <c r="BT97" i="1" s="1"/>
  <c r="BT68" i="1"/>
  <c r="BR219" i="1"/>
  <c r="BR220" i="1" s="1"/>
  <c r="BK93" i="1"/>
  <c r="BK96" i="1" s="1"/>
  <c r="BK97" i="1" s="1"/>
  <c r="BJ96" i="1"/>
  <c r="BJ97" i="1" s="1"/>
  <c r="BJ219" i="1" s="1"/>
  <c r="BJ220" i="1" s="1"/>
  <c r="BD141" i="1"/>
  <c r="BD142" i="1" s="1"/>
  <c r="BD211" i="1" s="1"/>
  <c r="BD219" i="1" s="1"/>
  <c r="BD220" i="1" s="1"/>
  <c r="BK133" i="1"/>
  <c r="BK141" i="1" s="1"/>
  <c r="BK142" i="1" s="1"/>
  <c r="BB69" i="1"/>
  <c r="BB70" i="1"/>
  <c r="BB68" i="1"/>
  <c r="AU141" i="1"/>
  <c r="AU142" i="1" s="1"/>
  <c r="AU211" i="1" s="1"/>
  <c r="AU219" i="1" s="1"/>
  <c r="AU220" i="1" s="1"/>
  <c r="BB133" i="1"/>
  <c r="BB141" i="1" s="1"/>
  <c r="BB142" i="1" s="1"/>
  <c r="AS141" i="1"/>
  <c r="AS142" i="1" s="1"/>
  <c r="AP96" i="1"/>
  <c r="AP97" i="1" s="1"/>
  <c r="AP219" i="1" s="1"/>
  <c r="AP220" i="1" s="1"/>
  <c r="AS93" i="1"/>
  <c r="AS96" i="1" s="1"/>
  <c r="AS97" i="1" s="1"/>
  <c r="AR211" i="1"/>
  <c r="AR219" i="1" s="1"/>
  <c r="AR220" i="1" s="1"/>
  <c r="AD141" i="1"/>
  <c r="AD142" i="1" s="1"/>
  <c r="AD211" i="1" s="1"/>
  <c r="AD219" i="1" s="1"/>
  <c r="AD220" i="1" s="1"/>
  <c r="AJ133" i="1"/>
  <c r="AJ141" i="1" s="1"/>
  <c r="AJ142" i="1" s="1"/>
  <c r="AJ166" i="1"/>
  <c r="AJ170" i="1" s="1"/>
  <c r="AC170" i="1"/>
  <c r="AJ196" i="1"/>
  <c r="AJ197" i="1" s="1"/>
  <c r="AC197" i="1"/>
  <c r="AJ93" i="1"/>
  <c r="AJ96" i="1" s="1"/>
  <c r="AJ97" i="1" s="1"/>
  <c r="AG96" i="1"/>
  <c r="AG97" i="1" s="1"/>
  <c r="AG219" i="1" s="1"/>
  <c r="AG220" i="1" s="1"/>
  <c r="AI219" i="1"/>
  <c r="AI220" i="1" s="1"/>
  <c r="AA196" i="1"/>
  <c r="AA197" i="1" s="1"/>
  <c r="T197" i="1"/>
  <c r="T141" i="1"/>
  <c r="T142" i="1" s="1"/>
  <c r="AA133" i="1"/>
  <c r="AA141" i="1" s="1"/>
  <c r="AA142" i="1" s="1"/>
  <c r="U141" i="1"/>
  <c r="U142" i="1" s="1"/>
  <c r="U211" i="1" s="1"/>
  <c r="U219" i="1" s="1"/>
  <c r="U220" i="1" s="1"/>
  <c r="AA166" i="1"/>
  <c r="AA170" i="1" s="1"/>
  <c r="T170" i="1"/>
  <c r="M211" i="1"/>
  <c r="M219" i="1" s="1"/>
  <c r="M220" i="1" s="1"/>
  <c r="R93" i="1"/>
  <c r="R96" i="1" s="1"/>
  <c r="R97" i="1" s="1"/>
  <c r="R70" i="1"/>
  <c r="R170" i="1"/>
  <c r="R133" i="1"/>
  <c r="R141" i="1" s="1"/>
  <c r="R142" i="1" s="1"/>
  <c r="K141" i="1"/>
  <c r="K142" i="1" s="1"/>
  <c r="K211" i="1" s="1"/>
  <c r="K219" i="1" s="1"/>
  <c r="K220" i="1" s="1"/>
  <c r="R197" i="1"/>
  <c r="L211" i="1"/>
  <c r="L219" i="1" s="1"/>
  <c r="L220" i="1" s="1"/>
  <c r="Q211" i="1"/>
  <c r="Q219" i="1"/>
  <c r="Q220" i="1" s="1"/>
  <c r="D140" i="1"/>
  <c r="BX140" i="1" s="1"/>
  <c r="D63" i="1"/>
  <c r="I100" i="1"/>
  <c r="I103" i="1" s="1"/>
  <c r="H140" i="1"/>
  <c r="I118" i="1"/>
  <c r="B131" i="1"/>
  <c r="H161" i="1"/>
  <c r="H134" i="1"/>
  <c r="H133" i="1"/>
  <c r="C135" i="1"/>
  <c r="BW135" i="1" s="1"/>
  <c r="F103" i="1"/>
  <c r="I36" i="1"/>
  <c r="I63" i="1" s="1"/>
  <c r="B63" i="1"/>
  <c r="B65" i="1" s="1"/>
  <c r="B136" i="1" s="1"/>
  <c r="BV136" i="1" s="1"/>
  <c r="C140" i="1"/>
  <c r="BW140" i="1" s="1"/>
  <c r="D65" i="1"/>
  <c r="D136" i="1" s="1"/>
  <c r="BX136" i="1" s="1"/>
  <c r="E65" i="1"/>
  <c r="G132" i="1"/>
  <c r="G133" i="1" s="1"/>
  <c r="CA133" i="1" s="1"/>
  <c r="F140" i="1"/>
  <c r="BZ140" i="1" s="1"/>
  <c r="B74" i="1"/>
  <c r="B166" i="1" s="1"/>
  <c r="G63" i="1"/>
  <c r="G65" i="1" s="1"/>
  <c r="I17" i="1"/>
  <c r="I130" i="1"/>
  <c r="F135" i="1"/>
  <c r="B209" i="1"/>
  <c r="I200" i="1"/>
  <c r="I61" i="1"/>
  <c r="I64" i="1" s="1"/>
  <c r="F65" i="1"/>
  <c r="G97" i="1"/>
  <c r="G140" i="1"/>
  <c r="CA140" i="1" s="1"/>
  <c r="C121" i="1"/>
  <c r="I115" i="1"/>
  <c r="I172" i="1"/>
  <c r="C63" i="1"/>
  <c r="C65" i="1" s="1"/>
  <c r="B114" i="1"/>
  <c r="I129" i="1"/>
  <c r="E131" i="1"/>
  <c r="B140" i="1"/>
  <c r="BV140" i="1" s="1"/>
  <c r="B147" i="1"/>
  <c r="BV147" i="1" s="1"/>
  <c r="CC147" i="1" s="1"/>
  <c r="B153" i="1"/>
  <c r="B160" i="1"/>
  <c r="D183" i="1"/>
  <c r="BX183" i="1" s="1"/>
  <c r="C80" i="1"/>
  <c r="C97" i="1" s="1"/>
  <c r="B76" i="1"/>
  <c r="I107" i="1"/>
  <c r="B148" i="1"/>
  <c r="B149" i="1"/>
  <c r="B187" i="1"/>
  <c r="D84" i="1"/>
  <c r="BX84" i="1" s="1"/>
  <c r="B150" i="1"/>
  <c r="B178" i="1"/>
  <c r="C157" i="1"/>
  <c r="BW157" i="1" s="1"/>
  <c r="I225" i="10" l="1"/>
  <c r="I240" i="10" s="1"/>
  <c r="B240" i="10"/>
  <c r="D196" i="10"/>
  <c r="D197" i="10" s="1"/>
  <c r="CD196" i="3"/>
  <c r="I141" i="3"/>
  <c r="I142" i="3" s="1"/>
  <c r="BX219" i="3"/>
  <c r="BX220" i="3" s="1"/>
  <c r="K211" i="3"/>
  <c r="K219" i="3" s="1"/>
  <c r="K220" i="3" s="1"/>
  <c r="BW211" i="3"/>
  <c r="BW219" i="3" s="1"/>
  <c r="BW220" i="3" s="1"/>
  <c r="I170" i="3"/>
  <c r="BV197" i="3"/>
  <c r="CC197" i="3"/>
  <c r="BT211" i="3"/>
  <c r="BT67" i="3" s="1"/>
  <c r="AS211" i="3"/>
  <c r="AS67" i="3" s="1"/>
  <c r="BK211" i="3"/>
  <c r="BK219" i="3" s="1"/>
  <c r="BB211" i="3"/>
  <c r="BB219" i="3" s="1"/>
  <c r="CC97" i="3"/>
  <c r="BV141" i="3"/>
  <c r="BV142" i="3" s="1"/>
  <c r="CC133" i="3"/>
  <c r="BK70" i="3"/>
  <c r="R70" i="3"/>
  <c r="B211" i="3"/>
  <c r="B219" i="3" s="1"/>
  <c r="B220" i="3" s="1"/>
  <c r="BB70" i="3"/>
  <c r="R211" i="3"/>
  <c r="R219" i="3" s="1"/>
  <c r="R220" i="3" s="1"/>
  <c r="AA211" i="3"/>
  <c r="AA219" i="3" s="1"/>
  <c r="AA220" i="3" s="1"/>
  <c r="AJ211" i="3"/>
  <c r="AJ67" i="3" s="1"/>
  <c r="I70" i="3"/>
  <c r="CC166" i="3"/>
  <c r="CC170" i="3" s="1"/>
  <c r="BV170" i="3"/>
  <c r="BT70" i="3"/>
  <c r="AS70" i="3"/>
  <c r="AJ70" i="3"/>
  <c r="CA219" i="3"/>
  <c r="CA220" i="3" s="1"/>
  <c r="CC93" i="3"/>
  <c r="CC96" i="3" s="1"/>
  <c r="BT67" i="2"/>
  <c r="BK219" i="2"/>
  <c r="BK220" i="2" s="1"/>
  <c r="BK70" i="2"/>
  <c r="BB219" i="2"/>
  <c r="BB220" i="2" s="1"/>
  <c r="BB70" i="2"/>
  <c r="BW141" i="2"/>
  <c r="BW142" i="2" s="1"/>
  <c r="BW211" i="2" s="1"/>
  <c r="BW219" i="2" s="1"/>
  <c r="BW220" i="2" s="1"/>
  <c r="AS211" i="2"/>
  <c r="AS219" i="2" s="1"/>
  <c r="AS220" i="2" s="1"/>
  <c r="AS70" i="2"/>
  <c r="CC134" i="2"/>
  <c r="AJ219" i="2"/>
  <c r="AJ220" i="2" s="1"/>
  <c r="AJ70" i="2"/>
  <c r="AA211" i="2"/>
  <c r="AA219" i="2" s="1"/>
  <c r="AA220" i="2" s="1"/>
  <c r="BX211" i="2"/>
  <c r="BX219" i="2" s="1"/>
  <c r="BX220" i="2" s="1"/>
  <c r="R211" i="2"/>
  <c r="R67" i="2"/>
  <c r="R219" i="2"/>
  <c r="R220" i="2" s="1"/>
  <c r="R70" i="2"/>
  <c r="O219" i="2"/>
  <c r="O220" i="2" s="1"/>
  <c r="I211" i="2"/>
  <c r="I219" i="2" s="1"/>
  <c r="I220" i="2" s="1"/>
  <c r="CC197" i="2"/>
  <c r="BV141" i="2"/>
  <c r="BV142" i="2" s="1"/>
  <c r="CC133" i="2"/>
  <c r="C133" i="10" s="1"/>
  <c r="BZ96" i="2"/>
  <c r="BZ97" i="2" s="1"/>
  <c r="BZ219" i="2" s="1"/>
  <c r="BZ220" i="2" s="1"/>
  <c r="CC93" i="2"/>
  <c r="CC96" i="2" s="1"/>
  <c r="CC97" i="2" s="1"/>
  <c r="BV170" i="2"/>
  <c r="CC170" i="2"/>
  <c r="BV197" i="2"/>
  <c r="E132" i="1"/>
  <c r="BW132" i="1"/>
  <c r="F132" i="1"/>
  <c r="F133" i="1" s="1"/>
  <c r="BZ133" i="1" s="1"/>
  <c r="D132" i="1"/>
  <c r="D133" i="1" s="1"/>
  <c r="BX133" i="1" s="1"/>
  <c r="BY132" i="1"/>
  <c r="I178" i="1"/>
  <c r="BV178" i="1"/>
  <c r="I149" i="1"/>
  <c r="BV149" i="1"/>
  <c r="CC149" i="1" s="1"/>
  <c r="I114" i="1"/>
  <c r="BV114" i="1"/>
  <c r="CC114" i="1" s="1"/>
  <c r="CC121" i="1" s="1"/>
  <c r="I209" i="1"/>
  <c r="CC130" i="1"/>
  <c r="I148" i="1"/>
  <c r="BV148" i="1"/>
  <c r="CC148" i="1" s="1"/>
  <c r="I135" i="1"/>
  <c r="BZ135" i="1"/>
  <c r="CC135" i="1" s="1"/>
  <c r="BW80" i="1"/>
  <c r="BW97" i="1" s="1"/>
  <c r="CC79" i="1"/>
  <c r="CC84" i="1"/>
  <c r="CC90" i="1" s="1"/>
  <c r="BX90" i="1"/>
  <c r="BX97" i="1" s="1"/>
  <c r="I187" i="1"/>
  <c r="BV187" i="1"/>
  <c r="CC187" i="1" s="1"/>
  <c r="I76" i="1"/>
  <c r="BV76" i="1"/>
  <c r="CC76" i="1" s="1"/>
  <c r="I166" i="1"/>
  <c r="BV166" i="1"/>
  <c r="CC166" i="1" s="1"/>
  <c r="CC144" i="1"/>
  <c r="I150" i="1"/>
  <c r="BV150" i="1"/>
  <c r="CC150" i="1" s="1"/>
  <c r="BX197" i="1"/>
  <c r="CC183" i="1"/>
  <c r="C132" i="1"/>
  <c r="C134" i="1" s="1"/>
  <c r="BW134" i="1" s="1"/>
  <c r="CC156" i="1"/>
  <c r="I160" i="1"/>
  <c r="BV160" i="1"/>
  <c r="CC160" i="1" s="1"/>
  <c r="BV209" i="1"/>
  <c r="CC157" i="1"/>
  <c r="BW170" i="1"/>
  <c r="I153" i="1"/>
  <c r="BV153" i="1"/>
  <c r="CC153" i="1" s="1"/>
  <c r="B168" i="1"/>
  <c r="BV74" i="1"/>
  <c r="T211" i="1"/>
  <c r="T219" i="1" s="1"/>
  <c r="T220" i="1" s="1"/>
  <c r="BX121" i="1"/>
  <c r="BX132" i="1" s="1"/>
  <c r="CC209" i="1"/>
  <c r="CC118" i="1"/>
  <c r="CC140" i="1"/>
  <c r="BT211" i="1"/>
  <c r="BT67" i="1" s="1"/>
  <c r="BT70" i="1"/>
  <c r="BK70" i="1"/>
  <c r="BK211" i="1"/>
  <c r="BK219" i="1" s="1"/>
  <c r="BK220" i="1" s="1"/>
  <c r="BB211" i="1"/>
  <c r="AS211" i="1"/>
  <c r="AS67" i="1" s="1"/>
  <c r="AS219" i="1"/>
  <c r="AS220" i="1" s="1"/>
  <c r="AS70" i="1"/>
  <c r="AJ70" i="1"/>
  <c r="AC211" i="1"/>
  <c r="AC219" i="1" s="1"/>
  <c r="AC220" i="1" s="1"/>
  <c r="AJ211" i="1"/>
  <c r="AA211" i="1"/>
  <c r="R211" i="1"/>
  <c r="I65" i="1"/>
  <c r="I140" i="1"/>
  <c r="I131" i="1"/>
  <c r="H141" i="1"/>
  <c r="H142" i="1" s="1"/>
  <c r="H93" i="1"/>
  <c r="H96" i="1" s="1"/>
  <c r="H97" i="1" s="1"/>
  <c r="H170" i="1"/>
  <c r="I74" i="1"/>
  <c r="B167" i="1"/>
  <c r="F136" i="1"/>
  <c r="B196" i="1"/>
  <c r="F161" i="1"/>
  <c r="E134" i="1"/>
  <c r="I157" i="1"/>
  <c r="C170" i="1"/>
  <c r="I121" i="1"/>
  <c r="I132" i="1" s="1"/>
  <c r="I69" i="1" s="1"/>
  <c r="B121" i="1"/>
  <c r="B132" i="1" s="1"/>
  <c r="B80" i="1"/>
  <c r="B97" i="1" s="1"/>
  <c r="G136" i="1"/>
  <c r="CA136" i="1" s="1"/>
  <c r="G161" i="1"/>
  <c r="G134" i="1"/>
  <c r="CA134" i="1" s="1"/>
  <c r="CA141" i="1" s="1"/>
  <c r="CA142" i="1" s="1"/>
  <c r="C136" i="1"/>
  <c r="BW136" i="1" s="1"/>
  <c r="D197" i="1"/>
  <c r="I183" i="1"/>
  <c r="I147" i="1"/>
  <c r="B154" i="1"/>
  <c r="I84" i="1"/>
  <c r="I90" i="1" s="1"/>
  <c r="D90" i="1"/>
  <c r="D97" i="1" s="1"/>
  <c r="BB220" i="3" l="1"/>
  <c r="D223" i="9"/>
  <c r="BK220" i="3"/>
  <c r="D223" i="11"/>
  <c r="CC141" i="3"/>
  <c r="CC142" i="3" s="1"/>
  <c r="D133" i="10"/>
  <c r="D141" i="10" s="1"/>
  <c r="D142" i="10" s="1"/>
  <c r="D211" i="10" s="1"/>
  <c r="C134" i="10"/>
  <c r="C141" i="10" s="1"/>
  <c r="C142" i="10" s="1"/>
  <c r="CE134" i="2"/>
  <c r="BB67" i="3"/>
  <c r="BT219" i="3"/>
  <c r="BT220" i="3" s="1"/>
  <c r="AA67" i="3"/>
  <c r="I211" i="3"/>
  <c r="I67" i="3" s="1"/>
  <c r="BK67" i="3"/>
  <c r="AS219" i="3"/>
  <c r="AS220" i="3" s="1"/>
  <c r="AJ219" i="3"/>
  <c r="AJ220" i="3" s="1"/>
  <c r="R67" i="3"/>
  <c r="BV211" i="3"/>
  <c r="BV219" i="3" s="1"/>
  <c r="BV220" i="3" s="1"/>
  <c r="CC70" i="3"/>
  <c r="CC211" i="3"/>
  <c r="CC67" i="3" s="1"/>
  <c r="CC141" i="2"/>
  <c r="CC142" i="2" s="1"/>
  <c r="CC211" i="2" s="1"/>
  <c r="CC219" i="2" s="1"/>
  <c r="CC220" i="2" s="1"/>
  <c r="AS67" i="2"/>
  <c r="AA67" i="2"/>
  <c r="I67" i="2"/>
  <c r="CC70" i="2"/>
  <c r="BV211" i="2"/>
  <c r="BV219" i="2" s="1"/>
  <c r="BV220" i="2" s="1"/>
  <c r="I154" i="1"/>
  <c r="D134" i="1"/>
  <c r="BX134" i="1" s="1"/>
  <c r="BX141" i="1" s="1"/>
  <c r="BX142" i="1" s="1"/>
  <c r="CC154" i="1"/>
  <c r="C133" i="1"/>
  <c r="BW133" i="1" s="1"/>
  <c r="F134" i="1"/>
  <c r="BZ134" i="1" s="1"/>
  <c r="D141" i="1"/>
  <c r="D142" i="1" s="1"/>
  <c r="D211" i="1" s="1"/>
  <c r="D219" i="1" s="1"/>
  <c r="D220" i="1" s="1"/>
  <c r="BT219" i="1"/>
  <c r="BT220" i="1" s="1"/>
  <c r="BV121" i="1"/>
  <c r="BV132" i="1" s="1"/>
  <c r="E141" i="1"/>
  <c r="E142" i="1" s="1"/>
  <c r="E211" i="1" s="1"/>
  <c r="E219" i="1" s="1"/>
  <c r="E220" i="1" s="1"/>
  <c r="BY134" i="1"/>
  <c r="BY141" i="1" s="1"/>
  <c r="BY142" i="1" s="1"/>
  <c r="BY211" i="1" s="1"/>
  <c r="BY219" i="1" s="1"/>
  <c r="BY220" i="1" s="1"/>
  <c r="BW141" i="1"/>
  <c r="BW142" i="1" s="1"/>
  <c r="BW211" i="1" s="1"/>
  <c r="BW219" i="1" s="1"/>
  <c r="BW220" i="1" s="1"/>
  <c r="BV80" i="1"/>
  <c r="BV97" i="1" s="1"/>
  <c r="CC74" i="1"/>
  <c r="CC80" i="1" s="1"/>
  <c r="BZ136" i="1"/>
  <c r="CC136" i="1" s="1"/>
  <c r="I167" i="1"/>
  <c r="BV167" i="1"/>
  <c r="CC167" i="1" s="1"/>
  <c r="CC131" i="1"/>
  <c r="CC132" i="1" s="1"/>
  <c r="F93" i="1"/>
  <c r="BZ93" i="1" s="1"/>
  <c r="BZ161" i="1"/>
  <c r="I168" i="1"/>
  <c r="BV168" i="1"/>
  <c r="CC168" i="1" s="1"/>
  <c r="G170" i="1"/>
  <c r="CA161" i="1"/>
  <c r="CA170" i="1" s="1"/>
  <c r="CA211" i="1" s="1"/>
  <c r="CA219" i="1" s="1"/>
  <c r="CA220" i="1" s="1"/>
  <c r="I80" i="1"/>
  <c r="CC178" i="1"/>
  <c r="I196" i="1"/>
  <c r="I197" i="1" s="1"/>
  <c r="BV196" i="1"/>
  <c r="CC196" i="1" s="1"/>
  <c r="BX211" i="1"/>
  <c r="BX219" i="1" s="1"/>
  <c r="BX220" i="1" s="1"/>
  <c r="BV154" i="1"/>
  <c r="BK67" i="1"/>
  <c r="BB219" i="1"/>
  <c r="BB67" i="1"/>
  <c r="AJ219" i="1"/>
  <c r="AJ220" i="1" s="1"/>
  <c r="AJ67" i="1"/>
  <c r="AA219" i="1"/>
  <c r="AA220" i="1" s="1"/>
  <c r="AA67" i="1"/>
  <c r="R219" i="1"/>
  <c r="R220" i="1" s="1"/>
  <c r="R67" i="1"/>
  <c r="I136" i="1"/>
  <c r="G141" i="1"/>
  <c r="G142" i="1" s="1"/>
  <c r="H211" i="1"/>
  <c r="H219" i="1" s="1"/>
  <c r="H220" i="1" s="1"/>
  <c r="F170" i="1"/>
  <c r="C141" i="1"/>
  <c r="C142" i="1" s="1"/>
  <c r="C211" i="1" s="1"/>
  <c r="C219" i="1" s="1"/>
  <c r="C220" i="1" s="1"/>
  <c r="B197" i="1"/>
  <c r="B170" i="1"/>
  <c r="I68" i="1"/>
  <c r="B133" i="1"/>
  <c r="BV133" i="1" s="1"/>
  <c r="B134" i="1"/>
  <c r="I161" i="1"/>
  <c r="F96" i="1"/>
  <c r="F97" i="1" s="1"/>
  <c r="BB220" i="1" l="1"/>
  <c r="B223" i="9"/>
  <c r="D67" i="10"/>
  <c r="D219" i="10"/>
  <c r="D220" i="10" s="1"/>
  <c r="C211" i="10"/>
  <c r="C219" i="10" s="1"/>
  <c r="I219" i="3"/>
  <c r="I220" i="3" s="1"/>
  <c r="CC219" i="3"/>
  <c r="CC67" i="2"/>
  <c r="I170" i="1"/>
  <c r="F141" i="1"/>
  <c r="F142" i="1" s="1"/>
  <c r="F211" i="1" s="1"/>
  <c r="F219" i="1" s="1"/>
  <c r="F220" i="1" s="1"/>
  <c r="CC68" i="1"/>
  <c r="CC69" i="1"/>
  <c r="G211" i="1"/>
  <c r="G219" i="1" s="1"/>
  <c r="G220" i="1" s="1"/>
  <c r="CC133" i="1"/>
  <c r="BZ141" i="1"/>
  <c r="BZ142" i="1" s="1"/>
  <c r="BZ211" i="1" s="1"/>
  <c r="BZ96" i="1"/>
  <c r="BZ97" i="1" s="1"/>
  <c r="CC93" i="1"/>
  <c r="CC96" i="1" s="1"/>
  <c r="CC97" i="1" s="1"/>
  <c r="BV170" i="1"/>
  <c r="CC197" i="1"/>
  <c r="I134" i="1"/>
  <c r="BV134" i="1"/>
  <c r="CC134" i="1" s="1"/>
  <c r="BZ170" i="1"/>
  <c r="CC161" i="1"/>
  <c r="CC170" i="1" s="1"/>
  <c r="BV197" i="1"/>
  <c r="B141" i="1"/>
  <c r="B142" i="1" s="1"/>
  <c r="B211" i="1" s="1"/>
  <c r="B219" i="1" s="1"/>
  <c r="B220" i="1" s="1"/>
  <c r="I133" i="1"/>
  <c r="I93" i="1"/>
  <c r="I96" i="1" s="1"/>
  <c r="I97" i="1" s="1"/>
  <c r="C67" i="10" l="1"/>
  <c r="C220" i="10"/>
  <c r="C223" i="10"/>
  <c r="CC220" i="3"/>
  <c r="D223" i="10"/>
  <c r="BZ219" i="1"/>
  <c r="BZ220" i="1" s="1"/>
  <c r="CC141" i="1"/>
  <c r="CC142" i="1" s="1"/>
  <c r="CC211" i="1" s="1"/>
  <c r="CC67" i="1" s="1"/>
  <c r="BV141" i="1"/>
  <c r="BV142" i="1" s="1"/>
  <c r="BV211" i="1" s="1"/>
  <c r="BV219" i="1" s="1"/>
  <c r="BV220" i="1" s="1"/>
  <c r="CC70" i="1"/>
  <c r="I70" i="1"/>
  <c r="I141" i="1"/>
  <c r="I142" i="1" s="1"/>
  <c r="CC219" i="1" l="1"/>
  <c r="I211" i="1"/>
  <c r="I67" i="1" s="1"/>
  <c r="CC220" i="1" l="1"/>
  <c r="B223" i="10"/>
  <c r="I219" i="1"/>
  <c r="I220" i="1" s="1"/>
</calcChain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<sst xmlns="http://schemas.openxmlformats.org/spreadsheetml/2006/main" count="2529" uniqueCount="281">
  <si>
    <t>Operating</t>
  </si>
  <si>
    <t>SPED</t>
  </si>
  <si>
    <t>NSLP</t>
  </si>
  <si>
    <t>Other</t>
  </si>
  <si>
    <t>Title I</t>
  </si>
  <si>
    <t>SGF</t>
  </si>
  <si>
    <t>Title III</t>
  </si>
  <si>
    <t>Statewide Base (w/ District Adj)</t>
  </si>
  <si>
    <t>Total Students (FTEs)</t>
  </si>
  <si>
    <t>Kinder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</si>
  <si>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</si>
  <si>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</si>
  <si>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</si>
  <si>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</si>
  <si>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</si>
  <si>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</si>
  <si>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</si>
  <si>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</si>
  <si>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</si>
  <si>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</si>
  <si>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</si>
  <si>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</si>
  <si>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 xml:space="preserve">Prior Year Numbers </t>
  </si>
  <si>
    <t>SPED Count</t>
  </si>
  <si>
    <t>EL Count</t>
  </si>
  <si>
    <t>GATE Count</t>
  </si>
  <si>
    <t>FRL %</t>
  </si>
  <si>
    <t>At-Risk (FRL) Count</t>
  </si>
  <si>
    <t>Teaching Staff</t>
  </si>
  <si>
    <t>Classroom Teachers</t>
  </si>
  <si>
    <t>SPED Teachers</t>
  </si>
  <si>
    <t>Art Teacher</t>
  </si>
  <si>
    <t>Music</t>
  </si>
  <si>
    <t>PE Teacher</t>
  </si>
  <si>
    <t>Technology (STEM)</t>
  </si>
  <si>
    <t>Spanish / Language</t>
  </si>
  <si>
    <t>Additional Elective Teachers</t>
  </si>
  <si>
    <t>Gate Teacher</t>
  </si>
  <si>
    <t xml:space="preserve">     Total Teaching Staff</t>
  </si>
  <si>
    <t>Admin &amp; Support</t>
  </si>
  <si>
    <t>Principal</t>
  </si>
  <si>
    <t>Assistant Principal</t>
  </si>
  <si>
    <t>ELL Coordinator</t>
  </si>
  <si>
    <t>Dean</t>
  </si>
  <si>
    <t>Curriculum Coach</t>
  </si>
  <si>
    <t>School Counselor</t>
  </si>
  <si>
    <t>Social Worker/ Mental Health</t>
  </si>
  <si>
    <t>Office Manager/Banker</t>
  </si>
  <si>
    <t>Registrar</t>
  </si>
  <si>
    <t>Clinic Aide/ FASA</t>
  </si>
  <si>
    <t>Receptionist</t>
  </si>
  <si>
    <t>Teacher Assistants (SPED Included)</t>
  </si>
  <si>
    <t>Campus Monitor/Custodian</t>
  </si>
  <si>
    <t>Cafeteria Manager</t>
  </si>
  <si>
    <t>Parent Engagement Corrdinator</t>
  </si>
  <si>
    <t>SPED Facilitator</t>
  </si>
  <si>
    <t>Speech Pathologist</t>
  </si>
  <si>
    <t>School Psychologist</t>
  </si>
  <si>
    <t>OT</t>
  </si>
  <si>
    <t>School Nurse</t>
  </si>
  <si>
    <t>On Campus Sub</t>
  </si>
  <si>
    <t>Other: IT</t>
  </si>
  <si>
    <t xml:space="preserve">     Total Admin &amp; Support</t>
  </si>
  <si>
    <t>Total # Teachers</t>
  </si>
  <si>
    <t>Total # Admin &amp; Support</t>
  </si>
  <si>
    <t>Total Staff</t>
  </si>
  <si>
    <t>Total Salaries &amp; Benefits as % of Expenses</t>
  </si>
  <si>
    <t>Instruction Salaries as % of Total Salaries</t>
  </si>
  <si>
    <t>Admin &amp; Support Salaries as % of Total Salaries</t>
  </si>
  <si>
    <t>Rent as % of Revenue</t>
  </si>
  <si>
    <t xml:space="preserve">REVENUE </t>
  </si>
  <si>
    <t>State Revenue</t>
  </si>
  <si>
    <t>State Base Budget Revenue</t>
  </si>
  <si>
    <t>ELL Weight</t>
  </si>
  <si>
    <t>Gifted and Talented Education (GATE)</t>
  </si>
  <si>
    <t>At-Risk Weight</t>
  </si>
  <si>
    <t>Local SPED</t>
  </si>
  <si>
    <t>SPED Discretionary Unit</t>
  </si>
  <si>
    <t xml:space="preserve">Total State Revenues </t>
  </si>
  <si>
    <t>Federal Revenue</t>
  </si>
  <si>
    <t>SPED Funding (Part B)</t>
  </si>
  <si>
    <t>National School Lunch Program (NSLP) - Breakfast</t>
  </si>
  <si>
    <t>National School Lunch Program (NSLP) - Lunch</t>
  </si>
  <si>
    <t>Title II</t>
  </si>
  <si>
    <t>Title IV</t>
  </si>
  <si>
    <t xml:space="preserve">Other: </t>
  </si>
  <si>
    <t xml:space="preserve">Total Federal Revenues </t>
  </si>
  <si>
    <t>Other Revenue</t>
  </si>
  <si>
    <t>Interest Income</t>
  </si>
  <si>
    <t xml:space="preserve">SGF </t>
  </si>
  <si>
    <t>Donation(s)</t>
  </si>
  <si>
    <t>Earnings on Investments</t>
  </si>
  <si>
    <t xml:space="preserve">Total Other Revenues </t>
  </si>
  <si>
    <t>Total Revenues (consolidated)</t>
  </si>
  <si>
    <t>Other Sources of Funds</t>
  </si>
  <si>
    <t>Use of Beginning Fund Balances</t>
  </si>
  <si>
    <t>Borrowings</t>
  </si>
  <si>
    <t>Total Other Sources of Funds</t>
  </si>
  <si>
    <t>EXPENSES</t>
  </si>
  <si>
    <t>Personnel Costs - Unrestricted Salaries</t>
  </si>
  <si>
    <t>Assistant Principal(s)</t>
  </si>
  <si>
    <t xml:space="preserve">School Counselor </t>
  </si>
  <si>
    <t>Social Worker / Mental Health</t>
  </si>
  <si>
    <t xml:space="preserve">Teachers Salaries </t>
  </si>
  <si>
    <t>Office Manager/ Registrar / Banker</t>
  </si>
  <si>
    <t>Secretary &amp; FASA</t>
  </si>
  <si>
    <t>Instructional Aide(s)</t>
  </si>
  <si>
    <t>Campus Monitors/Plant Operator</t>
  </si>
  <si>
    <t xml:space="preserve">Total Unrestricted Salaries </t>
  </si>
  <si>
    <t>Personnel Costs - Restricted Salaries</t>
  </si>
  <si>
    <t xml:space="preserve">OT </t>
  </si>
  <si>
    <t>GATE Teacher</t>
  </si>
  <si>
    <t>IT</t>
  </si>
  <si>
    <t xml:space="preserve">Total Restricted Salaries </t>
  </si>
  <si>
    <t xml:space="preserve">Total Salaries and Wages </t>
  </si>
  <si>
    <t>PERS - 33.5%</t>
  </si>
  <si>
    <t xml:space="preserve">Insurances/Employment Taxes/Other Benefits </t>
  </si>
  <si>
    <t>Retention</t>
  </si>
  <si>
    <t>Holiday</t>
  </si>
  <si>
    <t>Stipend</t>
  </si>
  <si>
    <t>Additional Bonuses</t>
  </si>
  <si>
    <t>Tuition Reimbursements</t>
  </si>
  <si>
    <t>Subst. Teachers (11 days/Teacher)</t>
  </si>
  <si>
    <t xml:space="preserve">Total Benefits and Related </t>
  </si>
  <si>
    <t>Total Payroll / Benefits and Related</t>
  </si>
  <si>
    <t>Material Equipment and Supplies</t>
  </si>
  <si>
    <t xml:space="preserve">Consumables </t>
  </si>
  <si>
    <t>Dual Enrollment - Student Fees/Textbooks</t>
  </si>
  <si>
    <t>Cash instead of Zion Lease - Curriculum/Tech/Furniture</t>
  </si>
  <si>
    <t>Office Supplies</t>
  </si>
  <si>
    <t>Classroom Supplies</t>
  </si>
  <si>
    <t>Copier Supplies</t>
  </si>
  <si>
    <t>Nursing Supplies</t>
  </si>
  <si>
    <t>SPED Supplies</t>
  </si>
  <si>
    <t>Athletics/Extra</t>
  </si>
  <si>
    <t>Custodial Supplies</t>
  </si>
  <si>
    <t>Total Materials Equipment and Supplies</t>
  </si>
  <si>
    <t>Purchased Services</t>
  </si>
  <si>
    <t>Contracted Services: Other Professional Services</t>
  </si>
  <si>
    <t>Contracted Services: SPED</t>
  </si>
  <si>
    <t>Management Fee (Academica Nevada)</t>
  </si>
  <si>
    <t>Payroll Services</t>
  </si>
  <si>
    <t>Audit/Tax</t>
  </si>
  <si>
    <t>Legal Fees</t>
  </si>
  <si>
    <t xml:space="preserve">IT Services </t>
  </si>
  <si>
    <t>IT Set-up Fees</t>
  </si>
  <si>
    <t xml:space="preserve">State Administrative Fee </t>
  </si>
  <si>
    <t xml:space="preserve">Affiliation Fee - Inc. </t>
  </si>
  <si>
    <t>Affiliation Fee - Professional Development</t>
  </si>
  <si>
    <t xml:space="preserve">Professional Development </t>
  </si>
  <si>
    <t xml:space="preserve">Total Purchased Services </t>
  </si>
  <si>
    <t>General Operations</t>
  </si>
  <si>
    <t>Telephone</t>
  </si>
  <si>
    <t>Internet</t>
  </si>
  <si>
    <t>Cell Phones</t>
  </si>
  <si>
    <t>Postage</t>
  </si>
  <si>
    <t>Website</t>
  </si>
  <si>
    <t>Copier / Printing</t>
  </si>
  <si>
    <t>Infinite Campus</t>
  </si>
  <si>
    <t>Property Insurance</t>
  </si>
  <si>
    <t>Liability Insurance</t>
  </si>
  <si>
    <t>Other Insurances</t>
  </si>
  <si>
    <t xml:space="preserve">NSLP - Breakfast </t>
  </si>
  <si>
    <t xml:space="preserve">NSLP - Lunch </t>
  </si>
  <si>
    <t>Advertising/Marketing</t>
  </si>
  <si>
    <t xml:space="preserve">Travel </t>
  </si>
  <si>
    <t>Background and Fingerprinting</t>
  </si>
  <si>
    <t>Dues and Fees</t>
  </si>
  <si>
    <t>Prior Year Surplus allocated by board</t>
  </si>
  <si>
    <t>Contracted Services: Transportation / Graduation</t>
  </si>
  <si>
    <t>Loan Repayments</t>
  </si>
  <si>
    <t>Cap Lease - Interest</t>
  </si>
  <si>
    <t>Cap Lease - Principal</t>
  </si>
  <si>
    <t>Cap Lease - Buyout</t>
  </si>
  <si>
    <t>SGF Expenditurs</t>
  </si>
  <si>
    <t>Misc Purchases</t>
  </si>
  <si>
    <t>Contingencies/Other Purchases</t>
  </si>
  <si>
    <t>Total General Operations and Other</t>
  </si>
  <si>
    <t>Facilities</t>
  </si>
  <si>
    <t>Public Utilities (Electricity)</t>
  </si>
  <si>
    <t>Natural Gas</t>
  </si>
  <si>
    <t>Water / Sewer</t>
  </si>
  <si>
    <t>Garbage/Disposal</t>
  </si>
  <si>
    <t>Fire and Security alarms</t>
  </si>
  <si>
    <t>Contracted Janitorial Services</t>
  </si>
  <si>
    <t>Facility Maintenance/Repairs/Capital Outlay</t>
  </si>
  <si>
    <t>Snow removal</t>
  </si>
  <si>
    <t>Lawn Care</t>
  </si>
  <si>
    <t>AC Maintenance &amp; Repair</t>
  </si>
  <si>
    <t>Total Facilities and Building Expenditures</t>
  </si>
  <si>
    <t xml:space="preserve">Total Expenses Before Bldg </t>
  </si>
  <si>
    <t>Scheduled Lease Payment</t>
  </si>
  <si>
    <t>Scheduled Bond Payment - Principal</t>
  </si>
  <si>
    <t>Scheduled Bond Payment - Interest</t>
  </si>
  <si>
    <t>HOA/Parking/ Other</t>
  </si>
  <si>
    <t>Surplus (Revenues-Total Expenses-Lease-Bond)</t>
  </si>
  <si>
    <t>Horizon</t>
  </si>
  <si>
    <t>Pinecrest Academy of Nevada - FY24</t>
  </si>
  <si>
    <t>St. Rose</t>
  </si>
  <si>
    <t>Inspirada</t>
  </si>
  <si>
    <t>Cadence</t>
  </si>
  <si>
    <t>Sloan</t>
  </si>
  <si>
    <t>Virtual</t>
  </si>
  <si>
    <t>Springs</t>
  </si>
  <si>
    <t>Exec. Office</t>
  </si>
  <si>
    <t>Systemwide</t>
  </si>
  <si>
    <t>Pinecrest Academy of Nevada - FY25</t>
  </si>
  <si>
    <t>Pinecrest Academy of Nevada - FY26</t>
  </si>
  <si>
    <t>Sloan Canyon</t>
  </si>
  <si>
    <t>Pincrest MADS</t>
  </si>
  <si>
    <t>MADS:</t>
  </si>
  <si>
    <t>Total Loan Payments:</t>
  </si>
  <si>
    <t>Total Debt Service</t>
  </si>
  <si>
    <t>Interest</t>
  </si>
  <si>
    <t>Fiscal Year</t>
  </si>
  <si>
    <t>A-2</t>
  </si>
  <si>
    <t>A-1</t>
  </si>
  <si>
    <t>Series 2020AB-1 Lease Schedule</t>
  </si>
  <si>
    <t>Series 2020AB Lease Schedule</t>
  </si>
  <si>
    <t>Series 2018AB Lease Schedule</t>
  </si>
  <si>
    <t>Pinecrest Academy of Nevada - Sloan Canyon</t>
  </si>
  <si>
    <t>Pinecrest Academy of Nevada - Cadence</t>
  </si>
  <si>
    <t>Pinecrest Academy of Nevada - Horizon/St.Rose/Inspirada</t>
  </si>
  <si>
    <t>2029-2030</t>
  </si>
  <si>
    <t>2028-2029</t>
  </si>
  <si>
    <t>2027-2028</t>
  </si>
  <si>
    <t>2026-2027</t>
  </si>
  <si>
    <t>2025-2026</t>
  </si>
  <si>
    <t>2024-2025</t>
  </si>
  <si>
    <t>2023-2024</t>
  </si>
  <si>
    <t>2022-2023</t>
  </si>
  <si>
    <t>2021-2022</t>
  </si>
  <si>
    <t>2020-2021</t>
  </si>
  <si>
    <t>2019-2020</t>
  </si>
  <si>
    <t>2018-2019</t>
  </si>
  <si>
    <t>2017-2018</t>
  </si>
  <si>
    <t>Total Per Year</t>
  </si>
  <si>
    <t>Schedule #</t>
  </si>
  <si>
    <t>Monthly Payment</t>
  </si>
  <si>
    <t>Borrowed Amount</t>
  </si>
  <si>
    <r>
      <t>Pinecrest Academy of Nevada -</t>
    </r>
    <r>
      <rPr>
        <b/>
        <i/>
        <sz val="12"/>
        <color rgb="FFFF0000"/>
        <rFont val="Aptos Narrow"/>
        <family val="2"/>
        <scheme val="minor"/>
      </rPr>
      <t xml:space="preserve"> Sloan Canyon</t>
    </r>
  </si>
  <si>
    <r>
      <t>Pinecrest Academy of Nevada -</t>
    </r>
    <r>
      <rPr>
        <b/>
        <i/>
        <sz val="12"/>
        <color rgb="FFFF0000"/>
        <rFont val="Aptos Narrow"/>
        <family val="2"/>
        <scheme val="minor"/>
      </rPr>
      <t xml:space="preserve"> Cadence</t>
    </r>
  </si>
  <si>
    <r>
      <t>Pinecrest Academy of Nevada -</t>
    </r>
    <r>
      <rPr>
        <b/>
        <i/>
        <sz val="12"/>
        <color rgb="FFFF0000"/>
        <rFont val="Aptos Narrow"/>
        <family val="2"/>
        <scheme val="minor"/>
      </rPr>
      <t xml:space="preserve"> Inspirada</t>
    </r>
  </si>
  <si>
    <r>
      <t>Pinecrest Academy of Nevada -</t>
    </r>
    <r>
      <rPr>
        <b/>
        <i/>
        <sz val="12"/>
        <color rgb="FFFF0000"/>
        <rFont val="Aptos Narrow"/>
        <family val="2"/>
        <scheme val="minor"/>
      </rPr>
      <t xml:space="preserve"> St. Rose</t>
    </r>
  </si>
  <si>
    <r>
      <t>Pinecrest Academy of Nevada -</t>
    </r>
    <r>
      <rPr>
        <b/>
        <i/>
        <sz val="12"/>
        <color rgb="FFFF0000"/>
        <rFont val="Aptos Narrow"/>
        <family val="2"/>
        <scheme val="minor"/>
      </rPr>
      <t xml:space="preserve"> Horizon</t>
    </r>
  </si>
  <si>
    <t>Interest rate</t>
  </si>
  <si>
    <t>16</t>
  </si>
  <si>
    <t>15</t>
  </si>
  <si>
    <t>14</t>
  </si>
  <si>
    <t>12</t>
  </si>
  <si>
    <t>10</t>
  </si>
  <si>
    <t>Expiration</t>
  </si>
  <si>
    <t>First payment date</t>
  </si>
  <si>
    <t>Pinecrest Academy of Nevada</t>
  </si>
  <si>
    <t>Pinecrest Academy of Nevada - FY27</t>
  </si>
  <si>
    <t>Pinecrest Academy of Nevada - FY29</t>
  </si>
  <si>
    <t>Pinecrest Academy of Nevada - FY28</t>
  </si>
  <si>
    <t>23-24</t>
  </si>
  <si>
    <t>24-25</t>
  </si>
  <si>
    <t>25-26</t>
  </si>
  <si>
    <t>26-27</t>
  </si>
  <si>
    <t>27-28</t>
  </si>
  <si>
    <t>28-29</t>
  </si>
  <si>
    <t>Pinecrest Academy of Nevada - Virtual</t>
  </si>
  <si>
    <t>Project Funds</t>
  </si>
  <si>
    <t>Pinecrest Academy of Nevada - Springs</t>
  </si>
  <si>
    <t>Pinecrest Academy of Nevada - Systemwide</t>
  </si>
  <si>
    <t>Avg</t>
  </si>
  <si>
    <t>Personnel</t>
  </si>
  <si>
    <t>Benefits</t>
  </si>
  <si>
    <t>Contractual</t>
  </si>
  <si>
    <t>Contracted Services</t>
  </si>
  <si>
    <t>Equipment</t>
  </si>
  <si>
    <t>Supplies</t>
  </si>
  <si>
    <t>Facility</t>
  </si>
  <si>
    <t xml:space="preserve">Insurance </t>
  </si>
  <si>
    <t>Travel</t>
  </si>
  <si>
    <t>Accounting, Audit, &amp; Legal Fees</t>
  </si>
  <si>
    <t>Technology</t>
  </si>
  <si>
    <t>Contracted Services: AVE Credits</t>
  </si>
  <si>
    <t>Contracted Services: Admin Fee to Cadence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</si>
</sst>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mm/dd/yy;@"/>
    <numFmt numFmtId="168" formatCode="0.000%"/>
    <numFmt numFmtId="169" formatCode="_(* #,##0.000_);_(* \(#,##0.000\);_(* &quot;-&quot;??_);_(@_)"/>
  </numFmts>
  <fonts count="14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10"/>
      <color rgb="FF0000FF"/>
      <name val="Aptos Narrow"/>
      <family val="2"/>
      <scheme val="minor"/>
    </font>
    <font>
      <b/>
      <i/>
      <sz val="11"/>
      <name val="Aptos Narrow"/>
      <family val="2"/>
      <scheme val="minor"/>
    </font>
    <font>
      <sz val="11"/>
      <color rgb="FF0000FF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b/>
      <u val="singleAccounting"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i/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2">
    <xf numFmtId="0" fontId="0" fillId="0" borderId="0" xfId="0"/>
    <xf numFmtId="164" fontId="3" fillId="0" borderId="0" xfId="1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2" applyNumberFormat="1" applyFont="1" applyFill="1" applyBorder="1" applyAlignment="1">
      <alignment horizontal="right"/>
    </xf>
    <xf numFmtId="164" fontId="4" fillId="0" borderId="2" xfId="1" applyNumberFormat="1" applyFont="1" applyBorder="1"/>
    <xf numFmtId="6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3" xfId="2" applyNumberFormat="1" applyFont="1" applyFill="1" applyBorder="1" applyAlignment="1">
      <alignment horizontal="right"/>
    </xf>
    <xf numFmtId="164" fontId="3" fillId="0" borderId="2" xfId="1" applyNumberFormat="1" applyFont="1" applyBorder="1"/>
    <xf numFmtId="0" fontId="4" fillId="0" borderId="1" xfId="0" applyFont="1" applyBorder="1" applyAlignment="1">
      <alignment horizontal="right"/>
    </xf>
    <xf numFmtId="164" fontId="4" fillId="0" borderId="2" xfId="1" applyNumberFormat="1" applyFont="1" applyFill="1" applyBorder="1"/>
    <xf numFmtId="165" fontId="5" fillId="0" borderId="0" xfId="0" applyNumberFormat="1" applyFont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right"/>
    </xf>
    <xf numFmtId="164" fontId="4" fillId="0" borderId="2" xfId="3" applyNumberFormat="1" applyFont="1" applyBorder="1"/>
    <xf numFmtId="0" fontId="3" fillId="2" borderId="2" xfId="0" applyFont="1" applyFill="1" applyBorder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4" fillId="0" borderId="0" xfId="0" applyNumberFormat="1" applyFont="1"/>
    <xf numFmtId="43" fontId="4" fillId="0" borderId="0" xfId="0" applyNumberFormat="1" applyFont="1" applyAlignment="1">
      <alignment horizontal="left"/>
    </xf>
    <xf numFmtId="9" fontId="4" fillId="0" borderId="2" xfId="3" applyFont="1" applyFill="1" applyBorder="1"/>
    <xf numFmtId="10" fontId="4" fillId="0" borderId="2" xfId="3" applyNumberFormat="1" applyFont="1" applyFill="1" applyBorder="1"/>
    <xf numFmtId="9" fontId="4" fillId="0" borderId="0" xfId="0" applyNumberFormat="1" applyFont="1" applyAlignment="1">
      <alignment horizontal="left"/>
    </xf>
    <xf numFmtId="0" fontId="3" fillId="2" borderId="2" xfId="0" applyFont="1" applyFill="1" applyBorder="1"/>
    <xf numFmtId="0" fontId="4" fillId="0" borderId="3" xfId="0" applyFont="1" applyBorder="1" applyProtection="1">
      <protection locked="0"/>
    </xf>
    <xf numFmtId="43" fontId="4" fillId="0" borderId="2" xfId="1" applyFont="1" applyBorder="1"/>
    <xf numFmtId="43" fontId="4" fillId="0" borderId="2" xfId="1" applyFont="1" applyFill="1" applyBorder="1"/>
    <xf numFmtId="0" fontId="4" fillId="0" borderId="3" xfId="0" applyFont="1" applyBorder="1" applyAlignment="1" applyProtection="1">
      <alignment horizontal="left"/>
      <protection locked="0"/>
    </xf>
    <xf numFmtId="0" fontId="4" fillId="0" borderId="3" xfId="0" applyFont="1" applyBorder="1"/>
    <xf numFmtId="43" fontId="3" fillId="2" borderId="2" xfId="1" applyFont="1" applyFill="1" applyBorder="1"/>
    <xf numFmtId="0" fontId="3" fillId="0" borderId="3" xfId="0" applyFont="1" applyBorder="1"/>
    <xf numFmtId="0" fontId="4" fillId="0" borderId="3" xfId="0" applyFont="1" applyBorder="1" applyAlignment="1" applyProtection="1">
      <alignment wrapText="1"/>
      <protection locked="0"/>
    </xf>
    <xf numFmtId="165" fontId="3" fillId="2" borderId="2" xfId="1" applyNumberFormat="1" applyFont="1" applyFill="1" applyBorder="1"/>
    <xf numFmtId="0" fontId="3" fillId="3" borderId="3" xfId="0" applyFont="1" applyFill="1" applyBorder="1"/>
    <xf numFmtId="164" fontId="4" fillId="0" borderId="1" xfId="1" applyNumberFormat="1" applyFont="1" applyBorder="1"/>
    <xf numFmtId="0" fontId="3" fillId="3" borderId="5" xfId="0" applyFont="1" applyFill="1" applyBorder="1"/>
    <xf numFmtId="43" fontId="3" fillId="0" borderId="5" xfId="1" applyFont="1" applyBorder="1"/>
    <xf numFmtId="0" fontId="3" fillId="3" borderId="1" xfId="0" applyFont="1" applyFill="1" applyBorder="1"/>
    <xf numFmtId="43" fontId="3" fillId="0" borderId="2" xfId="1" applyFont="1" applyBorder="1"/>
    <xf numFmtId="0" fontId="3" fillId="3" borderId="6" xfId="0" applyFont="1" applyFill="1" applyBorder="1"/>
    <xf numFmtId="43" fontId="3" fillId="0" borderId="6" xfId="1" applyFont="1" applyBorder="1"/>
    <xf numFmtId="164" fontId="4" fillId="0" borderId="3" xfId="1" applyNumberFormat="1" applyFont="1" applyBorder="1"/>
    <xf numFmtId="0" fontId="3" fillId="0" borderId="2" xfId="0" applyFont="1" applyBorder="1"/>
    <xf numFmtId="166" fontId="4" fillId="0" borderId="2" xfId="3" applyNumberFormat="1" applyFont="1" applyBorder="1"/>
    <xf numFmtId="166" fontId="4" fillId="0" borderId="2" xfId="3" applyNumberFormat="1" applyFont="1" applyBorder="1" applyAlignment="1">
      <alignment horizontal="center"/>
    </xf>
    <xf numFmtId="0" fontId="3" fillId="4" borderId="7" xfId="0" applyFont="1" applyFill="1" applyBorder="1"/>
    <xf numFmtId="164" fontId="3" fillId="4" borderId="7" xfId="1" applyNumberFormat="1" applyFont="1" applyFill="1" applyBorder="1" applyAlignment="1">
      <alignment horizontal="center"/>
    </xf>
    <xf numFmtId="0" fontId="6" fillId="2" borderId="5" xfId="0" applyFont="1" applyFill="1" applyBorder="1"/>
    <xf numFmtId="164" fontId="3" fillId="2" borderId="8" xfId="1" applyNumberFormat="1" applyFont="1" applyFill="1" applyBorder="1" applyAlignment="1">
      <alignment horizontal="center"/>
    </xf>
    <xf numFmtId="164" fontId="3" fillId="2" borderId="9" xfId="1" applyNumberFormat="1" applyFont="1" applyFill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164" fontId="4" fillId="0" borderId="4" xfId="1" applyNumberFormat="1" applyFont="1" applyBorder="1"/>
    <xf numFmtId="164" fontId="4" fillId="0" borderId="0" xfId="0" applyNumberFormat="1" applyFont="1" applyAlignment="1">
      <alignment horizontal="left"/>
    </xf>
    <xf numFmtId="0" fontId="3" fillId="5" borderId="2" xfId="0" applyFont="1" applyFill="1" applyBorder="1" applyAlignment="1">
      <alignment horizontal="right"/>
    </xf>
    <xf numFmtId="164" fontId="3" fillId="5" borderId="2" xfId="1" applyNumberFormat="1" applyFont="1" applyFill="1" applyBorder="1"/>
    <xf numFmtId="0" fontId="6" fillId="2" borderId="2" xfId="0" applyFont="1" applyFill="1" applyBorder="1"/>
    <xf numFmtId="8" fontId="4" fillId="0" borderId="0" xfId="0" applyNumberFormat="1" applyFont="1" applyAlignment="1">
      <alignment horizontal="left"/>
    </xf>
    <xf numFmtId="0" fontId="3" fillId="4" borderId="1" xfId="0" applyFont="1" applyFill="1" applyBorder="1" applyAlignment="1">
      <alignment horizontal="right"/>
    </xf>
    <xf numFmtId="164" fontId="3" fillId="4" borderId="1" xfId="1" applyNumberFormat="1" applyFont="1" applyFill="1" applyBorder="1"/>
    <xf numFmtId="0" fontId="3" fillId="6" borderId="7" xfId="0" applyFont="1" applyFill="1" applyBorder="1" applyAlignment="1">
      <alignment horizontal="left"/>
    </xf>
    <xf numFmtId="164" fontId="3" fillId="6" borderId="7" xfId="1" applyNumberFormat="1" applyFont="1" applyFill="1" applyBorder="1" applyAlignment="1">
      <alignment horizontal="center"/>
    </xf>
    <xf numFmtId="164" fontId="0" fillId="0" borderId="2" xfId="1" applyNumberFormat="1" applyFont="1" applyFill="1" applyBorder="1"/>
    <xf numFmtId="10" fontId="4" fillId="0" borderId="0" xfId="3" applyNumberFormat="1" applyFont="1" applyAlignment="1">
      <alignment horizontal="left"/>
    </xf>
    <xf numFmtId="0" fontId="3" fillId="7" borderId="2" xfId="0" applyFont="1" applyFill="1" applyBorder="1" applyAlignment="1">
      <alignment horizontal="right"/>
    </xf>
    <xf numFmtId="164" fontId="3" fillId="7" borderId="2" xfId="1" applyNumberFormat="1" applyFont="1" applyFill="1" applyBorder="1"/>
    <xf numFmtId="0" fontId="6" fillId="2" borderId="10" xfId="0" applyFont="1" applyFill="1" applyBorder="1"/>
    <xf numFmtId="164" fontId="4" fillId="0" borderId="1" xfId="1" applyNumberFormat="1" applyFont="1" applyFill="1" applyBorder="1"/>
    <xf numFmtId="0" fontId="3" fillId="7" borderId="1" xfId="0" applyFont="1" applyFill="1" applyBorder="1" applyAlignment="1">
      <alignment horizontal="right"/>
    </xf>
    <xf numFmtId="164" fontId="3" fillId="7" borderId="1" xfId="1" applyNumberFormat="1" applyFont="1" applyFill="1" applyBorder="1"/>
    <xf numFmtId="0" fontId="3" fillId="6" borderId="2" xfId="0" applyFont="1" applyFill="1" applyBorder="1" applyAlignment="1">
      <alignment horizontal="right"/>
    </xf>
    <xf numFmtId="164" fontId="3" fillId="6" borderId="2" xfId="1" applyNumberFormat="1" applyFont="1" applyFill="1" applyBorder="1"/>
    <xf numFmtId="10" fontId="4" fillId="0" borderId="0" xfId="3" applyNumberFormat="1" applyFont="1" applyBorder="1" applyAlignment="1">
      <alignment horizontal="left"/>
    </xf>
    <xf numFmtId="0" fontId="3" fillId="6" borderId="1" xfId="0" applyFont="1" applyFill="1" applyBorder="1" applyAlignment="1">
      <alignment horizontal="right"/>
    </xf>
    <xf numFmtId="164" fontId="3" fillId="6" borderId="1" xfId="1" applyNumberFormat="1" applyFont="1" applyFill="1" applyBorder="1"/>
    <xf numFmtId="0" fontId="6" fillId="2" borderId="2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/>
    <xf numFmtId="164" fontId="0" fillId="0" borderId="2" xfId="1" applyNumberFormat="1" applyFont="1" applyBorder="1"/>
    <xf numFmtId="10" fontId="4" fillId="0" borderId="0" xfId="0" applyNumberFormat="1" applyFont="1" applyAlignment="1">
      <alignment horizontal="left"/>
    </xf>
    <xf numFmtId="0" fontId="4" fillId="0" borderId="1" xfId="0" applyFont="1" applyBorder="1"/>
    <xf numFmtId="2" fontId="4" fillId="0" borderId="0" xfId="0" applyNumberFormat="1" applyFont="1" applyAlignment="1">
      <alignment horizontal="left"/>
    </xf>
    <xf numFmtId="164" fontId="0" fillId="0" borderId="4" xfId="1" applyNumberFormat="1" applyFont="1" applyBorder="1"/>
    <xf numFmtId="164" fontId="0" fillId="0" borderId="1" xfId="1" applyNumberFormat="1" applyFont="1" applyFill="1" applyBorder="1"/>
    <xf numFmtId="0" fontId="6" fillId="0" borderId="2" xfId="0" applyFont="1" applyBorder="1" applyAlignment="1">
      <alignment horizontal="right"/>
    </xf>
    <xf numFmtId="0" fontId="6" fillId="0" borderId="3" xfId="0" applyFont="1" applyBorder="1"/>
    <xf numFmtId="0" fontId="3" fillId="4" borderId="7" xfId="0" applyFont="1" applyFill="1" applyBorder="1" applyAlignment="1">
      <alignment horizontal="right" wrapText="1"/>
    </xf>
    <xf numFmtId="164" fontId="3" fillId="4" borderId="7" xfId="0" applyNumberFormat="1" applyFont="1" applyFill="1" applyBorder="1"/>
    <xf numFmtId="0" fontId="4" fillId="0" borderId="5" xfId="0" applyFont="1" applyBorder="1"/>
    <xf numFmtId="10" fontId="4" fillId="0" borderId="5" xfId="3" applyNumberFormat="1" applyFont="1" applyBorder="1"/>
    <xf numFmtId="10" fontId="4" fillId="0" borderId="0" xfId="3" applyNumberFormat="1" applyFont="1" applyBorder="1"/>
    <xf numFmtId="164" fontId="4" fillId="0" borderId="0" xfId="1" applyNumberFormat="1" applyFont="1"/>
    <xf numFmtId="0" fontId="2" fillId="0" borderId="0" xfId="0" applyFont="1"/>
    <xf numFmtId="164" fontId="0" fillId="0" borderId="0" xfId="1" applyNumberFormat="1" applyFont="1"/>
    <xf numFmtId="43" fontId="4" fillId="0" borderId="0" xfId="1" applyFont="1"/>
    <xf numFmtId="164" fontId="0" fillId="0" borderId="1" xfId="1" applyNumberFormat="1" applyFont="1" applyBorder="1"/>
    <xf numFmtId="164" fontId="4" fillId="8" borderId="1" xfId="1" applyNumberFormat="1" applyFont="1" applyFill="1" applyBorder="1"/>
    <xf numFmtId="164" fontId="4" fillId="9" borderId="2" xfId="1" applyNumberFormat="1" applyFont="1" applyFill="1" applyBorder="1"/>
    <xf numFmtId="164" fontId="4" fillId="8" borderId="2" xfId="1" applyNumberFormat="1" applyFont="1" applyFill="1" applyBorder="1"/>
    <xf numFmtId="164" fontId="1" fillId="0" borderId="2" xfId="1" applyNumberFormat="1" applyFont="1" applyFill="1" applyBorder="1"/>
    <xf numFmtId="9" fontId="4" fillId="0" borderId="2" xfId="3" applyFont="1" applyBorder="1"/>
    <xf numFmtId="164" fontId="0" fillId="10" borderId="2" xfId="1" applyNumberFormat="1" applyFont="1" applyFill="1" applyBorder="1"/>
    <xf numFmtId="164" fontId="3" fillId="0" borderId="2" xfId="1" applyNumberFormat="1" applyFont="1" applyFill="1" applyBorder="1"/>
    <xf numFmtId="10" fontId="4" fillId="9" borderId="2" xfId="3" applyNumberFormat="1" applyFont="1" applyFill="1" applyBorder="1"/>
    <xf numFmtId="164" fontId="4" fillId="10" borderId="2" xfId="1" applyNumberFormat="1" applyFont="1" applyFill="1" applyBorder="1"/>
    <xf numFmtId="165" fontId="5" fillId="0" borderId="0" xfId="0" applyNumberFormat="1" applyFont="1" applyAlignment="1">
      <alignment horizontal="center"/>
    </xf>
    <xf numFmtId="0" fontId="1" fillId="0" borderId="0" xfId="4"/>
    <xf numFmtId="44" fontId="8" fillId="0" borderId="0" xfId="4" applyNumberFormat="1" applyFont="1"/>
    <xf numFmtId="0" fontId="8" fillId="0" borderId="0" xfId="4" applyFont="1"/>
    <xf numFmtId="44" fontId="2" fillId="0" borderId="0" xfId="4" applyNumberFormat="1" applyFont="1"/>
    <xf numFmtId="9" fontId="0" fillId="0" borderId="0" xfId="6" applyFont="1"/>
    <xf numFmtId="9" fontId="0" fillId="0" borderId="0" xfId="3" applyFont="1"/>
    <xf numFmtId="44" fontId="2" fillId="0" borderId="0" xfId="2" applyFont="1"/>
    <xf numFmtId="44" fontId="2" fillId="0" borderId="0" xfId="5" applyFont="1"/>
    <xf numFmtId="44" fontId="0" fillId="0" borderId="0" xfId="2" applyFont="1"/>
    <xf numFmtId="44" fontId="1" fillId="0" borderId="0" xfId="4" applyNumberFormat="1"/>
    <xf numFmtId="167" fontId="1" fillId="0" borderId="0" xfId="4" applyNumberFormat="1"/>
    <xf numFmtId="0" fontId="2" fillId="0" borderId="0" xfId="4" applyFont="1"/>
    <xf numFmtId="44" fontId="9" fillId="0" borderId="0" xfId="4" applyNumberFormat="1" applyFont="1"/>
    <xf numFmtId="167" fontId="2" fillId="0" borderId="0" xfId="4" applyNumberFormat="1" applyFont="1" applyAlignment="1">
      <alignment horizontal="right"/>
    </xf>
    <xf numFmtId="44" fontId="2" fillId="0" borderId="11" xfId="4" applyNumberFormat="1" applyFont="1" applyBorder="1"/>
    <xf numFmtId="167" fontId="2" fillId="0" borderId="11" xfId="4" applyNumberFormat="1" applyFont="1" applyBorder="1" applyAlignment="1">
      <alignment horizontal="right"/>
    </xf>
    <xf numFmtId="167" fontId="1" fillId="0" borderId="0" xfId="4" applyNumberFormat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0" applyFont="1" applyAlignment="1">
      <alignment horizontal="center"/>
    </xf>
    <xf numFmtId="43" fontId="10" fillId="0" borderId="0" xfId="7" applyFont="1" applyAlignment="1"/>
    <xf numFmtId="0" fontId="0" fillId="0" borderId="0" xfId="0" applyAlignment="1">
      <alignment horizontal="center"/>
    </xf>
    <xf numFmtId="44" fontId="0" fillId="0" borderId="0" xfId="0" applyNumberFormat="1"/>
    <xf numFmtId="0" fontId="0" fillId="12" borderId="0" xfId="0" applyFill="1"/>
    <xf numFmtId="1" fontId="0" fillId="0" borderId="0" xfId="0" quotePrefix="1" applyNumberFormat="1" applyAlignment="1">
      <alignment horizontal="center"/>
    </xf>
    <xf numFmtId="0" fontId="11" fillId="0" borderId="0" xfId="0" applyFont="1"/>
    <xf numFmtId="0" fontId="8" fillId="0" borderId="0" xfId="0" applyFont="1" applyAlignment="1">
      <alignment horizontal="left"/>
    </xf>
    <xf numFmtId="168" fontId="0" fillId="0" borderId="0" xfId="2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13" fillId="0" borderId="0" xfId="0" applyFont="1"/>
    <xf numFmtId="164" fontId="2" fillId="0" borderId="0" xfId="1" applyNumberFormat="1" applyFont="1"/>
    <xf numFmtId="167" fontId="4" fillId="0" borderId="0" xfId="1" applyNumberFormat="1" applyFont="1"/>
    <xf numFmtId="44" fontId="4" fillId="0" borderId="0" xfId="1" applyNumberFormat="1" applyFont="1"/>
    <xf numFmtId="0" fontId="4" fillId="0" borderId="0" xfId="1" applyNumberFormat="1" applyFont="1"/>
    <xf numFmtId="10" fontId="4" fillId="0" borderId="0" xfId="3" applyNumberFormat="1" applyFont="1"/>
    <xf numFmtId="164" fontId="5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10" fontId="0" fillId="0" borderId="0" xfId="3" applyNumberFormat="1" applyFont="1"/>
    <xf numFmtId="10" fontId="4" fillId="0" borderId="0" xfId="0" applyNumberFormat="1" applyFont="1"/>
    <xf numFmtId="10" fontId="0" fillId="0" borderId="0" xfId="0" applyNumberFormat="1"/>
    <xf numFmtId="166" fontId="4" fillId="0" borderId="0" xfId="3" applyNumberFormat="1" applyFont="1"/>
    <xf numFmtId="169" fontId="3" fillId="2" borderId="2" xfId="1" applyNumberFormat="1" applyFont="1" applyFill="1" applyBorder="1"/>
    <xf numFmtId="169" fontId="4" fillId="0" borderId="2" xfId="1" applyNumberFormat="1" applyFont="1" applyBorder="1"/>
    <xf numFmtId="0" fontId="2" fillId="0" borderId="0" xfId="4" applyFont="1" applyAlignment="1">
      <alignment horizontal="center"/>
    </xf>
    <xf numFmtId="43" fontId="10" fillId="11" borderId="0" xfId="7" applyFont="1" applyFill="1" applyAlignment="1">
      <alignment horizontal="center"/>
    </xf>
  </cellXfs>
  <cellStyles count="8">
    <cellStyle name="Comma" xfId="1" builtinId="3"/>
    <cellStyle name="Comma 2" xfId="7"/>
    <cellStyle name="Currency" xfId="2" builtinId="4"/>
    <cellStyle name="Currency 2" xfId="5"/>
    <cellStyle name="Normal" xfId="0" builtinId="0"/>
    <cellStyle name="Normal 2" xfId="4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3200400</xdr:colOff>
      <xdr:row>19</xdr:row>
      <xdr:rowOff>22860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809F53-9E3E-ACB6-6DC9-D285E0C5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00400" cy="3497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182880</xdr:colOff>
      <xdr:row>197</xdr:row>
      <xdr:rowOff>132079</xdr:rowOff>
    </xdr:from>
    <xdr:to>
      <xdr:col>16</xdr:col>
      <xdr:colOff>193040</xdr:colOff>
      <xdr:row>223</xdr:row>
      <xdr:rowOff>103680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6E8916D-2CDA-9C3B-4662-DD0922483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4640" y="36220399"/>
          <a:ext cx="4206240" cy="47468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1211580</xdr:colOff>
      <xdr:row>19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15A843-AC6B-365F-C2BF-29279CA3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62300" cy="356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396239</xdr:colOff>
      <xdr:row>7</xdr:row>
      <xdr:rowOff>20320</xdr:rowOff>
    </xdr:from>
    <xdr:to>
      <xdr:col>25</xdr:col>
      <xdr:colOff>208550</xdr:colOff>
      <xdr:row>32</xdr:row>
      <xdr:rowOff>40640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D942F7E-2C8C-E408-4E0B-E54A23432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92639" y="1341120"/>
          <a:ext cx="4069351" cy="4592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.Padron\Work%20Folders\Desktop\Budgets\2023%20-%202024%20Budgets\Pinecrest\NetSuite%20Budget%20Import%20-%20Pinecrest%20Final%2011.21.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.Padron\Work%20Folders\Desktop\Budgets\2024%20-%202025%20Budgets\Pinecrest\First%20-%20April\Pinecrest%20First%203.13.24%20-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"/>
      <sheetName val="Summary"/>
      <sheetName val="MADS"/>
      <sheetName val="Notes"/>
      <sheetName val="Combined"/>
      <sheetName val="Grants"/>
      <sheetName val="01"/>
      <sheetName val="11"/>
      <sheetName val="CSV01"/>
      <sheetName val="22"/>
      <sheetName val="CSV02"/>
      <sheetName val="02"/>
      <sheetName val="03"/>
      <sheetName val="33"/>
      <sheetName val="CSV03"/>
      <sheetName val="04"/>
      <sheetName val="44"/>
      <sheetName val="CSV04"/>
      <sheetName val="05"/>
      <sheetName val="55"/>
      <sheetName val="CSV05"/>
      <sheetName val="06"/>
      <sheetName val="66"/>
      <sheetName val="CSV06"/>
      <sheetName val="07"/>
      <sheetName val="77"/>
      <sheetName val="CSV07"/>
      <sheetName val="08"/>
      <sheetName val="88"/>
      <sheetName val="CSV08"/>
      <sheetName val="09"/>
      <sheetName val="99"/>
      <sheetName val="CSV09"/>
      <sheetName val="Bldg"/>
      <sheetName val="Oct 1"/>
      <sheetName val="Utilities"/>
      <sheetName val="Allocation"/>
      <sheetName val="Ins"/>
      <sheetName val="Salaries"/>
      <sheetName val="Horizon"/>
      <sheetName val="Cadence"/>
      <sheetName val="St.Rose"/>
      <sheetName val="Virtual"/>
      <sheetName val="Sloan"/>
      <sheetName val="Rent"/>
      <sheetName val="FFE"/>
      <sheetName val="SPED Updated"/>
      <sheetName val="SPED"/>
      <sheetName val="Sheet2"/>
      <sheetName val="Insur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"/>
      <sheetName val="Summary"/>
      <sheetName val="MADS"/>
      <sheetName val="Notes"/>
      <sheetName val="Combined"/>
      <sheetName val="Grants"/>
      <sheetName val="01"/>
      <sheetName val="02"/>
      <sheetName val="22"/>
      <sheetName val="CSV02"/>
      <sheetName val="03"/>
      <sheetName val="33"/>
      <sheetName val="CSV03"/>
      <sheetName val="04"/>
      <sheetName val="44"/>
      <sheetName val="CSV04"/>
      <sheetName val="05"/>
      <sheetName val="55"/>
      <sheetName val="CSV05"/>
      <sheetName val="06"/>
      <sheetName val="07"/>
      <sheetName val="66"/>
      <sheetName val="CSV06"/>
      <sheetName val="77"/>
      <sheetName val="CSV07"/>
      <sheetName val="88"/>
      <sheetName val="CSV08"/>
      <sheetName val="08"/>
      <sheetName val="09"/>
      <sheetName val="99"/>
      <sheetName val="CSV09"/>
      <sheetName val="Bldg"/>
      <sheetName val="new sped"/>
      <sheetName val="Oct 1"/>
      <sheetName val="Allocation"/>
      <sheetName val="Rent"/>
      <sheetName val="Utilities"/>
      <sheetName val="Ins"/>
      <sheetName val="Salaries"/>
      <sheetName val="Horizon"/>
      <sheetName val="Cadence"/>
      <sheetName val="St.Rose"/>
      <sheetName val="Virtual"/>
      <sheetName val="Sloan"/>
      <sheetName val="FFE"/>
      <sheetName val="SPED Updated"/>
      <sheetName val="SPED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25"/>
  <sheetViews>
    <sheetView topLeftCell="A111" zoomScale="75" zoomScaleNormal="75" workbookViewId="0">
      <selection activeCell="BR175" sqref="A175:BR180"/>
    </sheetView>
  </sheetViews>
  <sheetFormatPr defaultColWidth="8.625" defaultRowHeight="14.25"/>
  <cols>
    <col min="1" max="1" width="56.5" style="7" customWidth="1"/>
    <col min="2" max="7" width="15.625" style="92" customWidth="1"/>
    <col min="8" max="8" width="15.625" style="92" hidden="1" customWidth="1"/>
    <col min="9" max="9" width="15.625" style="92" customWidth="1"/>
    <col min="10" max="10" width="7.25" style="14" bestFit="1" customWidth="1"/>
    <col min="11" max="16" width="15.625" style="92" customWidth="1"/>
    <col min="17" max="17" width="15.625" style="92" hidden="1" customWidth="1"/>
    <col min="18" max="18" width="15.625" style="92" customWidth="1"/>
    <col min="19" max="19" width="8.625" style="7"/>
    <col min="20" max="25" width="15.625" style="92" customWidth="1"/>
    <col min="26" max="26" width="15.625" style="92" hidden="1" customWidth="1"/>
    <col min="27" max="27" width="15.625" style="92" customWidth="1"/>
    <col min="28" max="28" width="8.625" style="7"/>
    <col min="29" max="34" width="15.625" style="92" customWidth="1"/>
    <col min="35" max="35" width="15.625" style="92" hidden="1" customWidth="1"/>
    <col min="36" max="36" width="15.625" style="92" customWidth="1"/>
    <col min="37" max="37" width="8.625" style="7"/>
    <col min="38" max="43" width="15.625" style="92" customWidth="1"/>
    <col min="44" max="44" width="15.625" style="92" hidden="1" customWidth="1"/>
    <col min="45" max="45" width="15.625" style="92" customWidth="1"/>
    <col min="46" max="46" width="8.625" style="7"/>
    <col min="47" max="52" width="15.625" style="92" customWidth="1"/>
    <col min="53" max="53" width="15.625" style="92" hidden="1" customWidth="1"/>
    <col min="54" max="54" width="15.625" style="92" customWidth="1"/>
    <col min="55" max="55" width="8.625" style="7"/>
    <col min="56" max="61" width="15.625" style="92" customWidth="1"/>
    <col min="62" max="62" width="15.625" style="92" hidden="1" customWidth="1"/>
    <col min="63" max="63" width="15.625" style="92" customWidth="1"/>
    <col min="64" max="64" width="8.625" style="7"/>
    <col min="65" max="70" width="15.625" style="92" customWidth="1"/>
    <col min="71" max="71" width="15.625" style="92" hidden="1" customWidth="1"/>
    <col min="72" max="72" width="15.625" style="92" customWidth="1"/>
    <col min="73" max="73" width="8.625" style="7"/>
    <col min="74" max="79" width="15.625" style="92" customWidth="1"/>
    <col min="80" max="80" width="15.625" style="92" hidden="1" customWidth="1"/>
    <col min="81" max="81" width="15.625" style="92" customWidth="1"/>
    <col min="82" max="16384" width="8.625" style="7"/>
  </cols>
  <sheetData>
    <row r="1" spans="1:82" s="3" customFormat="1" ht="15">
      <c r="A1" s="1" t="s">
        <v>197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196</v>
      </c>
      <c r="J1" s="2"/>
      <c r="K1" s="1" t="s">
        <v>0</v>
      </c>
      <c r="L1" s="1" t="s">
        <v>1</v>
      </c>
      <c r="M1" s="1" t="s">
        <v>2</v>
      </c>
      <c r="N1" s="1" t="s">
        <v>3</v>
      </c>
      <c r="O1" s="1" t="s">
        <v>4</v>
      </c>
      <c r="P1" s="1" t="s">
        <v>5</v>
      </c>
      <c r="Q1" s="1" t="s">
        <v>6</v>
      </c>
      <c r="R1" s="1" t="s">
        <v>198</v>
      </c>
      <c r="T1" s="1" t="s">
        <v>0</v>
      </c>
      <c r="U1" s="1" t="s">
        <v>1</v>
      </c>
      <c r="V1" s="1" t="s">
        <v>2</v>
      </c>
      <c r="W1" s="1" t="s">
        <v>3</v>
      </c>
      <c r="X1" s="1" t="s">
        <v>4</v>
      </c>
      <c r="Y1" s="1" t="s">
        <v>5</v>
      </c>
      <c r="Z1" s="1" t="s">
        <v>6</v>
      </c>
      <c r="AA1" s="1" t="s">
        <v>199</v>
      </c>
      <c r="AC1" s="1" t="s">
        <v>0</v>
      </c>
      <c r="AD1" s="1" t="s">
        <v>1</v>
      </c>
      <c r="AE1" s="1" t="s">
        <v>2</v>
      </c>
      <c r="AF1" s="1" t="s">
        <v>3</v>
      </c>
      <c r="AG1" s="1" t="s">
        <v>4</v>
      </c>
      <c r="AH1" s="1" t="s">
        <v>5</v>
      </c>
      <c r="AI1" s="1" t="s">
        <v>6</v>
      </c>
      <c r="AJ1" s="1" t="s">
        <v>200</v>
      </c>
      <c r="AL1" s="1" t="s">
        <v>0</v>
      </c>
      <c r="AM1" s="1" t="s">
        <v>1</v>
      </c>
      <c r="AN1" s="1" t="s">
        <v>2</v>
      </c>
      <c r="AO1" s="1" t="s">
        <v>3</v>
      </c>
      <c r="AP1" s="1" t="s">
        <v>4</v>
      </c>
      <c r="AQ1" s="1" t="s">
        <v>5</v>
      </c>
      <c r="AR1" s="1" t="s">
        <v>6</v>
      </c>
      <c r="AS1" s="1" t="s">
        <v>201</v>
      </c>
      <c r="AU1" s="1" t="s">
        <v>0</v>
      </c>
      <c r="AV1" s="1" t="s">
        <v>1</v>
      </c>
      <c r="AW1" s="1" t="s">
        <v>2</v>
      </c>
      <c r="AX1" s="1" t="s">
        <v>3</v>
      </c>
      <c r="AY1" s="1" t="s">
        <v>4</v>
      </c>
      <c r="AZ1" s="1" t="s">
        <v>5</v>
      </c>
      <c r="BA1" s="1" t="s">
        <v>6</v>
      </c>
      <c r="BB1" s="1" t="s">
        <v>202</v>
      </c>
      <c r="BD1" s="1" t="s">
        <v>0</v>
      </c>
      <c r="BE1" s="1" t="s">
        <v>1</v>
      </c>
      <c r="BF1" s="1" t="s">
        <v>2</v>
      </c>
      <c r="BG1" s="1" t="s">
        <v>3</v>
      </c>
      <c r="BH1" s="1" t="s">
        <v>4</v>
      </c>
      <c r="BI1" s="1" t="s">
        <v>5</v>
      </c>
      <c r="BJ1" s="1" t="s">
        <v>6</v>
      </c>
      <c r="BK1" s="1" t="s">
        <v>203</v>
      </c>
      <c r="BM1" s="1" t="s">
        <v>0</v>
      </c>
      <c r="BN1" s="1" t="s">
        <v>1</v>
      </c>
      <c r="BO1" s="1" t="s">
        <v>2</v>
      </c>
      <c r="BP1" s="1" t="s">
        <v>3</v>
      </c>
      <c r="BQ1" s="1" t="s">
        <v>4</v>
      </c>
      <c r="BR1" s="1" t="s">
        <v>5</v>
      </c>
      <c r="BS1" s="1" t="s">
        <v>6</v>
      </c>
      <c r="BT1" s="1" t="s">
        <v>204</v>
      </c>
      <c r="BV1" s="1" t="s">
        <v>0</v>
      </c>
      <c r="BW1" s="1" t="s">
        <v>1</v>
      </c>
      <c r="BX1" s="1" t="s">
        <v>2</v>
      </c>
      <c r="BY1" s="1" t="s">
        <v>3</v>
      </c>
      <c r="BZ1" s="1" t="s">
        <v>4</v>
      </c>
      <c r="CA1" s="1" t="s">
        <v>5</v>
      </c>
      <c r="CB1" s="1" t="s">
        <v>6</v>
      </c>
      <c r="CC1" s="1" t="s">
        <v>205</v>
      </c>
    </row>
    <row r="2" spans="1:82">
      <c r="A2" s="4" t="s">
        <v>7</v>
      </c>
      <c r="B2" s="5">
        <v>8966</v>
      </c>
      <c r="C2" s="5"/>
      <c r="D2" s="5"/>
      <c r="E2" s="5"/>
      <c r="F2" s="5"/>
      <c r="G2" s="5"/>
      <c r="H2" s="5"/>
      <c r="I2" s="5">
        <f t="shared" ref="I2:I16" si="0">SUM(B2:H2)</f>
        <v>8966</v>
      </c>
      <c r="J2" s="6"/>
      <c r="K2" s="5">
        <v>8966</v>
      </c>
      <c r="L2" s="5"/>
      <c r="M2" s="5"/>
      <c r="N2" s="5"/>
      <c r="O2" s="5"/>
      <c r="P2" s="5"/>
      <c r="Q2" s="5"/>
      <c r="R2" s="5">
        <f>SUM(K2:Q2)</f>
        <v>8966</v>
      </c>
      <c r="T2" s="5">
        <v>8966</v>
      </c>
      <c r="U2" s="5"/>
      <c r="V2" s="5"/>
      <c r="W2" s="5"/>
      <c r="X2" s="5"/>
      <c r="Y2" s="5"/>
      <c r="Z2" s="5"/>
      <c r="AA2" s="5">
        <f>SUM(T2:Z2)</f>
        <v>8966</v>
      </c>
      <c r="AC2" s="5">
        <v>8966</v>
      </c>
      <c r="AD2" s="5"/>
      <c r="AE2" s="5"/>
      <c r="AF2" s="5"/>
      <c r="AG2" s="5"/>
      <c r="AH2" s="5"/>
      <c r="AI2" s="5"/>
      <c r="AJ2" s="5">
        <f>SUM(AC2:AI2)</f>
        <v>8966</v>
      </c>
      <c r="AL2" s="5">
        <v>8966</v>
      </c>
      <c r="AM2" s="5"/>
      <c r="AN2" s="5"/>
      <c r="AO2" s="5"/>
      <c r="AP2" s="5"/>
      <c r="AQ2" s="5"/>
      <c r="AR2" s="5"/>
      <c r="AS2" s="5">
        <f>SUM(AL2:AR2)</f>
        <v>8966</v>
      </c>
      <c r="AU2" s="5">
        <v>8966</v>
      </c>
      <c r="AV2" s="5"/>
      <c r="AW2" s="5"/>
      <c r="AX2" s="5"/>
      <c r="AY2" s="5"/>
      <c r="AZ2" s="5"/>
      <c r="BA2" s="5"/>
      <c r="BB2" s="5">
        <f>SUM(AU2:BA2)</f>
        <v>8966</v>
      </c>
      <c r="BD2" s="5">
        <v>8966</v>
      </c>
      <c r="BE2" s="5"/>
      <c r="BF2" s="5"/>
      <c r="BG2" s="5"/>
      <c r="BH2" s="5"/>
      <c r="BI2" s="5"/>
      <c r="BJ2" s="5"/>
      <c r="BK2" s="5">
        <f>SUM(BD2:BJ2)</f>
        <v>8966</v>
      </c>
      <c r="BM2" s="5">
        <v>8966</v>
      </c>
      <c r="BN2" s="5"/>
      <c r="BO2" s="5"/>
      <c r="BP2" s="5"/>
      <c r="BQ2" s="5"/>
      <c r="BR2" s="5"/>
      <c r="BS2" s="5"/>
      <c r="BT2" s="5">
        <f>SUM(BM2:BS2)</f>
        <v>8966</v>
      </c>
      <c r="BV2" s="5">
        <v>8966</v>
      </c>
      <c r="BW2" s="5"/>
      <c r="BX2" s="5"/>
      <c r="BY2" s="5"/>
      <c r="BZ2" s="5"/>
      <c r="CA2" s="5"/>
      <c r="CB2" s="5"/>
      <c r="CC2" s="5">
        <f>SUM(BV2:CB2)</f>
        <v>8966</v>
      </c>
    </row>
    <row r="3" spans="1:82" ht="15">
      <c r="A3" s="8" t="s">
        <v>8</v>
      </c>
      <c r="B3" s="9">
        <f t="shared" ref="B3" si="1">B4+B5+B6+B7+B8+B9+B10+B11+B12+B13+B14+B15+B16</f>
        <v>908</v>
      </c>
      <c r="C3" s="9"/>
      <c r="D3" s="9"/>
      <c r="E3" s="9"/>
      <c r="F3" s="9"/>
      <c r="G3" s="9"/>
      <c r="H3" s="9"/>
      <c r="I3" s="9">
        <f t="shared" si="0"/>
        <v>908</v>
      </c>
      <c r="J3" s="6"/>
      <c r="K3" s="9">
        <f t="shared" ref="K3" si="2">K4+K5+K6+K7+K8+K9+K10+K11+K12+K13+K14+K15+K16</f>
        <v>1022</v>
      </c>
      <c r="L3" s="9"/>
      <c r="M3" s="9"/>
      <c r="N3" s="9"/>
      <c r="O3" s="9"/>
      <c r="P3" s="9"/>
      <c r="Q3" s="9"/>
      <c r="R3" s="9">
        <f t="shared" ref="R3:R16" si="3">SUM(K3:Q3)</f>
        <v>1022</v>
      </c>
      <c r="T3" s="9">
        <f t="shared" ref="T3" si="4">T4+T5+T6+T7+T8+T9+T10+T11+T12+T13+T14+T15+T16</f>
        <v>1190</v>
      </c>
      <c r="U3" s="9"/>
      <c r="V3" s="9"/>
      <c r="W3" s="9"/>
      <c r="X3" s="9"/>
      <c r="Y3" s="9"/>
      <c r="Z3" s="9"/>
      <c r="AA3" s="9">
        <f t="shared" ref="AA3:AA16" si="5">SUM(T3:Z3)</f>
        <v>1190</v>
      </c>
      <c r="AC3" s="9">
        <f t="shared" ref="AC3" si="6">AC4+AC5+AC6+AC7+AC8+AC9+AC10+AC11+AC12+AC13+AC14+AC15+AC16</f>
        <v>2244</v>
      </c>
      <c r="AD3" s="9"/>
      <c r="AE3" s="9"/>
      <c r="AF3" s="9"/>
      <c r="AG3" s="9"/>
      <c r="AH3" s="9"/>
      <c r="AI3" s="9"/>
      <c r="AJ3" s="9">
        <f t="shared" ref="AJ3:AJ16" si="7">SUM(AC3:AI3)</f>
        <v>2244</v>
      </c>
      <c r="AL3" s="9">
        <f t="shared" ref="AL3" si="8">AL4+AL5+AL6+AL7+AL8+AL9+AL10+AL11+AL12+AL13+AL14+AL15+AL16</f>
        <v>2190</v>
      </c>
      <c r="AM3" s="9"/>
      <c r="AN3" s="9"/>
      <c r="AO3" s="9"/>
      <c r="AP3" s="9"/>
      <c r="AQ3" s="9"/>
      <c r="AR3" s="9"/>
      <c r="AS3" s="9">
        <f t="shared" ref="AS3:AS16" si="9">SUM(AL3:AR3)</f>
        <v>2190</v>
      </c>
      <c r="AU3" s="9">
        <f t="shared" ref="AU3" si="10">AU4+AU5+AU6+AU7+AU8+AU9+AU10+AU11+AU12+AU13+AU14+AU15+AU16</f>
        <v>120</v>
      </c>
      <c r="AV3" s="9"/>
      <c r="AW3" s="9"/>
      <c r="AX3" s="9"/>
      <c r="AY3" s="9"/>
      <c r="AZ3" s="9"/>
      <c r="BA3" s="9"/>
      <c r="BB3" s="9">
        <f t="shared" ref="BB3:BB16" si="11">SUM(AU3:BA3)</f>
        <v>120</v>
      </c>
      <c r="BD3" s="9">
        <f t="shared" ref="BD3" si="12">BD4+BD5+BD6+BD7+BD8+BD9+BD10+BD11+BD12+BD13+BD14+BD15+BD16</f>
        <v>184</v>
      </c>
      <c r="BE3" s="9"/>
      <c r="BF3" s="9"/>
      <c r="BG3" s="9"/>
      <c r="BH3" s="9"/>
      <c r="BI3" s="9"/>
      <c r="BJ3" s="9"/>
      <c r="BK3" s="9">
        <f t="shared" ref="BK3:BK16" si="13">SUM(BD3:BJ3)</f>
        <v>184</v>
      </c>
      <c r="BM3" s="9">
        <f t="shared" ref="BM3" si="14">BM4+BM5+BM6+BM7+BM8+BM9+BM10+BM11+BM12+BM13+BM14+BM15+BM16</f>
        <v>0</v>
      </c>
      <c r="BN3" s="9"/>
      <c r="BO3" s="9"/>
      <c r="BP3" s="9"/>
      <c r="BQ3" s="9"/>
      <c r="BR3" s="9"/>
      <c r="BS3" s="9"/>
      <c r="BT3" s="9">
        <f t="shared" ref="BT3:BT16" si="15">SUM(BM3:BS3)</f>
        <v>0</v>
      </c>
      <c r="BV3" s="9">
        <f t="shared" ref="BV3" si="16">BV4+BV5+BV6+BV7+BV8+BV9+BV10+BV11+BV12+BV13+BV14+BV15+BV16</f>
        <v>7858</v>
      </c>
      <c r="BW3" s="9"/>
      <c r="BX3" s="9"/>
      <c r="BY3" s="9"/>
      <c r="BZ3" s="9"/>
      <c r="CA3" s="9"/>
      <c r="CB3" s="9"/>
      <c r="CC3" s="9">
        <f t="shared" ref="CC3:CC16" si="17">SUM(BV3:CB3)</f>
        <v>7858</v>
      </c>
    </row>
    <row r="4" spans="1:82">
      <c r="A4" s="10" t="s">
        <v>9</v>
      </c>
      <c r="B4" s="5">
        <v>142</v>
      </c>
      <c r="C4" s="11"/>
      <c r="D4" s="11"/>
      <c r="E4" s="11"/>
      <c r="F4" s="11"/>
      <c r="G4" s="11"/>
      <c r="H4" s="11"/>
      <c r="I4" s="11">
        <f t="shared" si="0"/>
        <v>142</v>
      </c>
      <c r="J4" s="12">
        <v>6</v>
      </c>
      <c r="K4" s="5">
        <f>25*4</f>
        <v>100</v>
      </c>
      <c r="L4" s="11"/>
      <c r="M4" s="11"/>
      <c r="N4" s="11"/>
      <c r="O4" s="11"/>
      <c r="P4" s="11"/>
      <c r="Q4" s="11"/>
      <c r="R4" s="11">
        <f t="shared" si="3"/>
        <v>100</v>
      </c>
      <c r="S4" s="12">
        <v>4</v>
      </c>
      <c r="T4" s="5">
        <f>25*5</f>
        <v>125</v>
      </c>
      <c r="U4" s="11"/>
      <c r="V4" s="11"/>
      <c r="W4" s="11"/>
      <c r="X4" s="11"/>
      <c r="Y4" s="11"/>
      <c r="Z4" s="11"/>
      <c r="AA4" s="11">
        <f t="shared" si="5"/>
        <v>125</v>
      </c>
      <c r="AB4" s="12">
        <v>5</v>
      </c>
      <c r="AC4" s="5">
        <v>120</v>
      </c>
      <c r="AD4" s="11"/>
      <c r="AE4" s="11"/>
      <c r="AF4" s="11"/>
      <c r="AG4" s="11"/>
      <c r="AH4" s="11"/>
      <c r="AI4" s="11"/>
      <c r="AJ4" s="11">
        <f t="shared" si="7"/>
        <v>120</v>
      </c>
      <c r="AK4" s="12">
        <v>5</v>
      </c>
      <c r="AL4" s="5">
        <f>25*5</f>
        <v>125</v>
      </c>
      <c r="AM4" s="11"/>
      <c r="AN4" s="11"/>
      <c r="AO4" s="11"/>
      <c r="AP4" s="11"/>
      <c r="AQ4" s="11"/>
      <c r="AR4" s="11"/>
      <c r="AS4" s="11">
        <f t="shared" si="9"/>
        <v>125</v>
      </c>
      <c r="AT4" s="12">
        <v>5</v>
      </c>
      <c r="AU4" s="5">
        <v>0</v>
      </c>
      <c r="AV4" s="11"/>
      <c r="AW4" s="11"/>
      <c r="AX4" s="11"/>
      <c r="AY4" s="11"/>
      <c r="AZ4" s="11"/>
      <c r="BA4" s="11"/>
      <c r="BB4" s="11">
        <f t="shared" si="11"/>
        <v>0</v>
      </c>
      <c r="BD4" s="5">
        <v>70</v>
      </c>
      <c r="BE4" s="11"/>
      <c r="BF4" s="11"/>
      <c r="BG4" s="11"/>
      <c r="BH4" s="11"/>
      <c r="BI4" s="11"/>
      <c r="BJ4" s="11"/>
      <c r="BK4" s="11">
        <f t="shared" si="13"/>
        <v>70</v>
      </c>
      <c r="BL4" s="12">
        <v>3</v>
      </c>
      <c r="BM4" s="5">
        <v>0</v>
      </c>
      <c r="BN4" s="11"/>
      <c r="BO4" s="11"/>
      <c r="BP4" s="11"/>
      <c r="BQ4" s="11"/>
      <c r="BR4" s="11"/>
      <c r="BS4" s="11"/>
      <c r="BT4" s="11">
        <f t="shared" si="15"/>
        <v>0</v>
      </c>
      <c r="BV4" s="5">
        <f>B4+K4+T4+AC4+AL4+AU4+BD4+BM4</f>
        <v>682</v>
      </c>
      <c r="BW4" s="5">
        <f t="shared" ref="BW4:CA16" si="18">C4+L4+U4+AD4+AM4+AV4+BE4+BN4</f>
        <v>0</v>
      </c>
      <c r="BX4" s="5">
        <f t="shared" si="18"/>
        <v>0</v>
      </c>
      <c r="BY4" s="5">
        <f t="shared" si="18"/>
        <v>0</v>
      </c>
      <c r="BZ4" s="5">
        <f t="shared" si="18"/>
        <v>0</v>
      </c>
      <c r="CA4" s="5">
        <f t="shared" si="18"/>
        <v>0</v>
      </c>
      <c r="CB4" s="11"/>
      <c r="CC4" s="11">
        <f t="shared" si="17"/>
        <v>682</v>
      </c>
      <c r="CD4" s="12">
        <f>J4+S4+AB4+AK4+AT4+BC4+BL4+BU4</f>
        <v>28</v>
      </c>
    </row>
    <row r="5" spans="1:82">
      <c r="A5" s="8" t="s">
        <v>10</v>
      </c>
      <c r="B5" s="5">
        <v>152</v>
      </c>
      <c r="C5" s="11"/>
      <c r="D5" s="11"/>
      <c r="E5" s="11"/>
      <c r="F5" s="11"/>
      <c r="G5" s="11"/>
      <c r="H5" s="11"/>
      <c r="I5" s="11">
        <f t="shared" si="0"/>
        <v>152</v>
      </c>
      <c r="J5" s="12">
        <v>6</v>
      </c>
      <c r="K5" s="5">
        <f>26*4</f>
        <v>104</v>
      </c>
      <c r="L5" s="11"/>
      <c r="M5" s="11"/>
      <c r="N5" s="11"/>
      <c r="O5" s="11"/>
      <c r="P5" s="11"/>
      <c r="Q5" s="11"/>
      <c r="R5" s="11">
        <f t="shared" si="3"/>
        <v>104</v>
      </c>
      <c r="S5" s="12">
        <v>4</v>
      </c>
      <c r="T5" s="5">
        <f>26*5</f>
        <v>130</v>
      </c>
      <c r="U5" s="11"/>
      <c r="V5" s="11"/>
      <c r="W5" s="11"/>
      <c r="X5" s="11"/>
      <c r="Y5" s="11"/>
      <c r="Z5" s="11"/>
      <c r="AA5" s="11">
        <f t="shared" si="5"/>
        <v>130</v>
      </c>
      <c r="AB5" s="12">
        <v>5</v>
      </c>
      <c r="AC5" s="5">
        <v>125</v>
      </c>
      <c r="AD5" s="11"/>
      <c r="AE5" s="11"/>
      <c r="AF5" s="11"/>
      <c r="AG5" s="11"/>
      <c r="AH5" s="11"/>
      <c r="AI5" s="11"/>
      <c r="AJ5" s="11">
        <f t="shared" si="7"/>
        <v>125</v>
      </c>
      <c r="AK5" s="12">
        <v>5</v>
      </c>
      <c r="AL5" s="5">
        <f>25*5</f>
        <v>125</v>
      </c>
      <c r="AM5" s="11"/>
      <c r="AN5" s="11"/>
      <c r="AO5" s="11"/>
      <c r="AP5" s="11"/>
      <c r="AQ5" s="11"/>
      <c r="AR5" s="11"/>
      <c r="AS5" s="11">
        <f t="shared" si="9"/>
        <v>125</v>
      </c>
      <c r="AT5" s="12">
        <v>5</v>
      </c>
      <c r="AU5" s="5">
        <v>0</v>
      </c>
      <c r="AV5" s="11"/>
      <c r="AW5" s="11"/>
      <c r="AX5" s="11"/>
      <c r="AY5" s="11"/>
      <c r="AZ5" s="11"/>
      <c r="BA5" s="11"/>
      <c r="BB5" s="11">
        <f t="shared" si="11"/>
        <v>0</v>
      </c>
      <c r="BD5" s="5">
        <v>41</v>
      </c>
      <c r="BE5" s="11"/>
      <c r="BF5" s="11"/>
      <c r="BG5" s="11"/>
      <c r="BH5" s="11"/>
      <c r="BI5" s="11"/>
      <c r="BJ5" s="11"/>
      <c r="BK5" s="11">
        <f t="shared" si="13"/>
        <v>41</v>
      </c>
      <c r="BL5" s="12">
        <v>2</v>
      </c>
      <c r="BM5" s="5">
        <v>0</v>
      </c>
      <c r="BN5" s="11"/>
      <c r="BO5" s="11"/>
      <c r="BP5" s="11"/>
      <c r="BQ5" s="11"/>
      <c r="BR5" s="11"/>
      <c r="BS5" s="11"/>
      <c r="BT5" s="11">
        <f t="shared" si="15"/>
        <v>0</v>
      </c>
      <c r="BV5" s="5">
        <f t="shared" ref="BV5:BV16" si="19">B5+K5+T5+AC5+AL5+AU5+BD5+BM5</f>
        <v>677</v>
      </c>
      <c r="BW5" s="5">
        <f t="shared" si="18"/>
        <v>0</v>
      </c>
      <c r="BX5" s="5">
        <f t="shared" si="18"/>
        <v>0</v>
      </c>
      <c r="BY5" s="5">
        <f t="shared" si="18"/>
        <v>0</v>
      </c>
      <c r="BZ5" s="5">
        <f t="shared" si="18"/>
        <v>0</v>
      </c>
      <c r="CA5" s="5">
        <f t="shared" si="18"/>
        <v>0</v>
      </c>
      <c r="CB5" s="11"/>
      <c r="CC5" s="11">
        <f t="shared" si="17"/>
        <v>677</v>
      </c>
      <c r="CD5" s="12">
        <f t="shared" ref="CD5:CD16" si="20">J5+S5+AB5+AK5+AT5+BC5+BL5+BU5</f>
        <v>27</v>
      </c>
    </row>
    <row r="6" spans="1:82">
      <c r="A6" s="8" t="s">
        <v>11</v>
      </c>
      <c r="B6" s="5">
        <v>159</v>
      </c>
      <c r="C6" s="11"/>
      <c r="D6" s="11"/>
      <c r="E6" s="11"/>
      <c r="F6" s="11"/>
      <c r="G6" s="11"/>
      <c r="H6" s="11"/>
      <c r="I6" s="11">
        <f t="shared" si="0"/>
        <v>159</v>
      </c>
      <c r="J6" s="12">
        <v>6</v>
      </c>
      <c r="K6" s="5">
        <f>27*4</f>
        <v>108</v>
      </c>
      <c r="L6" s="11"/>
      <c r="M6" s="11"/>
      <c r="N6" s="11"/>
      <c r="O6" s="11"/>
      <c r="P6" s="11"/>
      <c r="Q6" s="11"/>
      <c r="R6" s="11">
        <f t="shared" si="3"/>
        <v>108</v>
      </c>
      <c r="S6" s="12">
        <v>4</v>
      </c>
      <c r="T6" s="5">
        <f>26*5</f>
        <v>130</v>
      </c>
      <c r="U6" s="11"/>
      <c r="V6" s="11"/>
      <c r="W6" s="11"/>
      <c r="X6" s="11"/>
      <c r="Y6" s="11"/>
      <c r="Z6" s="11"/>
      <c r="AA6" s="11">
        <f t="shared" si="5"/>
        <v>130</v>
      </c>
      <c r="AB6" s="12">
        <v>5</v>
      </c>
      <c r="AC6" s="5">
        <v>132</v>
      </c>
      <c r="AD6" s="11"/>
      <c r="AE6" s="11"/>
      <c r="AF6" s="11"/>
      <c r="AG6" s="11"/>
      <c r="AH6" s="11"/>
      <c r="AI6" s="11"/>
      <c r="AJ6" s="11">
        <f t="shared" si="7"/>
        <v>132</v>
      </c>
      <c r="AK6" s="12">
        <v>5</v>
      </c>
      <c r="AL6" s="5">
        <f>26*5</f>
        <v>130</v>
      </c>
      <c r="AM6" s="11"/>
      <c r="AN6" s="11"/>
      <c r="AO6" s="11"/>
      <c r="AP6" s="11"/>
      <c r="AQ6" s="11"/>
      <c r="AR6" s="11"/>
      <c r="AS6" s="11">
        <f t="shared" si="9"/>
        <v>130</v>
      </c>
      <c r="AT6" s="12">
        <v>5</v>
      </c>
      <c r="AU6" s="5">
        <v>0</v>
      </c>
      <c r="AV6" s="11"/>
      <c r="AW6" s="11"/>
      <c r="AX6" s="11"/>
      <c r="AY6" s="11"/>
      <c r="AZ6" s="11"/>
      <c r="BA6" s="11"/>
      <c r="BB6" s="11">
        <f t="shared" si="11"/>
        <v>0</v>
      </c>
      <c r="BD6" s="5">
        <v>48</v>
      </c>
      <c r="BE6" s="11"/>
      <c r="BF6" s="11"/>
      <c r="BG6" s="11"/>
      <c r="BH6" s="11"/>
      <c r="BI6" s="11"/>
      <c r="BJ6" s="11"/>
      <c r="BK6" s="11">
        <f t="shared" si="13"/>
        <v>48</v>
      </c>
      <c r="BL6" s="12">
        <v>2</v>
      </c>
      <c r="BM6" s="5">
        <v>0</v>
      </c>
      <c r="BN6" s="11"/>
      <c r="BO6" s="11"/>
      <c r="BP6" s="11"/>
      <c r="BQ6" s="11"/>
      <c r="BR6" s="11"/>
      <c r="BS6" s="11"/>
      <c r="BT6" s="11">
        <f t="shared" si="15"/>
        <v>0</v>
      </c>
      <c r="BV6" s="5">
        <f t="shared" si="19"/>
        <v>707</v>
      </c>
      <c r="BW6" s="5">
        <f t="shared" si="18"/>
        <v>0</v>
      </c>
      <c r="BX6" s="5">
        <f t="shared" si="18"/>
        <v>0</v>
      </c>
      <c r="BY6" s="5">
        <f t="shared" si="18"/>
        <v>0</v>
      </c>
      <c r="BZ6" s="5">
        <f t="shared" si="18"/>
        <v>0</v>
      </c>
      <c r="CA6" s="5">
        <f t="shared" si="18"/>
        <v>0</v>
      </c>
      <c r="CB6" s="11"/>
      <c r="CC6" s="11">
        <f t="shared" si="17"/>
        <v>707</v>
      </c>
      <c r="CD6" s="12">
        <f t="shared" si="20"/>
        <v>27</v>
      </c>
    </row>
    <row r="7" spans="1:82">
      <c r="A7" s="13" t="s">
        <v>12</v>
      </c>
      <c r="B7" s="5">
        <v>136</v>
      </c>
      <c r="C7" s="11"/>
      <c r="D7" s="11"/>
      <c r="E7" s="11"/>
      <c r="F7" s="11"/>
      <c r="G7" s="11"/>
      <c r="H7" s="11"/>
      <c r="I7" s="11">
        <f t="shared" si="0"/>
        <v>136</v>
      </c>
      <c r="J7" s="12">
        <v>5</v>
      </c>
      <c r="K7" s="5">
        <v>111</v>
      </c>
      <c r="L7" s="11"/>
      <c r="M7" s="11"/>
      <c r="N7" s="11"/>
      <c r="O7" s="11"/>
      <c r="P7" s="11"/>
      <c r="Q7" s="11"/>
      <c r="R7" s="11">
        <f t="shared" si="3"/>
        <v>111</v>
      </c>
      <c r="S7" s="12">
        <v>4</v>
      </c>
      <c r="T7" s="5">
        <f>26*5</f>
        <v>130</v>
      </c>
      <c r="U7" s="11"/>
      <c r="V7" s="11"/>
      <c r="W7" s="11"/>
      <c r="X7" s="11"/>
      <c r="Y7" s="11"/>
      <c r="Z7" s="11"/>
      <c r="AA7" s="11">
        <f t="shared" si="5"/>
        <v>130</v>
      </c>
      <c r="AB7" s="12">
        <v>5</v>
      </c>
      <c r="AC7" s="5">
        <v>131</v>
      </c>
      <c r="AD7" s="11"/>
      <c r="AE7" s="11"/>
      <c r="AF7" s="11"/>
      <c r="AG7" s="11"/>
      <c r="AH7" s="11"/>
      <c r="AI7" s="11"/>
      <c r="AJ7" s="11">
        <f t="shared" si="7"/>
        <v>131</v>
      </c>
      <c r="AK7" s="12">
        <v>5</v>
      </c>
      <c r="AL7" s="5">
        <f>27*5</f>
        <v>135</v>
      </c>
      <c r="AM7" s="11"/>
      <c r="AN7" s="11"/>
      <c r="AO7" s="11"/>
      <c r="AP7" s="11"/>
      <c r="AQ7" s="11"/>
      <c r="AR7" s="11"/>
      <c r="AS7" s="11">
        <f t="shared" si="9"/>
        <v>135</v>
      </c>
      <c r="AT7" s="12">
        <v>5</v>
      </c>
      <c r="AU7" s="5">
        <v>0</v>
      </c>
      <c r="AV7" s="11"/>
      <c r="AW7" s="11"/>
      <c r="AX7" s="11"/>
      <c r="AY7" s="11"/>
      <c r="AZ7" s="11"/>
      <c r="BA7" s="11"/>
      <c r="BB7" s="11">
        <f t="shared" si="11"/>
        <v>0</v>
      </c>
      <c r="BD7" s="5">
        <v>25</v>
      </c>
      <c r="BE7" s="11"/>
      <c r="BF7" s="11"/>
      <c r="BG7" s="11"/>
      <c r="BH7" s="11"/>
      <c r="BI7" s="11"/>
      <c r="BJ7" s="11"/>
      <c r="BK7" s="11">
        <f t="shared" si="13"/>
        <v>25</v>
      </c>
      <c r="BL7" s="12">
        <v>1</v>
      </c>
      <c r="BM7" s="5">
        <v>0</v>
      </c>
      <c r="BN7" s="11"/>
      <c r="BO7" s="11"/>
      <c r="BP7" s="11"/>
      <c r="BQ7" s="11"/>
      <c r="BR7" s="11"/>
      <c r="BS7" s="11"/>
      <c r="BT7" s="11">
        <f t="shared" si="15"/>
        <v>0</v>
      </c>
      <c r="BV7" s="5">
        <f t="shared" si="19"/>
        <v>668</v>
      </c>
      <c r="BW7" s="5">
        <f t="shared" si="18"/>
        <v>0</v>
      </c>
      <c r="BX7" s="5">
        <f t="shared" si="18"/>
        <v>0</v>
      </c>
      <c r="BY7" s="5">
        <f t="shared" si="18"/>
        <v>0</v>
      </c>
      <c r="BZ7" s="5">
        <f t="shared" si="18"/>
        <v>0</v>
      </c>
      <c r="CA7" s="5">
        <f t="shared" si="18"/>
        <v>0</v>
      </c>
      <c r="CB7" s="11"/>
      <c r="CC7" s="11">
        <f t="shared" si="17"/>
        <v>668</v>
      </c>
      <c r="CD7" s="12">
        <f t="shared" si="20"/>
        <v>25</v>
      </c>
    </row>
    <row r="8" spans="1:82">
      <c r="A8" s="13" t="s">
        <v>13</v>
      </c>
      <c r="B8" s="5">
        <v>157</v>
      </c>
      <c r="C8" s="11"/>
      <c r="D8" s="11"/>
      <c r="E8" s="11"/>
      <c r="F8" s="11"/>
      <c r="G8" s="11"/>
      <c r="H8" s="11"/>
      <c r="I8" s="11">
        <f t="shared" si="0"/>
        <v>157</v>
      </c>
      <c r="J8" s="12">
        <v>6</v>
      </c>
      <c r="K8" s="5">
        <v>112</v>
      </c>
      <c r="L8" s="11"/>
      <c r="M8" s="11"/>
      <c r="N8" s="11"/>
      <c r="O8" s="11"/>
      <c r="P8" s="11"/>
      <c r="Q8" s="11"/>
      <c r="R8" s="11">
        <f t="shared" si="3"/>
        <v>112</v>
      </c>
      <c r="S8" s="12">
        <v>4</v>
      </c>
      <c r="T8" s="5">
        <v>155</v>
      </c>
      <c r="U8" s="11"/>
      <c r="V8" s="11"/>
      <c r="W8" s="11"/>
      <c r="X8" s="11"/>
      <c r="Y8" s="11"/>
      <c r="Z8" s="11"/>
      <c r="AA8" s="11">
        <f t="shared" si="5"/>
        <v>155</v>
      </c>
      <c r="AB8" s="12">
        <v>6</v>
      </c>
      <c r="AC8" s="5">
        <v>135</v>
      </c>
      <c r="AD8" s="11"/>
      <c r="AE8" s="11"/>
      <c r="AF8" s="11"/>
      <c r="AG8" s="11"/>
      <c r="AH8" s="11"/>
      <c r="AI8" s="11"/>
      <c r="AJ8" s="11">
        <f t="shared" si="7"/>
        <v>135</v>
      </c>
      <c r="AK8" s="12">
        <v>5</v>
      </c>
      <c r="AL8" s="5">
        <v>155</v>
      </c>
      <c r="AM8" s="11"/>
      <c r="AN8" s="11"/>
      <c r="AO8" s="11"/>
      <c r="AP8" s="11"/>
      <c r="AQ8" s="11"/>
      <c r="AR8" s="11"/>
      <c r="AS8" s="11">
        <f t="shared" si="9"/>
        <v>155</v>
      </c>
      <c r="AT8" s="12">
        <v>6</v>
      </c>
      <c r="AU8" s="5">
        <v>0</v>
      </c>
      <c r="AV8" s="11"/>
      <c r="AW8" s="11"/>
      <c r="AX8" s="11"/>
      <c r="AY8" s="11"/>
      <c r="AZ8" s="11"/>
      <c r="BA8" s="11"/>
      <c r="BB8" s="11">
        <f t="shared" si="11"/>
        <v>0</v>
      </c>
      <c r="BD8" s="5">
        <v>0</v>
      </c>
      <c r="BE8" s="11"/>
      <c r="BF8" s="11"/>
      <c r="BG8" s="11"/>
      <c r="BH8" s="11"/>
      <c r="BI8" s="11"/>
      <c r="BJ8" s="11"/>
      <c r="BK8" s="11">
        <f t="shared" si="13"/>
        <v>0</v>
      </c>
      <c r="BL8" s="12">
        <v>0</v>
      </c>
      <c r="BM8" s="5">
        <v>0</v>
      </c>
      <c r="BN8" s="11"/>
      <c r="BO8" s="11"/>
      <c r="BP8" s="11"/>
      <c r="BQ8" s="11"/>
      <c r="BR8" s="11"/>
      <c r="BS8" s="11"/>
      <c r="BT8" s="11">
        <f t="shared" si="15"/>
        <v>0</v>
      </c>
      <c r="BV8" s="5">
        <f t="shared" si="19"/>
        <v>714</v>
      </c>
      <c r="BW8" s="5">
        <f t="shared" si="18"/>
        <v>0</v>
      </c>
      <c r="BX8" s="5">
        <f t="shared" si="18"/>
        <v>0</v>
      </c>
      <c r="BY8" s="5">
        <f t="shared" si="18"/>
        <v>0</v>
      </c>
      <c r="BZ8" s="5">
        <f t="shared" si="18"/>
        <v>0</v>
      </c>
      <c r="CA8" s="5">
        <f t="shared" si="18"/>
        <v>0</v>
      </c>
      <c r="CB8" s="11"/>
      <c r="CC8" s="11">
        <f t="shared" si="17"/>
        <v>714</v>
      </c>
      <c r="CD8" s="12">
        <f t="shared" si="20"/>
        <v>27</v>
      </c>
    </row>
    <row r="9" spans="1:82">
      <c r="A9" s="13" t="s">
        <v>14</v>
      </c>
      <c r="B9" s="5">
        <v>162</v>
      </c>
      <c r="C9" s="11"/>
      <c r="D9" s="11"/>
      <c r="E9" s="11"/>
      <c r="F9" s="11"/>
      <c r="G9" s="11"/>
      <c r="H9" s="11"/>
      <c r="I9" s="11">
        <f t="shared" si="0"/>
        <v>162</v>
      </c>
      <c r="J9" s="12">
        <v>6</v>
      </c>
      <c r="K9" s="5">
        <v>123</v>
      </c>
      <c r="L9" s="11"/>
      <c r="M9" s="11"/>
      <c r="N9" s="11"/>
      <c r="O9" s="11"/>
      <c r="P9" s="11"/>
      <c r="Q9" s="11"/>
      <c r="R9" s="11">
        <f t="shared" si="3"/>
        <v>123</v>
      </c>
      <c r="S9" s="12">
        <v>4</v>
      </c>
      <c r="T9" s="5">
        <v>153</v>
      </c>
      <c r="U9" s="11"/>
      <c r="V9" s="11"/>
      <c r="W9" s="11"/>
      <c r="X9" s="11"/>
      <c r="Y9" s="11"/>
      <c r="Z9" s="11"/>
      <c r="AA9" s="11">
        <f t="shared" si="5"/>
        <v>153</v>
      </c>
      <c r="AB9" s="12">
        <v>6</v>
      </c>
      <c r="AC9" s="5">
        <v>135</v>
      </c>
      <c r="AD9" s="11"/>
      <c r="AE9" s="11"/>
      <c r="AF9" s="11"/>
      <c r="AG9" s="11"/>
      <c r="AH9" s="11"/>
      <c r="AI9" s="11"/>
      <c r="AJ9" s="11">
        <f t="shared" si="7"/>
        <v>135</v>
      </c>
      <c r="AK9" s="12">
        <v>5</v>
      </c>
      <c r="AL9" s="5">
        <v>135</v>
      </c>
      <c r="AM9" s="11"/>
      <c r="AN9" s="11"/>
      <c r="AO9" s="11"/>
      <c r="AP9" s="11"/>
      <c r="AQ9" s="11"/>
      <c r="AR9" s="11"/>
      <c r="AS9" s="11">
        <f t="shared" si="9"/>
        <v>135</v>
      </c>
      <c r="AT9" s="12">
        <v>5</v>
      </c>
      <c r="AU9" s="5">
        <v>0</v>
      </c>
      <c r="AV9" s="11"/>
      <c r="AW9" s="11"/>
      <c r="AX9" s="11"/>
      <c r="AY9" s="11"/>
      <c r="AZ9" s="11"/>
      <c r="BA9" s="11"/>
      <c r="BB9" s="11">
        <f t="shared" si="11"/>
        <v>0</v>
      </c>
      <c r="BD9" s="5">
        <v>0</v>
      </c>
      <c r="BE9" s="11"/>
      <c r="BF9" s="11"/>
      <c r="BG9" s="11"/>
      <c r="BH9" s="11"/>
      <c r="BI9" s="11"/>
      <c r="BJ9" s="11"/>
      <c r="BK9" s="11">
        <f t="shared" si="13"/>
        <v>0</v>
      </c>
      <c r="BL9" s="12">
        <v>0</v>
      </c>
      <c r="BM9" s="5">
        <v>0</v>
      </c>
      <c r="BN9" s="11"/>
      <c r="BO9" s="11"/>
      <c r="BP9" s="11"/>
      <c r="BQ9" s="11"/>
      <c r="BR9" s="11"/>
      <c r="BS9" s="11"/>
      <c r="BT9" s="11">
        <f t="shared" si="15"/>
        <v>0</v>
      </c>
      <c r="BV9" s="5">
        <f t="shared" si="19"/>
        <v>708</v>
      </c>
      <c r="BW9" s="5">
        <f t="shared" si="18"/>
        <v>0</v>
      </c>
      <c r="BX9" s="5">
        <f t="shared" si="18"/>
        <v>0</v>
      </c>
      <c r="BY9" s="5">
        <f t="shared" si="18"/>
        <v>0</v>
      </c>
      <c r="BZ9" s="5">
        <f t="shared" si="18"/>
        <v>0</v>
      </c>
      <c r="CA9" s="5">
        <f t="shared" si="18"/>
        <v>0</v>
      </c>
      <c r="CB9" s="11"/>
      <c r="CC9" s="11">
        <f t="shared" si="17"/>
        <v>708</v>
      </c>
      <c r="CD9" s="12">
        <f t="shared" si="20"/>
        <v>26</v>
      </c>
    </row>
    <row r="10" spans="1:82">
      <c r="A10" s="13" t="s">
        <v>15</v>
      </c>
      <c r="B10" s="5">
        <v>0</v>
      </c>
      <c r="C10" s="5"/>
      <c r="D10" s="5"/>
      <c r="E10" s="5"/>
      <c r="F10" s="5"/>
      <c r="G10" s="5"/>
      <c r="H10" s="5"/>
      <c r="I10" s="11">
        <f t="shared" si="0"/>
        <v>0</v>
      </c>
      <c r="J10" s="12"/>
      <c r="K10" s="5">
        <v>123</v>
      </c>
      <c r="L10" s="5"/>
      <c r="M10" s="5"/>
      <c r="N10" s="5"/>
      <c r="O10" s="5"/>
      <c r="P10" s="5"/>
      <c r="Q10" s="5"/>
      <c r="R10" s="11">
        <f t="shared" si="3"/>
        <v>123</v>
      </c>
      <c r="S10" s="12">
        <v>4</v>
      </c>
      <c r="T10" s="5">
        <v>140</v>
      </c>
      <c r="U10" s="5"/>
      <c r="V10" s="5"/>
      <c r="W10" s="5"/>
      <c r="X10" s="5"/>
      <c r="Y10" s="5"/>
      <c r="Z10" s="5"/>
      <c r="AA10" s="11">
        <f t="shared" si="5"/>
        <v>140</v>
      </c>
      <c r="AB10" s="12">
        <v>5</v>
      </c>
      <c r="AC10" s="5">
        <v>245</v>
      </c>
      <c r="AD10" s="5"/>
      <c r="AE10" s="5"/>
      <c r="AF10" s="5"/>
      <c r="AG10" s="5"/>
      <c r="AH10" s="5"/>
      <c r="AI10" s="5"/>
      <c r="AJ10" s="11">
        <f t="shared" si="7"/>
        <v>245</v>
      </c>
      <c r="AK10" s="12">
        <v>8</v>
      </c>
      <c r="AL10" s="5">
        <v>183</v>
      </c>
      <c r="AM10" s="5"/>
      <c r="AN10" s="5"/>
      <c r="AO10" s="5"/>
      <c r="AP10" s="5"/>
      <c r="AQ10" s="5"/>
      <c r="AR10" s="5"/>
      <c r="AS10" s="11">
        <f t="shared" si="9"/>
        <v>183</v>
      </c>
      <c r="AT10" s="12">
        <v>6</v>
      </c>
      <c r="AU10" s="5">
        <v>15</v>
      </c>
      <c r="AV10" s="5"/>
      <c r="AW10" s="5"/>
      <c r="AX10" s="5"/>
      <c r="AY10" s="5"/>
      <c r="AZ10" s="5"/>
      <c r="BA10" s="5"/>
      <c r="BB10" s="11">
        <f t="shared" si="11"/>
        <v>15</v>
      </c>
      <c r="BD10" s="5">
        <v>0</v>
      </c>
      <c r="BE10" s="5"/>
      <c r="BF10" s="5"/>
      <c r="BG10" s="5"/>
      <c r="BH10" s="5"/>
      <c r="BI10" s="5"/>
      <c r="BJ10" s="5"/>
      <c r="BK10" s="11">
        <f t="shared" si="13"/>
        <v>0</v>
      </c>
      <c r="BL10" s="12">
        <v>0</v>
      </c>
      <c r="BM10" s="5">
        <v>0</v>
      </c>
      <c r="BN10" s="5"/>
      <c r="BO10" s="5"/>
      <c r="BP10" s="5"/>
      <c r="BQ10" s="5"/>
      <c r="BR10" s="5"/>
      <c r="BS10" s="5"/>
      <c r="BT10" s="11">
        <f t="shared" si="15"/>
        <v>0</v>
      </c>
      <c r="BV10" s="5">
        <f t="shared" si="19"/>
        <v>706</v>
      </c>
      <c r="BW10" s="5">
        <f t="shared" si="18"/>
        <v>0</v>
      </c>
      <c r="BX10" s="5">
        <f t="shared" si="18"/>
        <v>0</v>
      </c>
      <c r="BY10" s="5">
        <f t="shared" si="18"/>
        <v>0</v>
      </c>
      <c r="BZ10" s="5">
        <f t="shared" si="18"/>
        <v>0</v>
      </c>
      <c r="CA10" s="5">
        <f t="shared" si="18"/>
        <v>0</v>
      </c>
      <c r="CB10" s="5"/>
      <c r="CC10" s="11">
        <f t="shared" si="17"/>
        <v>706</v>
      </c>
      <c r="CD10" s="12">
        <f t="shared" si="20"/>
        <v>23</v>
      </c>
    </row>
    <row r="11" spans="1:82">
      <c r="A11" s="13" t="s">
        <v>16</v>
      </c>
      <c r="B11" s="5">
        <v>0</v>
      </c>
      <c r="C11" s="5"/>
      <c r="D11" s="5"/>
      <c r="E11" s="5"/>
      <c r="F11" s="5"/>
      <c r="G11" s="5"/>
      <c r="H11" s="5"/>
      <c r="I11" s="11">
        <f t="shared" si="0"/>
        <v>0</v>
      </c>
      <c r="J11" s="12"/>
      <c r="K11" s="5">
        <v>121</v>
      </c>
      <c r="L11" s="5"/>
      <c r="M11" s="5"/>
      <c r="N11" s="5"/>
      <c r="O11" s="5"/>
      <c r="P11" s="5"/>
      <c r="Q11" s="5"/>
      <c r="R11" s="11">
        <f t="shared" si="3"/>
        <v>121</v>
      </c>
      <c r="S11" s="12">
        <v>4</v>
      </c>
      <c r="T11" s="5">
        <f>30*4</f>
        <v>120</v>
      </c>
      <c r="U11" s="5"/>
      <c r="V11" s="5"/>
      <c r="W11" s="5"/>
      <c r="X11" s="5"/>
      <c r="Y11" s="5"/>
      <c r="Z11" s="5"/>
      <c r="AA11" s="11">
        <f t="shared" si="5"/>
        <v>120</v>
      </c>
      <c r="AB11" s="12">
        <v>4</v>
      </c>
      <c r="AC11" s="5">
        <f>30*8</f>
        <v>240</v>
      </c>
      <c r="AD11" s="5"/>
      <c r="AE11" s="5"/>
      <c r="AF11" s="5"/>
      <c r="AG11" s="5"/>
      <c r="AH11" s="5"/>
      <c r="AI11" s="5"/>
      <c r="AJ11" s="11">
        <f t="shared" si="7"/>
        <v>240</v>
      </c>
      <c r="AK11" s="12">
        <v>8</v>
      </c>
      <c r="AL11" s="5">
        <v>246</v>
      </c>
      <c r="AM11" s="5"/>
      <c r="AN11" s="5"/>
      <c r="AO11" s="5"/>
      <c r="AP11" s="5"/>
      <c r="AQ11" s="5"/>
      <c r="AR11" s="5"/>
      <c r="AS11" s="11">
        <f t="shared" si="9"/>
        <v>246</v>
      </c>
      <c r="AT11" s="12">
        <v>8</v>
      </c>
      <c r="AU11" s="5">
        <v>25</v>
      </c>
      <c r="AV11" s="5"/>
      <c r="AW11" s="5"/>
      <c r="AX11" s="5"/>
      <c r="AY11" s="5"/>
      <c r="AZ11" s="5"/>
      <c r="BA11" s="5"/>
      <c r="BB11" s="11">
        <f t="shared" si="11"/>
        <v>25</v>
      </c>
      <c r="BD11" s="5">
        <v>0</v>
      </c>
      <c r="BE11" s="5"/>
      <c r="BF11" s="5"/>
      <c r="BG11" s="5"/>
      <c r="BH11" s="5"/>
      <c r="BI11" s="5"/>
      <c r="BJ11" s="5"/>
      <c r="BK11" s="11">
        <f t="shared" si="13"/>
        <v>0</v>
      </c>
      <c r="BL11" s="12">
        <v>0</v>
      </c>
      <c r="BM11" s="5">
        <v>0</v>
      </c>
      <c r="BN11" s="5"/>
      <c r="BO11" s="5"/>
      <c r="BP11" s="5"/>
      <c r="BQ11" s="5"/>
      <c r="BR11" s="5"/>
      <c r="BS11" s="5"/>
      <c r="BT11" s="11">
        <f t="shared" si="15"/>
        <v>0</v>
      </c>
      <c r="BV11" s="5">
        <f t="shared" si="19"/>
        <v>752</v>
      </c>
      <c r="BW11" s="5">
        <f t="shared" si="18"/>
        <v>0</v>
      </c>
      <c r="BX11" s="5">
        <f t="shared" si="18"/>
        <v>0</v>
      </c>
      <c r="BY11" s="5">
        <f t="shared" si="18"/>
        <v>0</v>
      </c>
      <c r="BZ11" s="5">
        <f t="shared" si="18"/>
        <v>0</v>
      </c>
      <c r="CA11" s="5">
        <f t="shared" si="18"/>
        <v>0</v>
      </c>
      <c r="CB11" s="5"/>
      <c r="CC11" s="11">
        <f t="shared" si="17"/>
        <v>752</v>
      </c>
      <c r="CD11" s="12">
        <f t="shared" si="20"/>
        <v>24</v>
      </c>
    </row>
    <row r="12" spans="1:82">
      <c r="A12" s="13" t="s">
        <v>17</v>
      </c>
      <c r="B12" s="5">
        <v>0</v>
      </c>
      <c r="C12" s="5"/>
      <c r="D12" s="5"/>
      <c r="E12" s="5"/>
      <c r="F12" s="5"/>
      <c r="G12" s="5"/>
      <c r="H12" s="5"/>
      <c r="I12" s="11">
        <f t="shared" si="0"/>
        <v>0</v>
      </c>
      <c r="J12" s="12"/>
      <c r="K12" s="5">
        <v>120</v>
      </c>
      <c r="L12" s="5"/>
      <c r="M12" s="5"/>
      <c r="N12" s="5"/>
      <c r="O12" s="5"/>
      <c r="P12" s="5"/>
      <c r="Q12" s="5"/>
      <c r="R12" s="11">
        <f t="shared" si="3"/>
        <v>120</v>
      </c>
      <c r="S12" s="12">
        <v>4</v>
      </c>
      <c r="T12" s="5">
        <v>107</v>
      </c>
      <c r="U12" s="5"/>
      <c r="V12" s="5"/>
      <c r="W12" s="5"/>
      <c r="X12" s="5"/>
      <c r="Y12" s="5"/>
      <c r="Z12" s="5"/>
      <c r="AA12" s="11">
        <f t="shared" si="5"/>
        <v>107</v>
      </c>
      <c r="AB12" s="12">
        <v>4</v>
      </c>
      <c r="AC12" s="5">
        <f>30*8</f>
        <v>240</v>
      </c>
      <c r="AD12" s="5"/>
      <c r="AE12" s="5"/>
      <c r="AF12" s="5"/>
      <c r="AG12" s="5"/>
      <c r="AH12" s="5"/>
      <c r="AI12" s="5"/>
      <c r="AJ12" s="11">
        <f t="shared" si="7"/>
        <v>240</v>
      </c>
      <c r="AK12" s="12">
        <v>8</v>
      </c>
      <c r="AL12" s="5">
        <f>31*7</f>
        <v>217</v>
      </c>
      <c r="AM12" s="5"/>
      <c r="AN12" s="5"/>
      <c r="AO12" s="5"/>
      <c r="AP12" s="5"/>
      <c r="AQ12" s="5"/>
      <c r="AR12" s="5"/>
      <c r="AS12" s="11">
        <f t="shared" si="9"/>
        <v>217</v>
      </c>
      <c r="AT12" s="12">
        <v>7</v>
      </c>
      <c r="AU12" s="5">
        <v>18</v>
      </c>
      <c r="AV12" s="5"/>
      <c r="AW12" s="5"/>
      <c r="AX12" s="5"/>
      <c r="AY12" s="5"/>
      <c r="AZ12" s="5"/>
      <c r="BA12" s="5"/>
      <c r="BB12" s="11">
        <f t="shared" si="11"/>
        <v>18</v>
      </c>
      <c r="BD12" s="5">
        <v>0</v>
      </c>
      <c r="BE12" s="5"/>
      <c r="BF12" s="5"/>
      <c r="BG12" s="5"/>
      <c r="BH12" s="5"/>
      <c r="BI12" s="5"/>
      <c r="BJ12" s="5"/>
      <c r="BK12" s="11">
        <f t="shared" si="13"/>
        <v>0</v>
      </c>
      <c r="BL12" s="12">
        <v>0</v>
      </c>
      <c r="BM12" s="5">
        <v>0</v>
      </c>
      <c r="BN12" s="5"/>
      <c r="BO12" s="5"/>
      <c r="BP12" s="5"/>
      <c r="BQ12" s="5"/>
      <c r="BR12" s="5"/>
      <c r="BS12" s="5"/>
      <c r="BT12" s="11">
        <f t="shared" si="15"/>
        <v>0</v>
      </c>
      <c r="BV12" s="5">
        <f t="shared" si="19"/>
        <v>702</v>
      </c>
      <c r="BW12" s="5">
        <f t="shared" si="18"/>
        <v>0</v>
      </c>
      <c r="BX12" s="5">
        <f t="shared" si="18"/>
        <v>0</v>
      </c>
      <c r="BY12" s="5">
        <f t="shared" si="18"/>
        <v>0</v>
      </c>
      <c r="BZ12" s="5">
        <f t="shared" si="18"/>
        <v>0</v>
      </c>
      <c r="CA12" s="5">
        <f t="shared" si="18"/>
        <v>0</v>
      </c>
      <c r="CB12" s="5"/>
      <c r="CC12" s="11">
        <f t="shared" si="17"/>
        <v>702</v>
      </c>
      <c r="CD12" s="12">
        <f t="shared" si="20"/>
        <v>23</v>
      </c>
    </row>
    <row r="13" spans="1:82">
      <c r="A13" s="13" t="s">
        <v>18</v>
      </c>
      <c r="B13" s="5">
        <v>0</v>
      </c>
      <c r="C13" s="5"/>
      <c r="D13" s="5"/>
      <c r="E13" s="5"/>
      <c r="F13" s="5"/>
      <c r="G13" s="5"/>
      <c r="H13" s="5"/>
      <c r="I13" s="11">
        <f t="shared" si="0"/>
        <v>0</v>
      </c>
      <c r="K13" s="5">
        <v>0</v>
      </c>
      <c r="L13" s="5"/>
      <c r="M13" s="5"/>
      <c r="N13" s="5"/>
      <c r="O13" s="5"/>
      <c r="P13" s="5"/>
      <c r="Q13" s="5"/>
      <c r="R13" s="11">
        <f t="shared" si="3"/>
        <v>0</v>
      </c>
      <c r="S13" s="14"/>
      <c r="T13" s="5">
        <v>0</v>
      </c>
      <c r="U13" s="5"/>
      <c r="V13" s="5"/>
      <c r="W13" s="5"/>
      <c r="X13" s="5"/>
      <c r="Y13" s="5"/>
      <c r="Z13" s="5"/>
      <c r="AA13" s="11">
        <f t="shared" si="5"/>
        <v>0</v>
      </c>
      <c r="AB13" s="14"/>
      <c r="AC13" s="5">
        <f>31*7</f>
        <v>217</v>
      </c>
      <c r="AD13" s="5"/>
      <c r="AE13" s="5"/>
      <c r="AF13" s="5"/>
      <c r="AG13" s="5"/>
      <c r="AH13" s="5"/>
      <c r="AI13" s="5"/>
      <c r="AJ13" s="11">
        <f t="shared" si="7"/>
        <v>217</v>
      </c>
      <c r="AK13" s="12">
        <v>7</v>
      </c>
      <c r="AL13" s="5">
        <v>235</v>
      </c>
      <c r="AM13" s="5"/>
      <c r="AN13" s="5"/>
      <c r="AO13" s="5"/>
      <c r="AP13" s="5"/>
      <c r="AQ13" s="5"/>
      <c r="AR13" s="5"/>
      <c r="AS13" s="11">
        <f t="shared" si="9"/>
        <v>235</v>
      </c>
      <c r="AT13" s="12">
        <v>9</v>
      </c>
      <c r="AU13" s="5">
        <v>21</v>
      </c>
      <c r="AV13" s="5"/>
      <c r="AW13" s="5"/>
      <c r="AX13" s="5"/>
      <c r="AY13" s="5"/>
      <c r="AZ13" s="5"/>
      <c r="BA13" s="5"/>
      <c r="BB13" s="11">
        <f t="shared" si="11"/>
        <v>21</v>
      </c>
      <c r="BD13" s="5">
        <v>0</v>
      </c>
      <c r="BE13" s="5"/>
      <c r="BF13" s="5"/>
      <c r="BG13" s="5"/>
      <c r="BH13" s="5"/>
      <c r="BI13" s="5"/>
      <c r="BJ13" s="5"/>
      <c r="BK13" s="11">
        <f t="shared" si="13"/>
        <v>0</v>
      </c>
      <c r="BL13" s="141">
        <v>0</v>
      </c>
      <c r="BM13" s="5">
        <v>0</v>
      </c>
      <c r="BN13" s="5"/>
      <c r="BO13" s="5"/>
      <c r="BP13" s="5"/>
      <c r="BQ13" s="5"/>
      <c r="BR13" s="5"/>
      <c r="BS13" s="5"/>
      <c r="BT13" s="11">
        <f t="shared" si="15"/>
        <v>0</v>
      </c>
      <c r="BV13" s="5">
        <f t="shared" si="19"/>
        <v>473</v>
      </c>
      <c r="BW13" s="5">
        <f t="shared" si="18"/>
        <v>0</v>
      </c>
      <c r="BX13" s="5">
        <f t="shared" si="18"/>
        <v>0</v>
      </c>
      <c r="BY13" s="5">
        <f t="shared" si="18"/>
        <v>0</v>
      </c>
      <c r="BZ13" s="5">
        <f t="shared" si="18"/>
        <v>0</v>
      </c>
      <c r="CA13" s="5">
        <f t="shared" si="18"/>
        <v>0</v>
      </c>
      <c r="CB13" s="5"/>
      <c r="CC13" s="11">
        <f t="shared" si="17"/>
        <v>473</v>
      </c>
      <c r="CD13" s="12">
        <f t="shared" si="20"/>
        <v>16</v>
      </c>
    </row>
    <row r="14" spans="1:82">
      <c r="A14" s="13" t="s">
        <v>19</v>
      </c>
      <c r="B14" s="5">
        <v>0</v>
      </c>
      <c r="C14" s="5"/>
      <c r="D14" s="5"/>
      <c r="E14" s="5"/>
      <c r="F14" s="5"/>
      <c r="G14" s="5"/>
      <c r="H14" s="5"/>
      <c r="I14" s="11">
        <f t="shared" si="0"/>
        <v>0</v>
      </c>
      <c r="K14" s="5">
        <v>0</v>
      </c>
      <c r="L14" s="5"/>
      <c r="M14" s="5"/>
      <c r="N14" s="5"/>
      <c r="O14" s="5"/>
      <c r="P14" s="5"/>
      <c r="Q14" s="5"/>
      <c r="R14" s="11">
        <f t="shared" si="3"/>
        <v>0</v>
      </c>
      <c r="S14" s="14"/>
      <c r="T14" s="5">
        <v>0</v>
      </c>
      <c r="U14" s="5"/>
      <c r="V14" s="5"/>
      <c r="W14" s="5"/>
      <c r="X14" s="5"/>
      <c r="Y14" s="5"/>
      <c r="Z14" s="5"/>
      <c r="AA14" s="11">
        <f t="shared" si="5"/>
        <v>0</v>
      </c>
      <c r="AB14" s="14"/>
      <c r="AC14" s="5">
        <f>30*7</f>
        <v>210</v>
      </c>
      <c r="AD14" s="5"/>
      <c r="AE14" s="5"/>
      <c r="AF14" s="5"/>
      <c r="AG14" s="5"/>
      <c r="AH14" s="5"/>
      <c r="AI14" s="5"/>
      <c r="AJ14" s="11">
        <f t="shared" si="7"/>
        <v>210</v>
      </c>
      <c r="AK14" s="12">
        <v>7</v>
      </c>
      <c r="AL14" s="5">
        <v>230</v>
      </c>
      <c r="AM14" s="5"/>
      <c r="AN14" s="5"/>
      <c r="AO14" s="5"/>
      <c r="AP14" s="5"/>
      <c r="AQ14" s="5"/>
      <c r="AR14" s="5"/>
      <c r="AS14" s="11">
        <f t="shared" si="9"/>
        <v>230</v>
      </c>
      <c r="AT14" s="12">
        <v>8</v>
      </c>
      <c r="AU14" s="5">
        <v>15</v>
      </c>
      <c r="AV14" s="5"/>
      <c r="AW14" s="5"/>
      <c r="AX14" s="5"/>
      <c r="AY14" s="5"/>
      <c r="AZ14" s="5"/>
      <c r="BA14" s="5"/>
      <c r="BB14" s="11">
        <f t="shared" si="11"/>
        <v>15</v>
      </c>
      <c r="BD14" s="5">
        <v>0</v>
      </c>
      <c r="BE14" s="5"/>
      <c r="BF14" s="5"/>
      <c r="BG14" s="5"/>
      <c r="BH14" s="5"/>
      <c r="BI14" s="5"/>
      <c r="BJ14" s="5"/>
      <c r="BK14" s="11">
        <f t="shared" si="13"/>
        <v>0</v>
      </c>
      <c r="BL14" s="141">
        <v>0</v>
      </c>
      <c r="BM14" s="5">
        <v>0</v>
      </c>
      <c r="BN14" s="5"/>
      <c r="BO14" s="5"/>
      <c r="BP14" s="5"/>
      <c r="BQ14" s="5"/>
      <c r="BR14" s="5"/>
      <c r="BS14" s="5"/>
      <c r="BT14" s="11">
        <f t="shared" si="15"/>
        <v>0</v>
      </c>
      <c r="BV14" s="5">
        <f t="shared" si="19"/>
        <v>455</v>
      </c>
      <c r="BW14" s="5">
        <f t="shared" si="18"/>
        <v>0</v>
      </c>
      <c r="BX14" s="5">
        <f t="shared" si="18"/>
        <v>0</v>
      </c>
      <c r="BY14" s="5">
        <f t="shared" si="18"/>
        <v>0</v>
      </c>
      <c r="BZ14" s="5">
        <f t="shared" si="18"/>
        <v>0</v>
      </c>
      <c r="CA14" s="5">
        <f t="shared" si="18"/>
        <v>0</v>
      </c>
      <c r="CB14" s="5"/>
      <c r="CC14" s="11">
        <f t="shared" si="17"/>
        <v>455</v>
      </c>
      <c r="CD14" s="12">
        <f t="shared" si="20"/>
        <v>15</v>
      </c>
    </row>
    <row r="15" spans="1:82">
      <c r="A15" s="13" t="s">
        <v>20</v>
      </c>
      <c r="B15" s="5">
        <v>0</v>
      </c>
      <c r="C15" s="5"/>
      <c r="D15" s="5"/>
      <c r="E15" s="5"/>
      <c r="F15" s="5"/>
      <c r="G15" s="5"/>
      <c r="H15" s="5"/>
      <c r="I15" s="11">
        <f t="shared" si="0"/>
        <v>0</v>
      </c>
      <c r="K15" s="5">
        <v>0</v>
      </c>
      <c r="L15" s="5"/>
      <c r="M15" s="5"/>
      <c r="N15" s="5"/>
      <c r="O15" s="5"/>
      <c r="P15" s="5"/>
      <c r="Q15" s="5"/>
      <c r="R15" s="11">
        <f t="shared" si="3"/>
        <v>0</v>
      </c>
      <c r="S15" s="14"/>
      <c r="T15" s="5">
        <v>0</v>
      </c>
      <c r="U15" s="5"/>
      <c r="V15" s="5"/>
      <c r="W15" s="5"/>
      <c r="X15" s="5"/>
      <c r="Y15" s="5"/>
      <c r="Z15" s="5"/>
      <c r="AA15" s="11">
        <f t="shared" si="5"/>
        <v>0</v>
      </c>
      <c r="AB15" s="14"/>
      <c r="AC15" s="5">
        <v>174</v>
      </c>
      <c r="AD15" s="5"/>
      <c r="AE15" s="5"/>
      <c r="AF15" s="5"/>
      <c r="AG15" s="5"/>
      <c r="AH15" s="5"/>
      <c r="AI15" s="5"/>
      <c r="AJ15" s="11">
        <f t="shared" si="7"/>
        <v>174</v>
      </c>
      <c r="AK15" s="12">
        <v>7</v>
      </c>
      <c r="AL15" s="5">
        <v>159</v>
      </c>
      <c r="AM15" s="5"/>
      <c r="AN15" s="5"/>
      <c r="AO15" s="5"/>
      <c r="AP15" s="5"/>
      <c r="AQ15" s="5"/>
      <c r="AR15" s="5"/>
      <c r="AS15" s="11">
        <f t="shared" si="9"/>
        <v>159</v>
      </c>
      <c r="AT15" s="12">
        <v>5</v>
      </c>
      <c r="AU15" s="5">
        <v>26</v>
      </c>
      <c r="AV15" s="5"/>
      <c r="AW15" s="5"/>
      <c r="AX15" s="5"/>
      <c r="AY15" s="5"/>
      <c r="AZ15" s="5"/>
      <c r="BA15" s="5"/>
      <c r="BB15" s="11">
        <f t="shared" si="11"/>
        <v>26</v>
      </c>
      <c r="BD15" s="5">
        <v>0</v>
      </c>
      <c r="BE15" s="5"/>
      <c r="BF15" s="5"/>
      <c r="BG15" s="5"/>
      <c r="BH15" s="5"/>
      <c r="BI15" s="5"/>
      <c r="BJ15" s="5"/>
      <c r="BK15" s="11">
        <f t="shared" si="13"/>
        <v>0</v>
      </c>
      <c r="BL15" s="141">
        <v>0</v>
      </c>
      <c r="BM15" s="5">
        <v>0</v>
      </c>
      <c r="BN15" s="5"/>
      <c r="BO15" s="5"/>
      <c r="BP15" s="5"/>
      <c r="BQ15" s="5"/>
      <c r="BR15" s="5"/>
      <c r="BS15" s="5"/>
      <c r="BT15" s="11">
        <f t="shared" si="15"/>
        <v>0</v>
      </c>
      <c r="BV15" s="5">
        <f t="shared" si="19"/>
        <v>359</v>
      </c>
      <c r="BW15" s="5">
        <f t="shared" si="18"/>
        <v>0</v>
      </c>
      <c r="BX15" s="5">
        <f t="shared" si="18"/>
        <v>0</v>
      </c>
      <c r="BY15" s="5">
        <f t="shared" si="18"/>
        <v>0</v>
      </c>
      <c r="BZ15" s="5">
        <f t="shared" si="18"/>
        <v>0</v>
      </c>
      <c r="CA15" s="5">
        <f t="shared" si="18"/>
        <v>0</v>
      </c>
      <c r="CB15" s="5"/>
      <c r="CC15" s="11">
        <f t="shared" si="17"/>
        <v>359</v>
      </c>
      <c r="CD15" s="12">
        <f t="shared" si="20"/>
        <v>12</v>
      </c>
    </row>
    <row r="16" spans="1:82">
      <c r="A16" s="13" t="s">
        <v>21</v>
      </c>
      <c r="B16" s="5">
        <v>0</v>
      </c>
      <c r="C16" s="5"/>
      <c r="D16" s="5"/>
      <c r="E16" s="5"/>
      <c r="F16" s="5"/>
      <c r="G16" s="5"/>
      <c r="H16" s="5"/>
      <c r="I16" s="11">
        <f t="shared" si="0"/>
        <v>0</v>
      </c>
      <c r="K16" s="5">
        <v>0</v>
      </c>
      <c r="L16" s="5"/>
      <c r="M16" s="5"/>
      <c r="N16" s="5"/>
      <c r="O16" s="5"/>
      <c r="P16" s="5"/>
      <c r="Q16" s="5"/>
      <c r="R16" s="11">
        <f t="shared" si="3"/>
        <v>0</v>
      </c>
      <c r="S16" s="14"/>
      <c r="T16" s="5">
        <v>0</v>
      </c>
      <c r="U16" s="5"/>
      <c r="V16" s="5"/>
      <c r="W16" s="5"/>
      <c r="X16" s="5"/>
      <c r="Y16" s="5"/>
      <c r="Z16" s="5"/>
      <c r="AA16" s="11">
        <f t="shared" si="5"/>
        <v>0</v>
      </c>
      <c r="AB16" s="14"/>
      <c r="AC16" s="5">
        <v>140</v>
      </c>
      <c r="AD16" s="5"/>
      <c r="AE16" s="5"/>
      <c r="AF16" s="5"/>
      <c r="AG16" s="5"/>
      <c r="AH16" s="5"/>
      <c r="AI16" s="5"/>
      <c r="AJ16" s="11">
        <f t="shared" si="7"/>
        <v>140</v>
      </c>
      <c r="AK16" s="12">
        <v>4</v>
      </c>
      <c r="AL16" s="5">
        <v>115</v>
      </c>
      <c r="AM16" s="5"/>
      <c r="AN16" s="5"/>
      <c r="AO16" s="5"/>
      <c r="AP16" s="5"/>
      <c r="AQ16" s="5"/>
      <c r="AR16" s="5"/>
      <c r="AS16" s="11">
        <f t="shared" si="9"/>
        <v>115</v>
      </c>
      <c r="AT16" s="12">
        <v>4</v>
      </c>
      <c r="AU16" s="5">
        <v>0</v>
      </c>
      <c r="AV16" s="5"/>
      <c r="AW16" s="5"/>
      <c r="AX16" s="5"/>
      <c r="AY16" s="5"/>
      <c r="AZ16" s="5"/>
      <c r="BA16" s="5"/>
      <c r="BB16" s="11">
        <f t="shared" si="11"/>
        <v>0</v>
      </c>
      <c r="BD16" s="5">
        <v>0</v>
      </c>
      <c r="BE16" s="5"/>
      <c r="BF16" s="5"/>
      <c r="BG16" s="5"/>
      <c r="BH16" s="5"/>
      <c r="BI16" s="5"/>
      <c r="BJ16" s="5"/>
      <c r="BK16" s="11">
        <f t="shared" si="13"/>
        <v>0</v>
      </c>
      <c r="BL16" s="141">
        <v>0</v>
      </c>
      <c r="BM16" s="5">
        <v>0</v>
      </c>
      <c r="BN16" s="5"/>
      <c r="BO16" s="5"/>
      <c r="BP16" s="5"/>
      <c r="BQ16" s="5"/>
      <c r="BR16" s="5"/>
      <c r="BS16" s="5"/>
      <c r="BT16" s="11">
        <f t="shared" si="15"/>
        <v>0</v>
      </c>
      <c r="BV16" s="5">
        <f t="shared" si="19"/>
        <v>255</v>
      </c>
      <c r="BW16" s="5">
        <f t="shared" si="18"/>
        <v>0</v>
      </c>
      <c r="BX16" s="5">
        <f t="shared" si="18"/>
        <v>0</v>
      </c>
      <c r="BY16" s="5">
        <f t="shared" si="18"/>
        <v>0</v>
      </c>
      <c r="BZ16" s="5">
        <f t="shared" si="18"/>
        <v>0</v>
      </c>
      <c r="CA16" s="5">
        <f t="shared" si="18"/>
        <v>0</v>
      </c>
      <c r="CB16" s="5"/>
      <c r="CC16" s="11">
        <f t="shared" si="17"/>
        <v>255</v>
      </c>
      <c r="CD16" s="12">
        <f t="shared" si="20"/>
        <v>8</v>
      </c>
    </row>
    <row r="17" spans="1:83" ht="15">
      <c r="A17" s="15" t="s">
        <v>8</v>
      </c>
      <c r="B17" s="9">
        <f t="shared" ref="B17:H17" si="21">SUM(B4:B16)</f>
        <v>908</v>
      </c>
      <c r="C17" s="9">
        <f t="shared" si="21"/>
        <v>0</v>
      </c>
      <c r="D17" s="9">
        <f t="shared" si="21"/>
        <v>0</v>
      </c>
      <c r="E17" s="9"/>
      <c r="F17" s="9">
        <f t="shared" si="21"/>
        <v>0</v>
      </c>
      <c r="G17" s="9">
        <f t="shared" si="21"/>
        <v>0</v>
      </c>
      <c r="H17" s="9">
        <f t="shared" si="21"/>
        <v>0</v>
      </c>
      <c r="I17" s="9">
        <f>SUM(I4:I16)</f>
        <v>908</v>
      </c>
      <c r="J17" s="106" t="b">
        <f>SUM(J4:J16)=I27</f>
        <v>1</v>
      </c>
      <c r="K17" s="9">
        <f t="shared" ref="K17:Q17" si="22">SUM(K4:K16)</f>
        <v>1022</v>
      </c>
      <c r="L17" s="9">
        <f t="shared" si="22"/>
        <v>0</v>
      </c>
      <c r="M17" s="9">
        <f t="shared" si="22"/>
        <v>0</v>
      </c>
      <c r="N17" s="9"/>
      <c r="O17" s="9">
        <f t="shared" si="22"/>
        <v>0</v>
      </c>
      <c r="P17" s="9">
        <f t="shared" si="22"/>
        <v>0</v>
      </c>
      <c r="Q17" s="9">
        <f t="shared" si="22"/>
        <v>0</v>
      </c>
      <c r="R17" s="9">
        <f>SUM(R4:R16)</f>
        <v>1022</v>
      </c>
      <c r="S17" s="106" t="b">
        <f>SUM(S4:S16)=R27</f>
        <v>1</v>
      </c>
      <c r="T17" s="9">
        <f t="shared" ref="T17:Z17" si="23">SUM(T4:T16)</f>
        <v>1190</v>
      </c>
      <c r="U17" s="9">
        <f t="shared" si="23"/>
        <v>0</v>
      </c>
      <c r="V17" s="9">
        <f t="shared" si="23"/>
        <v>0</v>
      </c>
      <c r="W17" s="9"/>
      <c r="X17" s="9">
        <f t="shared" si="23"/>
        <v>0</v>
      </c>
      <c r="Y17" s="9">
        <f t="shared" si="23"/>
        <v>0</v>
      </c>
      <c r="Z17" s="9">
        <f t="shared" si="23"/>
        <v>0</v>
      </c>
      <c r="AA17" s="9">
        <f>SUM(AA4:AA16)</f>
        <v>1190</v>
      </c>
      <c r="AB17" s="106" t="b">
        <f>SUM(AB4:AB16)=AA27</f>
        <v>1</v>
      </c>
      <c r="AC17" s="9">
        <f t="shared" ref="AC17:AI17" si="24">SUM(AC4:AC16)</f>
        <v>2244</v>
      </c>
      <c r="AD17" s="9">
        <f t="shared" si="24"/>
        <v>0</v>
      </c>
      <c r="AE17" s="9">
        <f t="shared" si="24"/>
        <v>0</v>
      </c>
      <c r="AF17" s="9"/>
      <c r="AG17" s="9">
        <f t="shared" si="24"/>
        <v>0</v>
      </c>
      <c r="AH17" s="9">
        <f t="shared" si="24"/>
        <v>0</v>
      </c>
      <c r="AI17" s="9">
        <f t="shared" si="24"/>
        <v>0</v>
      </c>
      <c r="AJ17" s="9">
        <f>SUM(AJ4:AJ16)</f>
        <v>2244</v>
      </c>
      <c r="AK17" s="106" t="b">
        <f>SUM(AK4:AK16)=AJ27</f>
        <v>1</v>
      </c>
      <c r="AL17" s="9">
        <f t="shared" ref="AL17:AR17" si="25">SUM(AL4:AL16)</f>
        <v>2190</v>
      </c>
      <c r="AM17" s="9">
        <f t="shared" si="25"/>
        <v>0</v>
      </c>
      <c r="AN17" s="9">
        <f t="shared" si="25"/>
        <v>0</v>
      </c>
      <c r="AO17" s="9"/>
      <c r="AP17" s="9">
        <f t="shared" si="25"/>
        <v>0</v>
      </c>
      <c r="AQ17" s="9">
        <f t="shared" si="25"/>
        <v>0</v>
      </c>
      <c r="AR17" s="9">
        <f t="shared" si="25"/>
        <v>0</v>
      </c>
      <c r="AS17" s="9">
        <f>SUM(AS4:AS16)</f>
        <v>2190</v>
      </c>
      <c r="AT17" s="106" t="b">
        <f>SUM(AT4:AT16)=AS27</f>
        <v>1</v>
      </c>
      <c r="AU17" s="9">
        <f t="shared" ref="AU17:BA17" si="26">SUM(AU4:AU16)</f>
        <v>120</v>
      </c>
      <c r="AV17" s="9">
        <f t="shared" si="26"/>
        <v>0</v>
      </c>
      <c r="AW17" s="9">
        <f t="shared" si="26"/>
        <v>0</v>
      </c>
      <c r="AX17" s="9"/>
      <c r="AY17" s="9">
        <f t="shared" si="26"/>
        <v>0</v>
      </c>
      <c r="AZ17" s="9">
        <f t="shared" si="26"/>
        <v>0</v>
      </c>
      <c r="BA17" s="9">
        <f t="shared" si="26"/>
        <v>0</v>
      </c>
      <c r="BB17" s="9">
        <f>SUM(BB4:BB16)</f>
        <v>120</v>
      </c>
      <c r="BD17" s="9">
        <f t="shared" ref="BD17:BJ17" si="27">SUM(BD4:BD16)</f>
        <v>184</v>
      </c>
      <c r="BE17" s="9">
        <f t="shared" si="27"/>
        <v>0</v>
      </c>
      <c r="BF17" s="9">
        <f t="shared" si="27"/>
        <v>0</v>
      </c>
      <c r="BG17" s="9"/>
      <c r="BH17" s="9">
        <f t="shared" si="27"/>
        <v>0</v>
      </c>
      <c r="BI17" s="9">
        <f t="shared" si="27"/>
        <v>0</v>
      </c>
      <c r="BJ17" s="9">
        <f t="shared" si="27"/>
        <v>0</v>
      </c>
      <c r="BK17" s="9">
        <f>SUM(BK4:BK16)</f>
        <v>184</v>
      </c>
      <c r="BL17" s="106" t="b">
        <f>SUM(BL4:BL16)=BK27</f>
        <v>1</v>
      </c>
      <c r="BM17" s="9">
        <f t="shared" ref="BM17:BS17" si="28">SUM(BM4:BM16)</f>
        <v>0</v>
      </c>
      <c r="BN17" s="9">
        <f t="shared" si="28"/>
        <v>0</v>
      </c>
      <c r="BO17" s="9">
        <f t="shared" si="28"/>
        <v>0</v>
      </c>
      <c r="BP17" s="9"/>
      <c r="BQ17" s="9">
        <f t="shared" si="28"/>
        <v>0</v>
      </c>
      <c r="BR17" s="9">
        <f t="shared" si="28"/>
        <v>0</v>
      </c>
      <c r="BS17" s="9">
        <f t="shared" si="28"/>
        <v>0</v>
      </c>
      <c r="BT17" s="9">
        <f>SUM(BT4:BT16)</f>
        <v>0</v>
      </c>
      <c r="BV17" s="9">
        <f t="shared" ref="BV17:BX17" si="29">SUM(BV4:BV16)</f>
        <v>7858</v>
      </c>
      <c r="BW17" s="9">
        <f t="shared" si="29"/>
        <v>0</v>
      </c>
      <c r="BX17" s="9">
        <f t="shared" si="29"/>
        <v>0</v>
      </c>
      <c r="BY17" s="9"/>
      <c r="BZ17" s="9">
        <f t="shared" ref="BZ17:CB17" si="30">SUM(BZ4:BZ16)</f>
        <v>0</v>
      </c>
      <c r="CA17" s="9">
        <f t="shared" si="30"/>
        <v>0</v>
      </c>
      <c r="CB17" s="9">
        <f t="shared" si="30"/>
        <v>0</v>
      </c>
      <c r="CC17" s="9">
        <f>SUM(CC4:CC16)</f>
        <v>7858</v>
      </c>
      <c r="CD17" s="106" t="b">
        <f>SUM(CD4:CD16)=CC27</f>
        <v>1</v>
      </c>
    </row>
    <row r="18" spans="1:83">
      <c r="A18" s="13"/>
      <c r="B18" s="5"/>
      <c r="C18" s="16"/>
      <c r="D18" s="16"/>
      <c r="E18" s="16"/>
      <c r="F18" s="16"/>
      <c r="G18" s="16"/>
      <c r="H18" s="16"/>
      <c r="I18" s="16"/>
      <c r="J18" s="7"/>
      <c r="K18" s="5"/>
      <c r="L18" s="16"/>
      <c r="M18" s="16"/>
      <c r="N18" s="16"/>
      <c r="O18" s="16"/>
      <c r="P18" s="16"/>
      <c r="Q18" s="16"/>
      <c r="R18" s="16"/>
      <c r="T18" s="5"/>
      <c r="U18" s="16"/>
      <c r="V18" s="16"/>
      <c r="W18" s="16"/>
      <c r="X18" s="16"/>
      <c r="Y18" s="16"/>
      <c r="Z18" s="16"/>
      <c r="AA18" s="16"/>
      <c r="AC18" s="5"/>
      <c r="AD18" s="16"/>
      <c r="AE18" s="16"/>
      <c r="AF18" s="16"/>
      <c r="AG18" s="16"/>
      <c r="AH18" s="16"/>
      <c r="AI18" s="16"/>
      <c r="AJ18" s="16"/>
      <c r="AL18" s="5"/>
      <c r="AM18" s="16"/>
      <c r="AN18" s="16"/>
      <c r="AO18" s="16"/>
      <c r="AP18" s="16"/>
      <c r="AQ18" s="16"/>
      <c r="AR18" s="16"/>
      <c r="AS18" s="16"/>
      <c r="AU18" s="5"/>
      <c r="AV18" s="16"/>
      <c r="AW18" s="16"/>
      <c r="AX18" s="16"/>
      <c r="AY18" s="16"/>
      <c r="AZ18" s="16"/>
      <c r="BA18" s="16"/>
      <c r="BB18" s="16"/>
      <c r="BD18" s="5"/>
      <c r="BE18" s="16"/>
      <c r="BF18" s="16"/>
      <c r="BG18" s="16"/>
      <c r="BH18" s="16"/>
      <c r="BI18" s="16"/>
      <c r="BJ18" s="16"/>
      <c r="BK18" s="16"/>
      <c r="BM18" s="5"/>
      <c r="BN18" s="16"/>
      <c r="BO18" s="16"/>
      <c r="BP18" s="16"/>
      <c r="BQ18" s="16"/>
      <c r="BR18" s="16"/>
      <c r="BS18" s="16"/>
      <c r="BT18" s="16"/>
      <c r="BV18" s="5"/>
      <c r="BW18" s="16"/>
      <c r="BX18" s="16"/>
      <c r="BY18" s="16"/>
      <c r="BZ18" s="16"/>
      <c r="CA18" s="16"/>
      <c r="CB18" s="16"/>
      <c r="CC18" s="16"/>
    </row>
    <row r="19" spans="1:83" ht="15">
      <c r="A19" s="17" t="s">
        <v>22</v>
      </c>
      <c r="B19" s="18" t="str">
        <f t="shared" ref="B19:I19" si="31">B1</f>
        <v>Operating</v>
      </c>
      <c r="C19" s="18" t="str">
        <f t="shared" si="31"/>
        <v>SPED</v>
      </c>
      <c r="D19" s="18" t="str">
        <f t="shared" si="31"/>
        <v>NSLP</v>
      </c>
      <c r="E19" s="18" t="str">
        <f t="shared" si="31"/>
        <v>Other</v>
      </c>
      <c r="F19" s="18" t="str">
        <f t="shared" si="31"/>
        <v>Title I</v>
      </c>
      <c r="G19" s="18" t="str">
        <f t="shared" si="31"/>
        <v>SGF</v>
      </c>
      <c r="H19" s="18" t="str">
        <f t="shared" si="31"/>
        <v>Title III</v>
      </c>
      <c r="I19" s="18" t="str">
        <f t="shared" si="31"/>
        <v>Horizon</v>
      </c>
      <c r="J19" s="19"/>
      <c r="K19" s="18" t="str">
        <f t="shared" ref="K19:R19" si="32">K1</f>
        <v>Operating</v>
      </c>
      <c r="L19" s="18" t="str">
        <f t="shared" si="32"/>
        <v>SPED</v>
      </c>
      <c r="M19" s="18" t="str">
        <f t="shared" si="32"/>
        <v>NSLP</v>
      </c>
      <c r="N19" s="18" t="str">
        <f t="shared" si="32"/>
        <v>Other</v>
      </c>
      <c r="O19" s="18" t="str">
        <f t="shared" si="32"/>
        <v>Title I</v>
      </c>
      <c r="P19" s="18" t="str">
        <f t="shared" si="32"/>
        <v>SGF</v>
      </c>
      <c r="Q19" s="18" t="str">
        <f t="shared" si="32"/>
        <v>Title III</v>
      </c>
      <c r="R19" s="18" t="str">
        <f t="shared" si="32"/>
        <v>St. Rose</v>
      </c>
      <c r="T19" s="18" t="str">
        <f t="shared" ref="T19:AA19" si="33">T1</f>
        <v>Operating</v>
      </c>
      <c r="U19" s="18" t="str">
        <f t="shared" si="33"/>
        <v>SPED</v>
      </c>
      <c r="V19" s="18" t="str">
        <f t="shared" si="33"/>
        <v>NSLP</v>
      </c>
      <c r="W19" s="18" t="str">
        <f t="shared" si="33"/>
        <v>Other</v>
      </c>
      <c r="X19" s="18" t="str">
        <f t="shared" si="33"/>
        <v>Title I</v>
      </c>
      <c r="Y19" s="18" t="str">
        <f t="shared" si="33"/>
        <v>SGF</v>
      </c>
      <c r="Z19" s="18" t="str">
        <f t="shared" si="33"/>
        <v>Title III</v>
      </c>
      <c r="AA19" s="18" t="str">
        <f t="shared" si="33"/>
        <v>Inspirada</v>
      </c>
      <c r="AC19" s="18" t="str">
        <f t="shared" ref="AC19:AJ19" si="34">AC1</f>
        <v>Operating</v>
      </c>
      <c r="AD19" s="18" t="str">
        <f t="shared" si="34"/>
        <v>SPED</v>
      </c>
      <c r="AE19" s="18" t="str">
        <f t="shared" si="34"/>
        <v>NSLP</v>
      </c>
      <c r="AF19" s="18" t="str">
        <f t="shared" si="34"/>
        <v>Other</v>
      </c>
      <c r="AG19" s="18" t="str">
        <f t="shared" si="34"/>
        <v>Title I</v>
      </c>
      <c r="AH19" s="18" t="str">
        <f t="shared" si="34"/>
        <v>SGF</v>
      </c>
      <c r="AI19" s="18" t="str">
        <f t="shared" si="34"/>
        <v>Title III</v>
      </c>
      <c r="AJ19" s="18" t="str">
        <f t="shared" si="34"/>
        <v>Cadence</v>
      </c>
      <c r="AL19" s="18" t="str">
        <f t="shared" ref="AL19:AS19" si="35">AL1</f>
        <v>Operating</v>
      </c>
      <c r="AM19" s="18" t="str">
        <f t="shared" si="35"/>
        <v>SPED</v>
      </c>
      <c r="AN19" s="18" t="str">
        <f t="shared" si="35"/>
        <v>NSLP</v>
      </c>
      <c r="AO19" s="18" t="str">
        <f t="shared" si="35"/>
        <v>Other</v>
      </c>
      <c r="AP19" s="18" t="str">
        <f t="shared" si="35"/>
        <v>Title I</v>
      </c>
      <c r="AQ19" s="18" t="str">
        <f t="shared" si="35"/>
        <v>SGF</v>
      </c>
      <c r="AR19" s="18" t="str">
        <f t="shared" si="35"/>
        <v>Title III</v>
      </c>
      <c r="AS19" s="18" t="str">
        <f t="shared" si="35"/>
        <v>Sloan</v>
      </c>
      <c r="AU19" s="18" t="str">
        <f t="shared" ref="AU19:BB19" si="36">AU1</f>
        <v>Operating</v>
      </c>
      <c r="AV19" s="18" t="str">
        <f t="shared" si="36"/>
        <v>SPED</v>
      </c>
      <c r="AW19" s="18" t="str">
        <f t="shared" si="36"/>
        <v>NSLP</v>
      </c>
      <c r="AX19" s="18" t="str">
        <f t="shared" si="36"/>
        <v>Other</v>
      </c>
      <c r="AY19" s="18" t="str">
        <f t="shared" si="36"/>
        <v>Title I</v>
      </c>
      <c r="AZ19" s="18" t="str">
        <f t="shared" si="36"/>
        <v>SGF</v>
      </c>
      <c r="BA19" s="18" t="str">
        <f t="shared" si="36"/>
        <v>Title III</v>
      </c>
      <c r="BB19" s="18" t="str">
        <f t="shared" si="36"/>
        <v>Virtual</v>
      </c>
      <c r="BD19" s="18" t="str">
        <f t="shared" ref="BD19:BK19" si="37">BD1</f>
        <v>Operating</v>
      </c>
      <c r="BE19" s="18" t="str">
        <f t="shared" si="37"/>
        <v>SPED</v>
      </c>
      <c r="BF19" s="18" t="str">
        <f t="shared" si="37"/>
        <v>NSLP</v>
      </c>
      <c r="BG19" s="18" t="str">
        <f t="shared" si="37"/>
        <v>Other</v>
      </c>
      <c r="BH19" s="18" t="str">
        <f t="shared" si="37"/>
        <v>Title I</v>
      </c>
      <c r="BI19" s="18" t="str">
        <f t="shared" si="37"/>
        <v>SGF</v>
      </c>
      <c r="BJ19" s="18" t="str">
        <f t="shared" si="37"/>
        <v>Title III</v>
      </c>
      <c r="BK19" s="18" t="str">
        <f t="shared" si="37"/>
        <v>Springs</v>
      </c>
      <c r="BM19" s="18" t="str">
        <f t="shared" ref="BM19:BT19" si="38">BM1</f>
        <v>Operating</v>
      </c>
      <c r="BN19" s="18" t="str">
        <f t="shared" si="38"/>
        <v>SPED</v>
      </c>
      <c r="BO19" s="18" t="str">
        <f t="shared" si="38"/>
        <v>NSLP</v>
      </c>
      <c r="BP19" s="18" t="str">
        <f t="shared" si="38"/>
        <v>Other</v>
      </c>
      <c r="BQ19" s="18" t="str">
        <f t="shared" si="38"/>
        <v>Title I</v>
      </c>
      <c r="BR19" s="18" t="str">
        <f t="shared" si="38"/>
        <v>SGF</v>
      </c>
      <c r="BS19" s="18" t="str">
        <f t="shared" si="38"/>
        <v>Title III</v>
      </c>
      <c r="BT19" s="18" t="str">
        <f t="shared" si="38"/>
        <v>Exec. Office</v>
      </c>
      <c r="BV19" s="18" t="str">
        <f t="shared" ref="BV19:CC19" si="39">BV1</f>
        <v>Operating</v>
      </c>
      <c r="BW19" s="18" t="str">
        <f t="shared" si="39"/>
        <v>SPED</v>
      </c>
      <c r="BX19" s="18" t="str">
        <f t="shared" si="39"/>
        <v>NSLP</v>
      </c>
      <c r="BY19" s="18" t="str">
        <f t="shared" si="39"/>
        <v>Other</v>
      </c>
      <c r="BZ19" s="18" t="str">
        <f t="shared" si="39"/>
        <v>Title I</v>
      </c>
      <c r="CA19" s="18" t="str">
        <f t="shared" si="39"/>
        <v>SGF</v>
      </c>
      <c r="CB19" s="18" t="str">
        <f t="shared" si="39"/>
        <v>Title III</v>
      </c>
      <c r="CC19" s="18" t="str">
        <f t="shared" si="39"/>
        <v>Systemwide</v>
      </c>
    </row>
    <row r="20" spans="1:83">
      <c r="A20" s="13" t="s">
        <v>23</v>
      </c>
      <c r="B20" s="5"/>
      <c r="C20" s="5">
        <v>102</v>
      </c>
      <c r="D20" s="5"/>
      <c r="E20" s="5"/>
      <c r="F20" s="5"/>
      <c r="G20" s="5"/>
      <c r="H20" s="5"/>
      <c r="I20" s="5">
        <f>SUM(B20:H20)</f>
        <v>102</v>
      </c>
      <c r="J20" s="20"/>
      <c r="K20" s="5"/>
      <c r="L20" s="5">
        <v>83</v>
      </c>
      <c r="M20" s="5"/>
      <c r="N20" s="5"/>
      <c r="O20" s="5"/>
      <c r="P20" s="5"/>
      <c r="Q20" s="5"/>
      <c r="R20" s="5">
        <f>SUM(K20:Q20)</f>
        <v>83</v>
      </c>
      <c r="T20" s="5"/>
      <c r="U20" s="5">
        <v>110</v>
      </c>
      <c r="V20" s="5"/>
      <c r="W20" s="5"/>
      <c r="X20" s="5"/>
      <c r="Y20" s="5"/>
      <c r="Z20" s="5"/>
      <c r="AA20" s="5">
        <f>SUM(T20:Z20)</f>
        <v>110</v>
      </c>
      <c r="AC20" s="5"/>
      <c r="AD20" s="5">
        <v>291</v>
      </c>
      <c r="AE20" s="5"/>
      <c r="AF20" s="5"/>
      <c r="AG20" s="5"/>
      <c r="AH20" s="5"/>
      <c r="AI20" s="5"/>
      <c r="AJ20" s="5">
        <f>SUM(AC20:AI20)</f>
        <v>291</v>
      </c>
      <c r="AL20" s="5"/>
      <c r="AM20" s="5">
        <v>211</v>
      </c>
      <c r="AN20" s="5"/>
      <c r="AO20" s="5"/>
      <c r="AP20" s="5"/>
      <c r="AQ20" s="5"/>
      <c r="AR20" s="5"/>
      <c r="AS20" s="5">
        <f>SUM(AL20:AR20)</f>
        <v>211</v>
      </c>
      <c r="AU20" s="5"/>
      <c r="AV20" s="5">
        <v>10</v>
      </c>
      <c r="AW20" s="5"/>
      <c r="AX20" s="5"/>
      <c r="AY20" s="5"/>
      <c r="AZ20" s="5"/>
      <c r="BA20" s="5"/>
      <c r="BB20" s="5">
        <f>SUM(AU20:BA20)</f>
        <v>10</v>
      </c>
      <c r="BD20" s="5"/>
      <c r="BE20" s="5">
        <v>15</v>
      </c>
      <c r="BF20" s="5"/>
      <c r="BG20" s="5"/>
      <c r="BH20" s="5"/>
      <c r="BI20" s="5"/>
      <c r="BJ20" s="5"/>
      <c r="BK20" s="5">
        <f>SUM(BD20:BJ20)</f>
        <v>15</v>
      </c>
      <c r="BM20" s="5">
        <v>0</v>
      </c>
      <c r="BN20" s="5">
        <v>0</v>
      </c>
      <c r="BO20" s="5"/>
      <c r="BP20" s="5"/>
      <c r="BQ20" s="5"/>
      <c r="BR20" s="5"/>
      <c r="BS20" s="5"/>
      <c r="BT20" s="5">
        <f>SUM(BM20:BS20)</f>
        <v>0</v>
      </c>
      <c r="BV20" s="5">
        <f>B20+K20+T20+AC20+AL20+AU20+BD20+BM20</f>
        <v>0</v>
      </c>
      <c r="BW20" s="5">
        <f t="shared" ref="BW20" si="40">C20+L20+U20+AD20+AM20+AV20+BE20+BN20</f>
        <v>822</v>
      </c>
      <c r="BX20" s="5">
        <f t="shared" ref="BX20" si="41">D20+M20+V20+AE20+AN20+AW20+BF20+BO20</f>
        <v>0</v>
      </c>
      <c r="BY20" s="5">
        <f t="shared" ref="BY20" si="42">E20+N20+W20+AF20+AO20+AX20+BG20+BP20</f>
        <v>0</v>
      </c>
      <c r="BZ20" s="5">
        <f t="shared" ref="BZ20" si="43">F20+O20+X20+AG20+AP20+AY20+BH20+BQ20</f>
        <v>0</v>
      </c>
      <c r="CA20" s="5">
        <f t="shared" ref="CA20" si="44">G20+P20+Y20+AH20+AQ20+AZ20+BI20+BR20</f>
        <v>0</v>
      </c>
      <c r="CB20" s="5"/>
      <c r="CC20" s="5">
        <f>SUM(BV20:CB20)</f>
        <v>822</v>
      </c>
      <c r="CE20" s="7">
        <f>CC20/CC17</f>
        <v>0.10460677017052686</v>
      </c>
    </row>
    <row r="21" spans="1:83">
      <c r="A21" s="13" t="s">
        <v>24</v>
      </c>
      <c r="B21" s="5">
        <v>30</v>
      </c>
      <c r="C21" s="5"/>
      <c r="D21" s="5"/>
      <c r="E21" s="5"/>
      <c r="F21" s="5"/>
      <c r="G21" s="5"/>
      <c r="H21" s="5"/>
      <c r="I21" s="5">
        <f>SUM(B21:H21)</f>
        <v>30</v>
      </c>
      <c r="J21" s="20"/>
      <c r="K21" s="5">
        <v>18</v>
      </c>
      <c r="L21" s="5"/>
      <c r="M21" s="5"/>
      <c r="N21" s="5"/>
      <c r="O21" s="5"/>
      <c r="P21" s="5"/>
      <c r="Q21" s="5"/>
      <c r="R21" s="5">
        <f>SUM(K21:Q21)</f>
        <v>18</v>
      </c>
      <c r="T21" s="5">
        <v>25</v>
      </c>
      <c r="U21" s="5"/>
      <c r="V21" s="5"/>
      <c r="W21" s="5"/>
      <c r="X21" s="5"/>
      <c r="Y21" s="5"/>
      <c r="Z21" s="5"/>
      <c r="AA21" s="5">
        <f>SUM(T21:Z21)</f>
        <v>25</v>
      </c>
      <c r="AC21" s="5">
        <v>47</v>
      </c>
      <c r="AD21" s="5"/>
      <c r="AE21" s="5"/>
      <c r="AF21" s="5"/>
      <c r="AG21" s="5"/>
      <c r="AH21" s="5"/>
      <c r="AI21" s="5"/>
      <c r="AJ21" s="5">
        <f>SUM(AC21:AI21)</f>
        <v>47</v>
      </c>
      <c r="AL21" s="5">
        <v>40</v>
      </c>
      <c r="AM21" s="5"/>
      <c r="AN21" s="5"/>
      <c r="AO21" s="5"/>
      <c r="AP21" s="5"/>
      <c r="AQ21" s="5"/>
      <c r="AR21" s="5"/>
      <c r="AS21" s="5">
        <f>SUM(AL21:AR21)</f>
        <v>40</v>
      </c>
      <c r="AU21" s="5">
        <v>0</v>
      </c>
      <c r="AV21" s="5"/>
      <c r="AW21" s="5"/>
      <c r="AX21" s="5"/>
      <c r="AY21" s="5"/>
      <c r="AZ21" s="5"/>
      <c r="BA21" s="5"/>
      <c r="BB21" s="5">
        <f>SUM(AU21:BA21)</f>
        <v>0</v>
      </c>
      <c r="BD21" s="5"/>
      <c r="BE21" s="5"/>
      <c r="BF21" s="5"/>
      <c r="BG21" s="5"/>
      <c r="BH21" s="5"/>
      <c r="BI21" s="5"/>
      <c r="BJ21" s="5"/>
      <c r="BK21" s="5">
        <f>SUM(BD21:BJ21)</f>
        <v>0</v>
      </c>
      <c r="BM21" s="5"/>
      <c r="BN21" s="5"/>
      <c r="BO21" s="5"/>
      <c r="BP21" s="5"/>
      <c r="BQ21" s="5"/>
      <c r="BR21" s="5"/>
      <c r="BS21" s="5"/>
      <c r="BT21" s="5">
        <f>SUM(BM21:BS21)</f>
        <v>0</v>
      </c>
      <c r="BV21" s="5">
        <f t="shared" ref="BV21:BV24" si="45">B21+K21+T21+AC21+AL21+AU21+BD21+BM21</f>
        <v>160</v>
      </c>
      <c r="BW21" s="5">
        <f t="shared" ref="BW21:BW24" si="46">C21+L21+U21+AD21+AM21+AV21+BE21+BN21</f>
        <v>0</v>
      </c>
      <c r="BX21" s="5">
        <f t="shared" ref="BX21:BX24" si="47">D21+M21+V21+AE21+AN21+AW21+BF21+BO21</f>
        <v>0</v>
      </c>
      <c r="BY21" s="5">
        <f t="shared" ref="BY21:BY24" si="48">E21+N21+W21+AF21+AO21+AX21+BG21+BP21</f>
        <v>0</v>
      </c>
      <c r="BZ21" s="5">
        <f t="shared" ref="BZ21:BZ24" si="49">F21+O21+X21+AG21+AP21+AY21+BH21+BQ21</f>
        <v>0</v>
      </c>
      <c r="CA21" s="5">
        <f t="shared" ref="CA21:CA24" si="50">G21+P21+Y21+AH21+AQ21+AZ21+BI21+BR21</f>
        <v>0</v>
      </c>
      <c r="CB21" s="5"/>
      <c r="CC21" s="5">
        <f>SUM(BV21:CB21)</f>
        <v>160</v>
      </c>
    </row>
    <row r="22" spans="1:83">
      <c r="A22" s="13" t="s">
        <v>25</v>
      </c>
      <c r="B22" s="11">
        <f>41-5</f>
        <v>36</v>
      </c>
      <c r="C22" s="11"/>
      <c r="D22" s="11"/>
      <c r="E22" s="11"/>
      <c r="F22" s="11"/>
      <c r="G22" s="11"/>
      <c r="H22" s="11"/>
      <c r="I22" s="5">
        <f>SUM(B22:H22)</f>
        <v>36</v>
      </c>
      <c r="K22" s="11">
        <f>50-10</f>
        <v>40</v>
      </c>
      <c r="L22" s="11"/>
      <c r="M22" s="11"/>
      <c r="N22" s="11"/>
      <c r="O22" s="11"/>
      <c r="P22" s="11"/>
      <c r="Q22" s="11"/>
      <c r="R22" s="5">
        <f>SUM(K22:Q22)</f>
        <v>40</v>
      </c>
      <c r="T22" s="11">
        <f>71-20</f>
        <v>51</v>
      </c>
      <c r="U22" s="11"/>
      <c r="V22" s="11"/>
      <c r="W22" s="11"/>
      <c r="X22" s="11"/>
      <c r="Y22" s="11"/>
      <c r="Z22" s="11"/>
      <c r="AA22" s="5">
        <f>SUM(T22:Z22)</f>
        <v>51</v>
      </c>
      <c r="AC22" s="11">
        <f>42-10</f>
        <v>32</v>
      </c>
      <c r="AD22" s="11"/>
      <c r="AE22" s="11"/>
      <c r="AF22" s="11"/>
      <c r="AG22" s="11"/>
      <c r="AH22" s="11"/>
      <c r="AI22" s="11"/>
      <c r="AJ22" s="5">
        <f>SUM(AC22:AI22)</f>
        <v>32</v>
      </c>
      <c r="AL22" s="11">
        <f>105-5</f>
        <v>100</v>
      </c>
      <c r="AM22" s="11"/>
      <c r="AN22" s="11"/>
      <c r="AO22" s="11"/>
      <c r="AP22" s="11"/>
      <c r="AQ22" s="11"/>
      <c r="AR22" s="11"/>
      <c r="AS22" s="5">
        <f>SUM(AL22:AR22)</f>
        <v>100</v>
      </c>
      <c r="AU22" s="11">
        <v>0</v>
      </c>
      <c r="AV22" s="11"/>
      <c r="AW22" s="11"/>
      <c r="AX22" s="11"/>
      <c r="AY22" s="11"/>
      <c r="AZ22" s="11"/>
      <c r="BA22" s="11"/>
      <c r="BB22" s="5">
        <f>SUM(AU22:BA22)</f>
        <v>0</v>
      </c>
      <c r="BD22" s="11"/>
      <c r="BE22" s="11"/>
      <c r="BF22" s="11"/>
      <c r="BG22" s="11"/>
      <c r="BH22" s="11"/>
      <c r="BI22" s="11"/>
      <c r="BJ22" s="11"/>
      <c r="BK22" s="5">
        <f>SUM(BD22:BJ22)</f>
        <v>0</v>
      </c>
      <c r="BM22" s="11"/>
      <c r="BN22" s="11"/>
      <c r="BO22" s="11"/>
      <c r="BP22" s="11"/>
      <c r="BQ22" s="11"/>
      <c r="BR22" s="11"/>
      <c r="BS22" s="11"/>
      <c r="BT22" s="5">
        <f>SUM(BM22:BS22)</f>
        <v>0</v>
      </c>
      <c r="BV22" s="5">
        <f t="shared" si="45"/>
        <v>259</v>
      </c>
      <c r="BW22" s="5">
        <f t="shared" si="46"/>
        <v>0</v>
      </c>
      <c r="BX22" s="5">
        <f t="shared" si="47"/>
        <v>0</v>
      </c>
      <c r="BY22" s="5">
        <f t="shared" si="48"/>
        <v>0</v>
      </c>
      <c r="BZ22" s="5">
        <f t="shared" si="49"/>
        <v>0</v>
      </c>
      <c r="CA22" s="5">
        <f t="shared" si="50"/>
        <v>0</v>
      </c>
      <c r="CB22" s="11"/>
      <c r="CC22" s="5">
        <f>SUM(BV22:CB22)</f>
        <v>259</v>
      </c>
    </row>
    <row r="23" spans="1:83">
      <c r="A23" s="13" t="s">
        <v>26</v>
      </c>
      <c r="B23" s="21"/>
      <c r="C23" s="21"/>
      <c r="D23" s="22">
        <v>0.33069999999999999</v>
      </c>
      <c r="E23" s="22"/>
      <c r="F23" s="22"/>
      <c r="G23" s="22"/>
      <c r="H23" s="22"/>
      <c r="I23" s="21">
        <f>SUM(B23:H23)</f>
        <v>0.33069999999999999</v>
      </c>
      <c r="J23" s="23"/>
      <c r="K23" s="21"/>
      <c r="L23" s="21"/>
      <c r="M23" s="22">
        <v>0.31090000000000001</v>
      </c>
      <c r="N23" s="22"/>
      <c r="O23" s="22"/>
      <c r="P23" s="22"/>
      <c r="Q23" s="22"/>
      <c r="R23" s="21">
        <f>SUM(K23:Q23)</f>
        <v>0.31090000000000001</v>
      </c>
      <c r="T23" s="21"/>
      <c r="U23" s="21"/>
      <c r="V23" s="22">
        <v>0.13780000000000001</v>
      </c>
      <c r="W23" s="22"/>
      <c r="X23" s="22"/>
      <c r="Y23" s="22"/>
      <c r="Z23" s="22"/>
      <c r="AA23" s="21">
        <f>SUM(T23:Z23)</f>
        <v>0.13780000000000001</v>
      </c>
      <c r="AC23" s="21"/>
      <c r="AD23" s="21"/>
      <c r="AE23" s="22">
        <v>0.31780000000000003</v>
      </c>
      <c r="AF23" s="22"/>
      <c r="AG23" s="22"/>
      <c r="AH23" s="22"/>
      <c r="AI23" s="22"/>
      <c r="AJ23" s="21">
        <f>SUM(AC23:AI23)</f>
        <v>0.31780000000000003</v>
      </c>
      <c r="AL23" s="21"/>
      <c r="AM23" s="21"/>
      <c r="AN23" s="22">
        <v>0.1978</v>
      </c>
      <c r="AO23" s="22"/>
      <c r="AP23" s="22"/>
      <c r="AQ23" s="22"/>
      <c r="AR23" s="22"/>
      <c r="AS23" s="21">
        <f>SUM(AL23:AR23)</f>
        <v>0.1978</v>
      </c>
      <c r="AU23" s="21"/>
      <c r="AV23" s="21"/>
      <c r="AW23" s="22">
        <v>0.24360000000000001</v>
      </c>
      <c r="AX23" s="22"/>
      <c r="AY23" s="22"/>
      <c r="AZ23" s="22"/>
      <c r="BA23" s="22"/>
      <c r="BB23" s="21">
        <f>SUM(AU23:BA23)</f>
        <v>0.24360000000000001</v>
      </c>
      <c r="BD23" s="21"/>
      <c r="BE23" s="21"/>
      <c r="BF23" s="22">
        <v>0.6</v>
      </c>
      <c r="BG23" s="22"/>
      <c r="BH23" s="22"/>
      <c r="BI23" s="22"/>
      <c r="BJ23" s="22"/>
      <c r="BK23" s="21">
        <f>SUM(BD23:BJ23)</f>
        <v>0.6</v>
      </c>
      <c r="BM23" s="21"/>
      <c r="BN23" s="21"/>
      <c r="BO23" s="22"/>
      <c r="BP23" s="22"/>
      <c r="BQ23" s="22"/>
      <c r="BR23" s="22"/>
      <c r="BS23" s="22"/>
      <c r="BT23" s="21">
        <f>SUM(BM23:BS23)</f>
        <v>0</v>
      </c>
      <c r="BV23" s="5">
        <f t="shared" si="45"/>
        <v>0</v>
      </c>
      <c r="BW23" s="5">
        <f t="shared" si="46"/>
        <v>0</v>
      </c>
      <c r="BX23" s="101">
        <f>AVERAGE(D23,M23,V23,AE23,AN23,AW23,BF23,BO23)</f>
        <v>0.30551428571428568</v>
      </c>
      <c r="BY23" s="5">
        <f t="shared" si="48"/>
        <v>0</v>
      </c>
      <c r="BZ23" s="5">
        <f t="shared" si="49"/>
        <v>0</v>
      </c>
      <c r="CA23" s="5">
        <f t="shared" si="50"/>
        <v>0</v>
      </c>
      <c r="CB23" s="22"/>
      <c r="CC23" s="21">
        <f>SUM(BV23:CB23)</f>
        <v>0.30551428571428568</v>
      </c>
    </row>
    <row r="24" spans="1:83">
      <c r="A24" s="13" t="s">
        <v>27</v>
      </c>
      <c r="B24" s="5"/>
      <c r="C24" s="5"/>
      <c r="D24" s="5"/>
      <c r="E24" s="5"/>
      <c r="F24" s="5"/>
      <c r="G24" s="5"/>
      <c r="H24" s="5"/>
      <c r="I24" s="5">
        <f>SUM(B24:H24)</f>
        <v>0</v>
      </c>
      <c r="J24" s="23"/>
      <c r="K24" s="5"/>
      <c r="L24" s="5"/>
      <c r="M24" s="5"/>
      <c r="N24" s="5"/>
      <c r="O24" s="5"/>
      <c r="P24" s="5"/>
      <c r="Q24" s="5"/>
      <c r="R24" s="5">
        <f>SUM(K24:Q24)</f>
        <v>0</v>
      </c>
      <c r="T24" s="5">
        <v>134</v>
      </c>
      <c r="U24" s="5"/>
      <c r="V24" s="5"/>
      <c r="W24" s="5"/>
      <c r="X24" s="5"/>
      <c r="Y24" s="5"/>
      <c r="Z24" s="5"/>
      <c r="AA24" s="5">
        <f>SUM(T24:Z24)</f>
        <v>134</v>
      </c>
      <c r="AC24" s="5">
        <v>555</v>
      </c>
      <c r="AD24" s="5"/>
      <c r="AE24" s="5"/>
      <c r="AF24" s="5"/>
      <c r="AG24" s="5"/>
      <c r="AH24" s="5"/>
      <c r="AI24" s="5"/>
      <c r="AJ24" s="5">
        <f>SUM(AC24:AI24)</f>
        <v>555</v>
      </c>
      <c r="AL24" s="5">
        <v>327</v>
      </c>
      <c r="AM24" s="5"/>
      <c r="AN24" s="5"/>
      <c r="AO24" s="5"/>
      <c r="AP24" s="5"/>
      <c r="AQ24" s="5"/>
      <c r="AR24" s="5"/>
      <c r="AS24" s="5">
        <f>SUM(AL24:AR24)</f>
        <v>327</v>
      </c>
      <c r="AU24" s="5">
        <v>16</v>
      </c>
      <c r="AV24" s="5"/>
      <c r="AW24" s="5"/>
      <c r="AX24" s="5"/>
      <c r="AY24" s="5"/>
      <c r="AZ24" s="5"/>
      <c r="BA24" s="5"/>
      <c r="BB24" s="5">
        <f>SUM(AU24:BA24)</f>
        <v>16</v>
      </c>
      <c r="BD24" s="5"/>
      <c r="BE24" s="5"/>
      <c r="BF24" s="5"/>
      <c r="BG24" s="5"/>
      <c r="BH24" s="5"/>
      <c r="BI24" s="5"/>
      <c r="BJ24" s="5"/>
      <c r="BK24" s="5">
        <f>SUM(BD24:BJ24)</f>
        <v>0</v>
      </c>
      <c r="BM24" s="5"/>
      <c r="BN24" s="5"/>
      <c r="BO24" s="5"/>
      <c r="BP24" s="5"/>
      <c r="BQ24" s="5"/>
      <c r="BR24" s="5"/>
      <c r="BS24" s="5"/>
      <c r="BT24" s="5">
        <f>SUM(BM24:BS24)</f>
        <v>0</v>
      </c>
      <c r="BV24" s="5">
        <f t="shared" si="45"/>
        <v>1032</v>
      </c>
      <c r="BW24" s="5">
        <f t="shared" si="46"/>
        <v>0</v>
      </c>
      <c r="BX24" s="5">
        <f t="shared" si="47"/>
        <v>0</v>
      </c>
      <c r="BY24" s="5">
        <f t="shared" si="48"/>
        <v>0</v>
      </c>
      <c r="BZ24" s="5">
        <f t="shared" si="49"/>
        <v>0</v>
      </c>
      <c r="CA24" s="5">
        <f t="shared" si="50"/>
        <v>0</v>
      </c>
      <c r="CB24" s="5"/>
      <c r="CC24" s="5">
        <f>SUM(BV24:CB24)</f>
        <v>1032</v>
      </c>
    </row>
    <row r="25" spans="1:83">
      <c r="A25" s="13"/>
      <c r="B25" s="5"/>
      <c r="C25" s="5"/>
      <c r="D25" s="5"/>
      <c r="E25" s="5"/>
      <c r="F25" s="5"/>
      <c r="G25" s="5"/>
      <c r="H25" s="5"/>
      <c r="I25" s="5"/>
      <c r="J25" s="7"/>
      <c r="K25" s="5"/>
      <c r="L25" s="5"/>
      <c r="M25" s="5"/>
      <c r="N25" s="5"/>
      <c r="O25" s="5"/>
      <c r="P25" s="5"/>
      <c r="Q25" s="5"/>
      <c r="R25" s="5"/>
      <c r="T25" s="5"/>
      <c r="U25" s="5"/>
      <c r="V25" s="5"/>
      <c r="W25" s="5"/>
      <c r="X25" s="5"/>
      <c r="Y25" s="5"/>
      <c r="Z25" s="5"/>
      <c r="AA25" s="5"/>
      <c r="AC25" s="5"/>
      <c r="AD25" s="5"/>
      <c r="AE25" s="5"/>
      <c r="AF25" s="5"/>
      <c r="AG25" s="5"/>
      <c r="AH25" s="5"/>
      <c r="AI25" s="5"/>
      <c r="AJ25" s="5"/>
      <c r="AL25" s="5"/>
      <c r="AM25" s="5"/>
      <c r="AN25" s="5"/>
      <c r="AO25" s="5"/>
      <c r="AP25" s="5"/>
      <c r="AQ25" s="5"/>
      <c r="AR25" s="5"/>
      <c r="AS25" s="5"/>
      <c r="AU25" s="5"/>
      <c r="AV25" s="5"/>
      <c r="AW25" s="5"/>
      <c r="AX25" s="5"/>
      <c r="AY25" s="5"/>
      <c r="AZ25" s="5"/>
      <c r="BA25" s="5"/>
      <c r="BB25" s="5"/>
      <c r="BD25" s="5"/>
      <c r="BE25" s="5"/>
      <c r="BF25" s="5"/>
      <c r="BG25" s="5"/>
      <c r="BH25" s="5"/>
      <c r="BI25" s="5"/>
      <c r="BJ25" s="5"/>
      <c r="BK25" s="5"/>
      <c r="BM25" s="5"/>
      <c r="BN25" s="5"/>
      <c r="BO25" s="5"/>
      <c r="BP25" s="5"/>
      <c r="BQ25" s="5"/>
      <c r="BR25" s="5"/>
      <c r="BS25" s="5"/>
      <c r="BT25" s="5"/>
      <c r="BV25" s="5"/>
      <c r="BW25" s="5"/>
      <c r="BX25" s="5"/>
      <c r="BY25" s="5"/>
      <c r="BZ25" s="5"/>
      <c r="CA25" s="5"/>
      <c r="CB25" s="5"/>
      <c r="CC25" s="5"/>
    </row>
    <row r="26" spans="1:83" ht="15">
      <c r="A26" s="24" t="s">
        <v>28</v>
      </c>
      <c r="B26" s="18" t="str">
        <f t="shared" ref="B26:I26" si="51">B1</f>
        <v>Operating</v>
      </c>
      <c r="C26" s="18" t="str">
        <f t="shared" si="51"/>
        <v>SPED</v>
      </c>
      <c r="D26" s="18" t="str">
        <f t="shared" si="51"/>
        <v>NSLP</v>
      </c>
      <c r="E26" s="18" t="str">
        <f t="shared" si="51"/>
        <v>Other</v>
      </c>
      <c r="F26" s="18" t="str">
        <f t="shared" si="51"/>
        <v>Title I</v>
      </c>
      <c r="G26" s="18" t="str">
        <f t="shared" si="51"/>
        <v>SGF</v>
      </c>
      <c r="H26" s="18" t="str">
        <f t="shared" si="51"/>
        <v>Title III</v>
      </c>
      <c r="I26" s="18" t="str">
        <f t="shared" si="51"/>
        <v>Horizon</v>
      </c>
      <c r="J26" s="19"/>
      <c r="K26" s="18" t="str">
        <f t="shared" ref="K26:R26" si="52">K1</f>
        <v>Operating</v>
      </c>
      <c r="L26" s="18" t="str">
        <f t="shared" si="52"/>
        <v>SPED</v>
      </c>
      <c r="M26" s="18" t="str">
        <f t="shared" si="52"/>
        <v>NSLP</v>
      </c>
      <c r="N26" s="18" t="str">
        <f t="shared" si="52"/>
        <v>Other</v>
      </c>
      <c r="O26" s="18" t="str">
        <f t="shared" si="52"/>
        <v>Title I</v>
      </c>
      <c r="P26" s="18" t="str">
        <f t="shared" si="52"/>
        <v>SGF</v>
      </c>
      <c r="Q26" s="18" t="str">
        <f t="shared" si="52"/>
        <v>Title III</v>
      </c>
      <c r="R26" s="18" t="str">
        <f t="shared" si="52"/>
        <v>St. Rose</v>
      </c>
      <c r="T26" s="18" t="str">
        <f t="shared" ref="T26:AA26" si="53">T1</f>
        <v>Operating</v>
      </c>
      <c r="U26" s="18" t="str">
        <f t="shared" si="53"/>
        <v>SPED</v>
      </c>
      <c r="V26" s="18" t="str">
        <f t="shared" si="53"/>
        <v>NSLP</v>
      </c>
      <c r="W26" s="18" t="str">
        <f t="shared" si="53"/>
        <v>Other</v>
      </c>
      <c r="X26" s="18" t="str">
        <f t="shared" si="53"/>
        <v>Title I</v>
      </c>
      <c r="Y26" s="18" t="str">
        <f t="shared" si="53"/>
        <v>SGF</v>
      </c>
      <c r="Z26" s="18" t="str">
        <f t="shared" si="53"/>
        <v>Title III</v>
      </c>
      <c r="AA26" s="18" t="str">
        <f t="shared" si="53"/>
        <v>Inspirada</v>
      </c>
      <c r="AC26" s="18" t="str">
        <f t="shared" ref="AC26:AJ26" si="54">AC1</f>
        <v>Operating</v>
      </c>
      <c r="AD26" s="18" t="str">
        <f t="shared" si="54"/>
        <v>SPED</v>
      </c>
      <c r="AE26" s="18" t="str">
        <f t="shared" si="54"/>
        <v>NSLP</v>
      </c>
      <c r="AF26" s="18" t="str">
        <f t="shared" si="54"/>
        <v>Other</v>
      </c>
      <c r="AG26" s="18" t="str">
        <f t="shared" si="54"/>
        <v>Title I</v>
      </c>
      <c r="AH26" s="18" t="str">
        <f t="shared" si="54"/>
        <v>SGF</v>
      </c>
      <c r="AI26" s="18" t="str">
        <f t="shared" si="54"/>
        <v>Title III</v>
      </c>
      <c r="AJ26" s="18" t="str">
        <f t="shared" si="54"/>
        <v>Cadence</v>
      </c>
      <c r="AL26" s="18" t="str">
        <f t="shared" ref="AL26:AS26" si="55">AL1</f>
        <v>Operating</v>
      </c>
      <c r="AM26" s="18" t="str">
        <f t="shared" si="55"/>
        <v>SPED</v>
      </c>
      <c r="AN26" s="18" t="str">
        <f t="shared" si="55"/>
        <v>NSLP</v>
      </c>
      <c r="AO26" s="18" t="str">
        <f t="shared" si="55"/>
        <v>Other</v>
      </c>
      <c r="AP26" s="18" t="str">
        <f t="shared" si="55"/>
        <v>Title I</v>
      </c>
      <c r="AQ26" s="18" t="str">
        <f t="shared" si="55"/>
        <v>SGF</v>
      </c>
      <c r="AR26" s="18" t="str">
        <f t="shared" si="55"/>
        <v>Title III</v>
      </c>
      <c r="AS26" s="18" t="str">
        <f t="shared" si="55"/>
        <v>Sloan</v>
      </c>
      <c r="AU26" s="18" t="str">
        <f t="shared" ref="AU26:BB26" si="56">AU1</f>
        <v>Operating</v>
      </c>
      <c r="AV26" s="18" t="str">
        <f t="shared" si="56"/>
        <v>SPED</v>
      </c>
      <c r="AW26" s="18" t="str">
        <f t="shared" si="56"/>
        <v>NSLP</v>
      </c>
      <c r="AX26" s="18" t="str">
        <f t="shared" si="56"/>
        <v>Other</v>
      </c>
      <c r="AY26" s="18" t="str">
        <f t="shared" si="56"/>
        <v>Title I</v>
      </c>
      <c r="AZ26" s="18" t="str">
        <f t="shared" si="56"/>
        <v>SGF</v>
      </c>
      <c r="BA26" s="18" t="str">
        <f t="shared" si="56"/>
        <v>Title III</v>
      </c>
      <c r="BB26" s="18" t="str">
        <f t="shared" si="56"/>
        <v>Virtual</v>
      </c>
      <c r="BD26" s="18" t="str">
        <f t="shared" ref="BD26:BK26" si="57">BD1</f>
        <v>Operating</v>
      </c>
      <c r="BE26" s="18" t="str">
        <f t="shared" si="57"/>
        <v>SPED</v>
      </c>
      <c r="BF26" s="18" t="str">
        <f t="shared" si="57"/>
        <v>NSLP</v>
      </c>
      <c r="BG26" s="18" t="str">
        <f t="shared" si="57"/>
        <v>Other</v>
      </c>
      <c r="BH26" s="18" t="str">
        <f t="shared" si="57"/>
        <v>Title I</v>
      </c>
      <c r="BI26" s="18" t="str">
        <f t="shared" si="57"/>
        <v>SGF</v>
      </c>
      <c r="BJ26" s="18" t="str">
        <f t="shared" si="57"/>
        <v>Title III</v>
      </c>
      <c r="BK26" s="18" t="str">
        <f t="shared" si="57"/>
        <v>Springs</v>
      </c>
      <c r="BM26" s="18" t="str">
        <f t="shared" ref="BM26:BT26" si="58">BM1</f>
        <v>Operating</v>
      </c>
      <c r="BN26" s="18" t="str">
        <f t="shared" si="58"/>
        <v>SPED</v>
      </c>
      <c r="BO26" s="18" t="str">
        <f t="shared" si="58"/>
        <v>NSLP</v>
      </c>
      <c r="BP26" s="18" t="str">
        <f t="shared" si="58"/>
        <v>Other</v>
      </c>
      <c r="BQ26" s="18" t="str">
        <f t="shared" si="58"/>
        <v>Title I</v>
      </c>
      <c r="BR26" s="18" t="str">
        <f t="shared" si="58"/>
        <v>SGF</v>
      </c>
      <c r="BS26" s="18" t="str">
        <f t="shared" si="58"/>
        <v>Title III</v>
      </c>
      <c r="BT26" s="18" t="str">
        <f t="shared" si="58"/>
        <v>Exec. Office</v>
      </c>
      <c r="BV26" s="18" t="str">
        <f t="shared" ref="BV26:CC26" si="59">BV1</f>
        <v>Operating</v>
      </c>
      <c r="BW26" s="18" t="str">
        <f t="shared" si="59"/>
        <v>SPED</v>
      </c>
      <c r="BX26" s="18" t="str">
        <f t="shared" si="59"/>
        <v>NSLP</v>
      </c>
      <c r="BY26" s="18" t="str">
        <f t="shared" si="59"/>
        <v>Other</v>
      </c>
      <c r="BZ26" s="18" t="str">
        <f t="shared" si="59"/>
        <v>Title I</v>
      </c>
      <c r="CA26" s="18" t="str">
        <f t="shared" si="59"/>
        <v>SGF</v>
      </c>
      <c r="CB26" s="18" t="str">
        <f t="shared" si="59"/>
        <v>Title III</v>
      </c>
      <c r="CC26" s="18" t="str">
        <f t="shared" si="59"/>
        <v>Systemwide</v>
      </c>
    </row>
    <row r="27" spans="1:83">
      <c r="A27" s="25" t="s">
        <v>29</v>
      </c>
      <c r="B27" s="26">
        <v>35</v>
      </c>
      <c r="C27" s="26"/>
      <c r="D27" s="26"/>
      <c r="E27" s="26"/>
      <c r="F27" s="26"/>
      <c r="G27" s="26"/>
      <c r="H27" s="26"/>
      <c r="I27" s="26">
        <f t="shared" ref="I27:I35" si="60">SUM(B27:H27)</f>
        <v>35</v>
      </c>
      <c r="J27" s="12"/>
      <c r="K27" s="26">
        <v>36</v>
      </c>
      <c r="L27" s="26"/>
      <c r="M27" s="26"/>
      <c r="N27" s="26"/>
      <c r="O27" s="26"/>
      <c r="P27" s="26"/>
      <c r="Q27" s="26"/>
      <c r="R27" s="26">
        <f t="shared" ref="R27:R32" si="61">SUM(K27:Q27)</f>
        <v>36</v>
      </c>
      <c r="T27" s="26">
        <v>45</v>
      </c>
      <c r="U27" s="26"/>
      <c r="V27" s="26"/>
      <c r="W27" s="26"/>
      <c r="X27" s="26"/>
      <c r="Y27" s="26"/>
      <c r="Z27" s="26"/>
      <c r="AA27" s="26">
        <f t="shared" ref="AA27:AA32" si="62">SUM(T27:Z27)</f>
        <v>45</v>
      </c>
      <c r="AC27" s="26">
        <v>79</v>
      </c>
      <c r="AD27" s="26"/>
      <c r="AE27" s="26"/>
      <c r="AF27" s="26"/>
      <c r="AG27" s="26"/>
      <c r="AH27" s="26"/>
      <c r="AI27" s="26"/>
      <c r="AJ27" s="26">
        <f t="shared" ref="AJ27:AJ32" si="63">SUM(AC27:AI27)</f>
        <v>79</v>
      </c>
      <c r="AL27" s="26">
        <v>78</v>
      </c>
      <c r="AM27" s="26"/>
      <c r="AN27" s="26"/>
      <c r="AO27" s="26"/>
      <c r="AP27" s="26"/>
      <c r="AQ27" s="26"/>
      <c r="AR27" s="26"/>
      <c r="AS27" s="26">
        <f t="shared" ref="AS27:AS32" si="64">SUM(AL27:AR27)</f>
        <v>78</v>
      </c>
      <c r="AU27" s="26"/>
      <c r="AV27" s="26"/>
      <c r="AW27" s="26"/>
      <c r="AX27" s="26"/>
      <c r="AY27" s="26"/>
      <c r="AZ27" s="26"/>
      <c r="BA27" s="26"/>
      <c r="BB27" s="26">
        <f t="shared" ref="BB27:BB32" si="65">SUM(AU27:BA27)</f>
        <v>0</v>
      </c>
      <c r="BD27" s="26">
        <v>8</v>
      </c>
      <c r="BE27" s="26"/>
      <c r="BF27" s="26"/>
      <c r="BG27" s="26"/>
      <c r="BH27" s="26"/>
      <c r="BI27" s="26"/>
      <c r="BJ27" s="26"/>
      <c r="BK27" s="26">
        <f t="shared" ref="BK27:BK32" si="66">SUM(BD27:BJ27)</f>
        <v>8</v>
      </c>
      <c r="BM27" s="26"/>
      <c r="BN27" s="26"/>
      <c r="BO27" s="26"/>
      <c r="BP27" s="26"/>
      <c r="BQ27" s="26"/>
      <c r="BR27" s="26"/>
      <c r="BS27" s="26"/>
      <c r="BT27" s="26">
        <f t="shared" ref="BT27:BT32" si="67">SUM(BM27:BS27)</f>
        <v>0</v>
      </c>
      <c r="BV27" s="26">
        <f>B27+K27+T27+AC27+AL27+AU27+BD27+BM27</f>
        <v>281</v>
      </c>
      <c r="BW27" s="26">
        <f t="shared" ref="BW27" si="68">C27+L27+U27+AD27+AM27+AV27+BE27+BN27</f>
        <v>0</v>
      </c>
      <c r="BX27" s="26">
        <f t="shared" ref="BX27" si="69">D27+M27+V27+AE27+AN27+AW27+BF27+BO27</f>
        <v>0</v>
      </c>
      <c r="BY27" s="26">
        <f t="shared" ref="BY27" si="70">E27+N27+W27+AF27+AO27+AX27+BG27+BP27</f>
        <v>0</v>
      </c>
      <c r="BZ27" s="26">
        <f t="shared" ref="BZ27" si="71">F27+O27+X27+AG27+AP27+AY27+BH27+BQ27</f>
        <v>0</v>
      </c>
      <c r="CA27" s="26">
        <f t="shared" ref="CA27" si="72">G27+P27+Y27+AH27+AQ27+AZ27+BI27+BR27</f>
        <v>0</v>
      </c>
      <c r="CB27" s="26"/>
      <c r="CC27" s="26">
        <f t="shared" ref="CC27:CC28" si="73">SUM(BV27:CB27)</f>
        <v>281</v>
      </c>
    </row>
    <row r="28" spans="1:83">
      <c r="A28" s="25" t="s">
        <v>30</v>
      </c>
      <c r="B28" s="27">
        <v>0</v>
      </c>
      <c r="C28" s="27">
        <v>5</v>
      </c>
      <c r="D28" s="27"/>
      <c r="E28" s="27"/>
      <c r="F28" s="27"/>
      <c r="G28" s="27"/>
      <c r="H28" s="27"/>
      <c r="I28" s="26">
        <f t="shared" si="60"/>
        <v>5</v>
      </c>
      <c r="J28" s="12"/>
      <c r="K28" s="27">
        <v>0</v>
      </c>
      <c r="L28" s="27">
        <v>4</v>
      </c>
      <c r="M28" s="27"/>
      <c r="N28" s="27"/>
      <c r="O28" s="27"/>
      <c r="P28" s="27"/>
      <c r="Q28" s="27"/>
      <c r="R28" s="26">
        <f t="shared" si="61"/>
        <v>4</v>
      </c>
      <c r="T28" s="27"/>
      <c r="U28" s="27">
        <v>5</v>
      </c>
      <c r="V28" s="27"/>
      <c r="W28" s="27"/>
      <c r="X28" s="27"/>
      <c r="Y28" s="27"/>
      <c r="Z28" s="27"/>
      <c r="AA28" s="26">
        <f t="shared" si="62"/>
        <v>5</v>
      </c>
      <c r="AC28" s="27">
        <v>0</v>
      </c>
      <c r="AD28" s="27">
        <v>13</v>
      </c>
      <c r="AE28" s="27"/>
      <c r="AF28" s="27"/>
      <c r="AG28" s="27"/>
      <c r="AH28" s="27"/>
      <c r="AI28" s="27"/>
      <c r="AJ28" s="26">
        <f t="shared" si="63"/>
        <v>13</v>
      </c>
      <c r="AL28" s="27">
        <v>0</v>
      </c>
      <c r="AM28" s="27">
        <v>12</v>
      </c>
      <c r="AN28" s="27"/>
      <c r="AO28" s="27"/>
      <c r="AP28" s="27"/>
      <c r="AQ28" s="27"/>
      <c r="AR28" s="27"/>
      <c r="AS28" s="26">
        <f t="shared" si="64"/>
        <v>12</v>
      </c>
      <c r="AU28" s="27"/>
      <c r="AV28" s="27">
        <v>1</v>
      </c>
      <c r="AW28" s="27"/>
      <c r="AX28" s="27"/>
      <c r="AY28" s="27"/>
      <c r="AZ28" s="27"/>
      <c r="BA28" s="27"/>
      <c r="BB28" s="26">
        <f t="shared" si="65"/>
        <v>1</v>
      </c>
      <c r="BD28" s="27">
        <v>0</v>
      </c>
      <c r="BE28" s="27">
        <v>1</v>
      </c>
      <c r="BF28" s="27"/>
      <c r="BG28" s="27"/>
      <c r="BH28" s="27"/>
      <c r="BI28" s="27"/>
      <c r="BJ28" s="27"/>
      <c r="BK28" s="26">
        <f t="shared" si="66"/>
        <v>1</v>
      </c>
      <c r="BM28" s="27"/>
      <c r="BN28" s="27"/>
      <c r="BO28" s="27"/>
      <c r="BP28" s="27"/>
      <c r="BQ28" s="27"/>
      <c r="BR28" s="27"/>
      <c r="BS28" s="27"/>
      <c r="BT28" s="26">
        <f t="shared" si="67"/>
        <v>0</v>
      </c>
      <c r="BV28" s="26">
        <f t="shared" ref="BV28:BV35" si="74">B28+K28+T28+AC28+AL28+AU28+BD28+BM28</f>
        <v>0</v>
      </c>
      <c r="BW28" s="26">
        <f t="shared" ref="BW28:BW35" si="75">C28+L28+U28+AD28+AM28+AV28+BE28+BN28</f>
        <v>41</v>
      </c>
      <c r="BX28" s="26">
        <f t="shared" ref="BX28:BX35" si="76">D28+M28+V28+AE28+AN28+AW28+BF28+BO28</f>
        <v>0</v>
      </c>
      <c r="BY28" s="26">
        <f t="shared" ref="BY28:BY35" si="77">E28+N28+W28+AF28+AO28+AX28+BG28+BP28</f>
        <v>0</v>
      </c>
      <c r="BZ28" s="26">
        <f t="shared" ref="BZ28:BZ35" si="78">F28+O28+X28+AG28+AP28+AY28+BH28+BQ28</f>
        <v>0</v>
      </c>
      <c r="CA28" s="26">
        <f t="shared" ref="CA28:CA35" si="79">G28+P28+Y28+AH28+AQ28+AZ28+BI28+BR28</f>
        <v>0</v>
      </c>
      <c r="CB28" s="27"/>
      <c r="CC28" s="26">
        <f t="shared" si="73"/>
        <v>41</v>
      </c>
    </row>
    <row r="29" spans="1:83">
      <c r="A29" s="25" t="s">
        <v>31</v>
      </c>
      <c r="B29" s="26">
        <v>1</v>
      </c>
      <c r="C29" s="26"/>
      <c r="D29" s="26"/>
      <c r="E29" s="26"/>
      <c r="F29" s="26"/>
      <c r="G29" s="26"/>
      <c r="H29" s="26"/>
      <c r="I29" s="26">
        <f t="shared" si="60"/>
        <v>1</v>
      </c>
      <c r="K29" s="26">
        <v>1</v>
      </c>
      <c r="L29" s="26"/>
      <c r="M29" s="26"/>
      <c r="N29" s="26"/>
      <c r="O29" s="26"/>
      <c r="P29" s="26"/>
      <c r="Q29" s="26"/>
      <c r="R29" s="26">
        <f>SUM(K29:Q29)</f>
        <v>1</v>
      </c>
      <c r="T29" s="26">
        <v>1</v>
      </c>
      <c r="U29" s="26"/>
      <c r="V29" s="26"/>
      <c r="W29" s="26"/>
      <c r="X29" s="26"/>
      <c r="Y29" s="26"/>
      <c r="Z29" s="26"/>
      <c r="AA29" s="26">
        <f>SUM(T29:Z29)</f>
        <v>1</v>
      </c>
      <c r="AC29" s="26">
        <v>2</v>
      </c>
      <c r="AD29" s="26"/>
      <c r="AE29" s="26"/>
      <c r="AF29" s="26"/>
      <c r="AG29" s="26"/>
      <c r="AH29" s="26"/>
      <c r="AI29" s="26"/>
      <c r="AJ29" s="26">
        <f>SUM(AC29:AI29)</f>
        <v>2</v>
      </c>
      <c r="AL29" s="26">
        <v>2</v>
      </c>
      <c r="AM29" s="26"/>
      <c r="AN29" s="26"/>
      <c r="AO29" s="26"/>
      <c r="AP29" s="26"/>
      <c r="AQ29" s="26"/>
      <c r="AR29" s="26"/>
      <c r="AS29" s="26">
        <f>SUM(AL29:AR29)</f>
        <v>2</v>
      </c>
      <c r="AU29" s="26"/>
      <c r="AV29" s="26"/>
      <c r="AW29" s="26"/>
      <c r="AX29" s="26"/>
      <c r="AY29" s="26"/>
      <c r="AZ29" s="26"/>
      <c r="BA29" s="26"/>
      <c r="BB29" s="26">
        <f>SUM(AU29:BA29)</f>
        <v>0</v>
      </c>
      <c r="BD29" s="26">
        <v>0</v>
      </c>
      <c r="BE29" s="26"/>
      <c r="BF29" s="26"/>
      <c r="BG29" s="26"/>
      <c r="BH29" s="26"/>
      <c r="BI29" s="26"/>
      <c r="BJ29" s="26"/>
      <c r="BK29" s="26">
        <f>SUM(BD29:BJ29)</f>
        <v>0</v>
      </c>
      <c r="BM29" s="26"/>
      <c r="BN29" s="26"/>
      <c r="BO29" s="26"/>
      <c r="BP29" s="26"/>
      <c r="BQ29" s="26"/>
      <c r="BR29" s="26"/>
      <c r="BS29" s="26"/>
      <c r="BT29" s="26">
        <f>SUM(BM29:BS29)</f>
        <v>0</v>
      </c>
      <c r="BV29" s="26">
        <f t="shared" si="74"/>
        <v>7</v>
      </c>
      <c r="BW29" s="26">
        <f t="shared" si="75"/>
        <v>0</v>
      </c>
      <c r="BX29" s="26">
        <f t="shared" si="76"/>
        <v>0</v>
      </c>
      <c r="BY29" s="26">
        <f t="shared" si="77"/>
        <v>0</v>
      </c>
      <c r="BZ29" s="26">
        <f t="shared" si="78"/>
        <v>0</v>
      </c>
      <c r="CA29" s="26">
        <f t="shared" si="79"/>
        <v>0</v>
      </c>
      <c r="CB29" s="26"/>
      <c r="CC29" s="26">
        <f>SUM(BV29:CB29)</f>
        <v>7</v>
      </c>
    </row>
    <row r="30" spans="1:83">
      <c r="A30" s="25" t="s">
        <v>32</v>
      </c>
      <c r="B30" s="26">
        <v>1</v>
      </c>
      <c r="C30" s="26"/>
      <c r="D30" s="26"/>
      <c r="E30" s="26"/>
      <c r="F30" s="26"/>
      <c r="G30" s="26"/>
      <c r="H30" s="26"/>
      <c r="I30" s="26">
        <f t="shared" si="60"/>
        <v>1</v>
      </c>
      <c r="K30" s="26">
        <v>1</v>
      </c>
      <c r="L30" s="26"/>
      <c r="M30" s="26"/>
      <c r="N30" s="26"/>
      <c r="O30" s="26"/>
      <c r="P30" s="26"/>
      <c r="Q30" s="26"/>
      <c r="R30" s="26">
        <f t="shared" si="61"/>
        <v>1</v>
      </c>
      <c r="T30" s="26">
        <v>1</v>
      </c>
      <c r="U30" s="26"/>
      <c r="V30" s="26"/>
      <c r="W30" s="26"/>
      <c r="X30" s="26"/>
      <c r="Y30" s="26"/>
      <c r="Z30" s="26"/>
      <c r="AA30" s="26">
        <f t="shared" si="62"/>
        <v>1</v>
      </c>
      <c r="AC30" s="26">
        <v>2</v>
      </c>
      <c r="AD30" s="26"/>
      <c r="AE30" s="26"/>
      <c r="AF30" s="26"/>
      <c r="AG30" s="26"/>
      <c r="AH30" s="26"/>
      <c r="AI30" s="26"/>
      <c r="AJ30" s="26">
        <f t="shared" si="63"/>
        <v>2</v>
      </c>
      <c r="AL30" s="26">
        <v>3</v>
      </c>
      <c r="AM30" s="26"/>
      <c r="AN30" s="26"/>
      <c r="AO30" s="26"/>
      <c r="AP30" s="26"/>
      <c r="AQ30" s="26"/>
      <c r="AR30" s="26"/>
      <c r="AS30" s="26">
        <f t="shared" si="64"/>
        <v>3</v>
      </c>
      <c r="AU30" s="26"/>
      <c r="AV30" s="26"/>
      <c r="AW30" s="26"/>
      <c r="AX30" s="26"/>
      <c r="AY30" s="26"/>
      <c r="AZ30" s="26"/>
      <c r="BA30" s="26"/>
      <c r="BB30" s="26">
        <f t="shared" si="65"/>
        <v>0</v>
      </c>
      <c r="BD30" s="26">
        <v>0</v>
      </c>
      <c r="BE30" s="26"/>
      <c r="BF30" s="26"/>
      <c r="BG30" s="26"/>
      <c r="BH30" s="26"/>
      <c r="BI30" s="26"/>
      <c r="BJ30" s="26"/>
      <c r="BK30" s="26">
        <f t="shared" si="66"/>
        <v>0</v>
      </c>
      <c r="BM30" s="26">
        <v>1</v>
      </c>
      <c r="BN30" s="26"/>
      <c r="BO30" s="26"/>
      <c r="BP30" s="26"/>
      <c r="BQ30" s="26"/>
      <c r="BR30" s="26"/>
      <c r="BS30" s="26"/>
      <c r="BT30" s="26">
        <f t="shared" si="67"/>
        <v>1</v>
      </c>
      <c r="BV30" s="26">
        <f t="shared" si="74"/>
        <v>9</v>
      </c>
      <c r="BW30" s="26">
        <f t="shared" si="75"/>
        <v>0</v>
      </c>
      <c r="BX30" s="26">
        <f t="shared" si="76"/>
        <v>0</v>
      </c>
      <c r="BY30" s="26">
        <f t="shared" si="77"/>
        <v>0</v>
      </c>
      <c r="BZ30" s="26">
        <f t="shared" si="78"/>
        <v>0</v>
      </c>
      <c r="CA30" s="26">
        <f t="shared" si="79"/>
        <v>0</v>
      </c>
      <c r="CB30" s="26"/>
      <c r="CC30" s="26">
        <f t="shared" ref="CC30:CC32" si="80">SUM(BV30:CB30)</f>
        <v>9</v>
      </c>
    </row>
    <row r="31" spans="1:83">
      <c r="A31" s="25" t="s">
        <v>33</v>
      </c>
      <c r="B31" s="26">
        <v>1</v>
      </c>
      <c r="C31" s="26"/>
      <c r="D31" s="26"/>
      <c r="E31" s="26"/>
      <c r="F31" s="26"/>
      <c r="G31" s="26"/>
      <c r="H31" s="26"/>
      <c r="I31" s="26">
        <f t="shared" si="60"/>
        <v>1</v>
      </c>
      <c r="K31" s="26">
        <v>1</v>
      </c>
      <c r="L31" s="26"/>
      <c r="M31" s="26"/>
      <c r="N31" s="26"/>
      <c r="O31" s="26"/>
      <c r="P31" s="26"/>
      <c r="Q31" s="26"/>
      <c r="R31" s="26">
        <f t="shared" si="61"/>
        <v>1</v>
      </c>
      <c r="T31" s="26">
        <v>1</v>
      </c>
      <c r="U31" s="26"/>
      <c r="V31" s="26"/>
      <c r="W31" s="26"/>
      <c r="X31" s="26"/>
      <c r="Y31" s="26"/>
      <c r="Z31" s="26"/>
      <c r="AA31" s="26">
        <f t="shared" si="62"/>
        <v>1</v>
      </c>
      <c r="AC31" s="26">
        <v>3</v>
      </c>
      <c r="AD31" s="26"/>
      <c r="AE31" s="26"/>
      <c r="AF31" s="26"/>
      <c r="AG31" s="26"/>
      <c r="AH31" s="26"/>
      <c r="AI31" s="26"/>
      <c r="AJ31" s="26">
        <f t="shared" si="63"/>
        <v>3</v>
      </c>
      <c r="AL31" s="26">
        <v>2</v>
      </c>
      <c r="AM31" s="26"/>
      <c r="AN31" s="26"/>
      <c r="AO31" s="26"/>
      <c r="AP31" s="26"/>
      <c r="AQ31" s="26"/>
      <c r="AR31" s="26"/>
      <c r="AS31" s="26">
        <f t="shared" si="64"/>
        <v>2</v>
      </c>
      <c r="AU31" s="26"/>
      <c r="AV31" s="26"/>
      <c r="AW31" s="26"/>
      <c r="AX31" s="26"/>
      <c r="AY31" s="26"/>
      <c r="AZ31" s="26"/>
      <c r="BA31" s="26"/>
      <c r="BB31" s="26">
        <f t="shared" si="65"/>
        <v>0</v>
      </c>
      <c r="BD31" s="26">
        <v>1</v>
      </c>
      <c r="BE31" s="26"/>
      <c r="BF31" s="26"/>
      <c r="BG31" s="26"/>
      <c r="BH31" s="26"/>
      <c r="BI31" s="26"/>
      <c r="BJ31" s="26"/>
      <c r="BK31" s="26">
        <f t="shared" si="66"/>
        <v>1</v>
      </c>
      <c r="BM31" s="26"/>
      <c r="BN31" s="26"/>
      <c r="BO31" s="26"/>
      <c r="BP31" s="26"/>
      <c r="BQ31" s="26"/>
      <c r="BR31" s="26"/>
      <c r="BS31" s="26"/>
      <c r="BT31" s="26">
        <f t="shared" si="67"/>
        <v>0</v>
      </c>
      <c r="BV31" s="26">
        <f t="shared" si="74"/>
        <v>9</v>
      </c>
      <c r="BW31" s="26">
        <f t="shared" si="75"/>
        <v>0</v>
      </c>
      <c r="BX31" s="26">
        <f t="shared" si="76"/>
        <v>0</v>
      </c>
      <c r="BY31" s="26">
        <f t="shared" si="77"/>
        <v>0</v>
      </c>
      <c r="BZ31" s="26">
        <f t="shared" si="78"/>
        <v>0</v>
      </c>
      <c r="CA31" s="26">
        <f t="shared" si="79"/>
        <v>0</v>
      </c>
      <c r="CB31" s="26"/>
      <c r="CC31" s="26">
        <f t="shared" si="80"/>
        <v>9</v>
      </c>
    </row>
    <row r="32" spans="1:83">
      <c r="A32" s="28" t="s">
        <v>34</v>
      </c>
      <c r="B32" s="26">
        <v>1</v>
      </c>
      <c r="C32" s="26"/>
      <c r="D32" s="26"/>
      <c r="E32" s="26"/>
      <c r="F32" s="26"/>
      <c r="G32" s="26"/>
      <c r="H32" s="26"/>
      <c r="I32" s="26">
        <f t="shared" si="60"/>
        <v>1</v>
      </c>
      <c r="K32" s="26">
        <v>1</v>
      </c>
      <c r="L32" s="26"/>
      <c r="M32" s="26"/>
      <c r="N32" s="26"/>
      <c r="O32" s="26"/>
      <c r="P32" s="26"/>
      <c r="Q32" s="26"/>
      <c r="R32" s="26">
        <f t="shared" si="61"/>
        <v>1</v>
      </c>
      <c r="T32" s="26">
        <v>1</v>
      </c>
      <c r="U32" s="26"/>
      <c r="V32" s="26"/>
      <c r="W32" s="26"/>
      <c r="X32" s="26"/>
      <c r="Y32" s="26"/>
      <c r="Z32" s="26"/>
      <c r="AA32" s="26">
        <f t="shared" si="62"/>
        <v>1</v>
      </c>
      <c r="AC32" s="26">
        <v>2</v>
      </c>
      <c r="AD32" s="26"/>
      <c r="AE32" s="26"/>
      <c r="AF32" s="26"/>
      <c r="AG32" s="26"/>
      <c r="AH32" s="26"/>
      <c r="AI32" s="26"/>
      <c r="AJ32" s="26">
        <f t="shared" si="63"/>
        <v>2</v>
      </c>
      <c r="AL32" s="26">
        <v>2</v>
      </c>
      <c r="AM32" s="26"/>
      <c r="AN32" s="26"/>
      <c r="AO32" s="26"/>
      <c r="AP32" s="26"/>
      <c r="AQ32" s="26"/>
      <c r="AR32" s="26"/>
      <c r="AS32" s="26">
        <f t="shared" si="64"/>
        <v>2</v>
      </c>
      <c r="AU32" s="26"/>
      <c r="AV32" s="26"/>
      <c r="AW32" s="26"/>
      <c r="AX32" s="26"/>
      <c r="AY32" s="26"/>
      <c r="AZ32" s="26"/>
      <c r="BA32" s="26"/>
      <c r="BB32" s="26">
        <f t="shared" si="65"/>
        <v>0</v>
      </c>
      <c r="BD32" s="26">
        <v>0</v>
      </c>
      <c r="BE32" s="26"/>
      <c r="BF32" s="26"/>
      <c r="BG32" s="26"/>
      <c r="BH32" s="26"/>
      <c r="BI32" s="26"/>
      <c r="BJ32" s="26"/>
      <c r="BK32" s="26">
        <f t="shared" si="66"/>
        <v>0</v>
      </c>
      <c r="BM32" s="26"/>
      <c r="BN32" s="26"/>
      <c r="BO32" s="26"/>
      <c r="BP32" s="26"/>
      <c r="BQ32" s="26"/>
      <c r="BR32" s="26"/>
      <c r="BS32" s="26"/>
      <c r="BT32" s="26">
        <f t="shared" si="67"/>
        <v>0</v>
      </c>
      <c r="BV32" s="26">
        <f t="shared" si="74"/>
        <v>7</v>
      </c>
      <c r="BW32" s="26">
        <f t="shared" si="75"/>
        <v>0</v>
      </c>
      <c r="BX32" s="26">
        <f t="shared" si="76"/>
        <v>0</v>
      </c>
      <c r="BY32" s="26">
        <f t="shared" si="77"/>
        <v>0</v>
      </c>
      <c r="BZ32" s="26">
        <f t="shared" si="78"/>
        <v>0</v>
      </c>
      <c r="CA32" s="26">
        <f t="shared" si="79"/>
        <v>0</v>
      </c>
      <c r="CB32" s="26"/>
      <c r="CC32" s="26">
        <f t="shared" si="80"/>
        <v>7</v>
      </c>
    </row>
    <row r="33" spans="1:81">
      <c r="A33" s="28" t="s">
        <v>35</v>
      </c>
      <c r="B33" s="26">
        <v>1</v>
      </c>
      <c r="C33" s="26"/>
      <c r="D33" s="26"/>
      <c r="E33" s="26"/>
      <c r="F33" s="26"/>
      <c r="G33" s="26"/>
      <c r="H33" s="26"/>
      <c r="I33" s="26">
        <f t="shared" si="60"/>
        <v>1</v>
      </c>
      <c r="K33" s="26">
        <v>1</v>
      </c>
      <c r="L33" s="26"/>
      <c r="M33" s="26"/>
      <c r="N33" s="26"/>
      <c r="O33" s="26"/>
      <c r="P33" s="26"/>
      <c r="Q33" s="26"/>
      <c r="R33" s="26">
        <f>SUM(K33:Q33)</f>
        <v>1</v>
      </c>
      <c r="T33" s="26">
        <v>1</v>
      </c>
      <c r="U33" s="26"/>
      <c r="V33" s="26"/>
      <c r="W33" s="26"/>
      <c r="X33" s="26"/>
      <c r="Y33" s="26"/>
      <c r="Z33" s="26"/>
      <c r="AA33" s="26">
        <f>SUM(T33:Z33)</f>
        <v>1</v>
      </c>
      <c r="AC33" s="26">
        <v>2</v>
      </c>
      <c r="AD33" s="26"/>
      <c r="AE33" s="26"/>
      <c r="AF33" s="26"/>
      <c r="AG33" s="26"/>
      <c r="AH33" s="26"/>
      <c r="AI33" s="26"/>
      <c r="AJ33" s="26">
        <f>SUM(AC33:AI33)</f>
        <v>2</v>
      </c>
      <c r="AL33" s="26">
        <v>2</v>
      </c>
      <c r="AM33" s="26"/>
      <c r="AN33" s="26"/>
      <c r="AO33" s="26"/>
      <c r="AP33" s="26"/>
      <c r="AQ33" s="26"/>
      <c r="AR33" s="26"/>
      <c r="AS33" s="26">
        <f>SUM(AL33:AR33)</f>
        <v>2</v>
      </c>
      <c r="AU33" s="26"/>
      <c r="AV33" s="26"/>
      <c r="AW33" s="26"/>
      <c r="AX33" s="26"/>
      <c r="AY33" s="26"/>
      <c r="AZ33" s="26"/>
      <c r="BA33" s="26"/>
      <c r="BB33" s="26">
        <f>SUM(AU33:BA33)</f>
        <v>0</v>
      </c>
      <c r="BD33" s="26">
        <v>0</v>
      </c>
      <c r="BE33" s="26"/>
      <c r="BF33" s="26"/>
      <c r="BG33" s="26"/>
      <c r="BH33" s="26"/>
      <c r="BI33" s="26"/>
      <c r="BJ33" s="26"/>
      <c r="BK33" s="26">
        <f>SUM(BD33:BJ33)</f>
        <v>0</v>
      </c>
      <c r="BM33" s="26"/>
      <c r="BN33" s="26"/>
      <c r="BO33" s="26"/>
      <c r="BP33" s="26"/>
      <c r="BQ33" s="26"/>
      <c r="BR33" s="26"/>
      <c r="BS33" s="26"/>
      <c r="BT33" s="26">
        <f>SUM(BM33:BS33)</f>
        <v>0</v>
      </c>
      <c r="BV33" s="26">
        <f t="shared" si="74"/>
        <v>7</v>
      </c>
      <c r="BW33" s="26">
        <f t="shared" si="75"/>
        <v>0</v>
      </c>
      <c r="BX33" s="26">
        <f t="shared" si="76"/>
        <v>0</v>
      </c>
      <c r="BY33" s="26">
        <f t="shared" si="77"/>
        <v>0</v>
      </c>
      <c r="BZ33" s="26">
        <f t="shared" si="78"/>
        <v>0</v>
      </c>
      <c r="CA33" s="26">
        <f t="shared" si="79"/>
        <v>0</v>
      </c>
      <c r="CB33" s="26"/>
      <c r="CC33" s="26">
        <f>SUM(BV33:CB33)</f>
        <v>7</v>
      </c>
    </row>
    <row r="34" spans="1:81">
      <c r="A34" s="28" t="s">
        <v>36</v>
      </c>
      <c r="B34" s="26">
        <v>1</v>
      </c>
      <c r="C34" s="26"/>
      <c r="D34" s="26"/>
      <c r="E34" s="26"/>
      <c r="F34" s="26"/>
      <c r="G34" s="26"/>
      <c r="H34" s="26"/>
      <c r="I34" s="26">
        <f t="shared" si="60"/>
        <v>1</v>
      </c>
      <c r="K34" s="26">
        <v>2</v>
      </c>
      <c r="L34" s="26"/>
      <c r="M34" s="26"/>
      <c r="N34" s="26"/>
      <c r="O34" s="26"/>
      <c r="P34" s="26"/>
      <c r="Q34" s="26"/>
      <c r="R34" s="26">
        <f>SUM(K34:Q34)</f>
        <v>2</v>
      </c>
      <c r="T34" s="26">
        <v>3</v>
      </c>
      <c r="U34" s="26"/>
      <c r="V34" s="26"/>
      <c r="W34" s="26"/>
      <c r="X34" s="26"/>
      <c r="Y34" s="26"/>
      <c r="Z34" s="26"/>
      <c r="AA34" s="26">
        <f>SUM(T34:Z34)</f>
        <v>3</v>
      </c>
      <c r="AC34" s="26">
        <v>3</v>
      </c>
      <c r="AD34" s="26"/>
      <c r="AE34" s="26"/>
      <c r="AF34" s="26"/>
      <c r="AG34" s="26"/>
      <c r="AH34" s="26"/>
      <c r="AI34" s="26"/>
      <c r="AJ34" s="26">
        <f>SUM(AC34:AI34)</f>
        <v>3</v>
      </c>
      <c r="AL34" s="26">
        <v>4</v>
      </c>
      <c r="AM34" s="26"/>
      <c r="AN34" s="26"/>
      <c r="AO34" s="26"/>
      <c r="AP34" s="26"/>
      <c r="AQ34" s="26"/>
      <c r="AR34" s="26"/>
      <c r="AS34" s="26">
        <f>SUM(AL34:AR34)</f>
        <v>4</v>
      </c>
      <c r="AU34" s="26"/>
      <c r="AV34" s="26"/>
      <c r="AW34" s="26"/>
      <c r="AX34" s="26"/>
      <c r="AY34" s="26"/>
      <c r="AZ34" s="26"/>
      <c r="BA34" s="26"/>
      <c r="BB34" s="26">
        <f>SUM(AU34:BA34)</f>
        <v>0</v>
      </c>
      <c r="BD34" s="26">
        <v>0</v>
      </c>
      <c r="BE34" s="26"/>
      <c r="BF34" s="26"/>
      <c r="BG34" s="26"/>
      <c r="BH34" s="26"/>
      <c r="BI34" s="26"/>
      <c r="BJ34" s="26"/>
      <c r="BK34" s="26">
        <f>SUM(BD34:BJ34)</f>
        <v>0</v>
      </c>
      <c r="BM34" s="26"/>
      <c r="BN34" s="26"/>
      <c r="BO34" s="26"/>
      <c r="BP34" s="26"/>
      <c r="BQ34" s="26"/>
      <c r="BR34" s="26"/>
      <c r="BS34" s="26"/>
      <c r="BT34" s="26">
        <f>SUM(BM34:BS34)</f>
        <v>0</v>
      </c>
      <c r="BV34" s="26">
        <f t="shared" si="74"/>
        <v>13</v>
      </c>
      <c r="BW34" s="26">
        <f t="shared" si="75"/>
        <v>0</v>
      </c>
      <c r="BX34" s="26">
        <f t="shared" si="76"/>
        <v>0</v>
      </c>
      <c r="BY34" s="26">
        <f t="shared" si="77"/>
        <v>0</v>
      </c>
      <c r="BZ34" s="26">
        <f t="shared" si="78"/>
        <v>0</v>
      </c>
      <c r="CA34" s="26">
        <f t="shared" si="79"/>
        <v>0</v>
      </c>
      <c r="CB34" s="26"/>
      <c r="CC34" s="26">
        <f>SUM(BV34:CB34)</f>
        <v>13</v>
      </c>
    </row>
    <row r="35" spans="1:81">
      <c r="A35" s="29" t="s">
        <v>37</v>
      </c>
      <c r="B35" s="26">
        <v>0.5</v>
      </c>
      <c r="C35" s="26"/>
      <c r="D35" s="26"/>
      <c r="E35" s="26"/>
      <c r="F35" s="26"/>
      <c r="G35" s="26"/>
      <c r="H35" s="26"/>
      <c r="I35" s="26">
        <f t="shared" si="60"/>
        <v>0.5</v>
      </c>
      <c r="K35" s="26">
        <v>1</v>
      </c>
      <c r="L35" s="26"/>
      <c r="M35" s="26"/>
      <c r="N35" s="26"/>
      <c r="O35" s="26"/>
      <c r="P35" s="26"/>
      <c r="Q35" s="26"/>
      <c r="R35" s="26">
        <f>SUM(K35:Q35)</f>
        <v>1</v>
      </c>
      <c r="T35" s="26">
        <v>2</v>
      </c>
      <c r="U35" s="26"/>
      <c r="V35" s="26"/>
      <c r="W35" s="26"/>
      <c r="X35" s="26"/>
      <c r="Y35" s="26"/>
      <c r="Z35" s="26"/>
      <c r="AA35" s="26">
        <f>SUM(T35:Z35)</f>
        <v>2</v>
      </c>
      <c r="AC35" s="26">
        <v>1</v>
      </c>
      <c r="AD35" s="26"/>
      <c r="AE35" s="26"/>
      <c r="AF35" s="26"/>
      <c r="AG35" s="26"/>
      <c r="AH35" s="26"/>
      <c r="AI35" s="26"/>
      <c r="AJ35" s="26">
        <f>SUM(AC35:AI35)</f>
        <v>1</v>
      </c>
      <c r="AL35" s="26">
        <v>2</v>
      </c>
      <c r="AM35" s="26"/>
      <c r="AN35" s="26"/>
      <c r="AO35" s="26"/>
      <c r="AP35" s="26"/>
      <c r="AQ35" s="26"/>
      <c r="AR35" s="26"/>
      <c r="AS35" s="26">
        <f>SUM(AL35:AR35)</f>
        <v>2</v>
      </c>
      <c r="AU35" s="26"/>
      <c r="AV35" s="26"/>
      <c r="AW35" s="26"/>
      <c r="AX35" s="26"/>
      <c r="AY35" s="26"/>
      <c r="AZ35" s="26"/>
      <c r="BA35" s="26"/>
      <c r="BB35" s="26">
        <f>SUM(AU35:BA35)</f>
        <v>0</v>
      </c>
      <c r="BD35" s="26">
        <v>0</v>
      </c>
      <c r="BE35" s="26"/>
      <c r="BF35" s="26"/>
      <c r="BG35" s="26"/>
      <c r="BH35" s="26"/>
      <c r="BI35" s="26"/>
      <c r="BJ35" s="26"/>
      <c r="BK35" s="26">
        <f>SUM(BD35:BJ35)</f>
        <v>0</v>
      </c>
      <c r="BM35" s="26">
        <v>0</v>
      </c>
      <c r="BN35" s="26"/>
      <c r="BO35" s="26"/>
      <c r="BP35" s="26"/>
      <c r="BQ35" s="26"/>
      <c r="BR35" s="26"/>
      <c r="BS35" s="26"/>
      <c r="BT35" s="26">
        <f>SUM(BM35:BS35)</f>
        <v>0</v>
      </c>
      <c r="BV35" s="26">
        <f t="shared" si="74"/>
        <v>6.5</v>
      </c>
      <c r="BW35" s="26">
        <f t="shared" si="75"/>
        <v>0</v>
      </c>
      <c r="BX35" s="26">
        <f t="shared" si="76"/>
        <v>0</v>
      </c>
      <c r="BY35" s="26">
        <f t="shared" si="77"/>
        <v>0</v>
      </c>
      <c r="BZ35" s="26">
        <f t="shared" si="78"/>
        <v>0</v>
      </c>
      <c r="CA35" s="26">
        <f t="shared" si="79"/>
        <v>0</v>
      </c>
      <c r="CB35" s="26"/>
      <c r="CC35" s="26">
        <f>SUM(BV35:CB35)</f>
        <v>6.5</v>
      </c>
    </row>
    <row r="36" spans="1:81" ht="15">
      <c r="A36" s="24" t="s">
        <v>38</v>
      </c>
      <c r="B36" s="30">
        <f>SUM(B27:B35)</f>
        <v>41.5</v>
      </c>
      <c r="C36" s="30">
        <f t="shared" ref="C36:H36" si="81">SUM(C27:C35)</f>
        <v>5</v>
      </c>
      <c r="D36" s="30">
        <f t="shared" si="81"/>
        <v>0</v>
      </c>
      <c r="E36" s="30"/>
      <c r="F36" s="30">
        <f t="shared" si="81"/>
        <v>0</v>
      </c>
      <c r="G36" s="30">
        <f t="shared" si="81"/>
        <v>0</v>
      </c>
      <c r="H36" s="30">
        <f t="shared" si="81"/>
        <v>0</v>
      </c>
      <c r="I36" s="30">
        <f>SUM(I27:I35)</f>
        <v>46.5</v>
      </c>
      <c r="J36" s="7"/>
      <c r="K36" s="30">
        <f>SUM(K27:K35)</f>
        <v>44</v>
      </c>
      <c r="L36" s="30">
        <f t="shared" ref="L36:Q36" si="82">SUM(L27:L35)</f>
        <v>4</v>
      </c>
      <c r="M36" s="30">
        <f t="shared" si="82"/>
        <v>0</v>
      </c>
      <c r="N36" s="30"/>
      <c r="O36" s="30">
        <f t="shared" si="82"/>
        <v>0</v>
      </c>
      <c r="P36" s="30">
        <f t="shared" si="82"/>
        <v>0</v>
      </c>
      <c r="Q36" s="30">
        <f t="shared" si="82"/>
        <v>0</v>
      </c>
      <c r="R36" s="30">
        <f>SUM(R27:R35)</f>
        <v>48</v>
      </c>
      <c r="T36" s="30">
        <f>SUM(T27:T35)</f>
        <v>55</v>
      </c>
      <c r="U36" s="30">
        <f t="shared" ref="U36:Z36" si="83">SUM(U27:U35)</f>
        <v>5</v>
      </c>
      <c r="V36" s="30">
        <f t="shared" si="83"/>
        <v>0</v>
      </c>
      <c r="W36" s="30"/>
      <c r="X36" s="30">
        <f t="shared" si="83"/>
        <v>0</v>
      </c>
      <c r="Y36" s="30">
        <f t="shared" si="83"/>
        <v>0</v>
      </c>
      <c r="Z36" s="30">
        <f t="shared" si="83"/>
        <v>0</v>
      </c>
      <c r="AA36" s="30">
        <f>SUM(AA27:AA35)</f>
        <v>60</v>
      </c>
      <c r="AC36" s="30">
        <f>SUM(AC27:AC35)</f>
        <v>94</v>
      </c>
      <c r="AD36" s="30">
        <f t="shared" ref="AD36:AI36" si="84">SUM(AD27:AD35)</f>
        <v>13</v>
      </c>
      <c r="AE36" s="30">
        <f t="shared" si="84"/>
        <v>0</v>
      </c>
      <c r="AF36" s="30"/>
      <c r="AG36" s="30">
        <f t="shared" si="84"/>
        <v>0</v>
      </c>
      <c r="AH36" s="30">
        <f t="shared" si="84"/>
        <v>0</v>
      </c>
      <c r="AI36" s="30">
        <f t="shared" si="84"/>
        <v>0</v>
      </c>
      <c r="AJ36" s="30">
        <f>SUM(AJ27:AJ35)</f>
        <v>107</v>
      </c>
      <c r="AL36" s="30">
        <f>SUM(AL27:AL35)</f>
        <v>95</v>
      </c>
      <c r="AM36" s="30">
        <f t="shared" ref="AM36:AR36" si="85">SUM(AM27:AM35)</f>
        <v>12</v>
      </c>
      <c r="AN36" s="30">
        <f t="shared" si="85"/>
        <v>0</v>
      </c>
      <c r="AO36" s="30"/>
      <c r="AP36" s="30">
        <f t="shared" si="85"/>
        <v>0</v>
      </c>
      <c r="AQ36" s="30">
        <f t="shared" si="85"/>
        <v>0</v>
      </c>
      <c r="AR36" s="30">
        <f t="shared" si="85"/>
        <v>0</v>
      </c>
      <c r="AS36" s="30">
        <f>SUM(AS27:AS35)</f>
        <v>107</v>
      </c>
      <c r="AU36" s="30">
        <f>SUM(AU27:AU35)</f>
        <v>0</v>
      </c>
      <c r="AV36" s="30">
        <f t="shared" ref="AV36:BA36" si="86">SUM(AV27:AV35)</f>
        <v>1</v>
      </c>
      <c r="AW36" s="30">
        <f t="shared" si="86"/>
        <v>0</v>
      </c>
      <c r="AX36" s="30"/>
      <c r="AY36" s="30">
        <f t="shared" si="86"/>
        <v>0</v>
      </c>
      <c r="AZ36" s="30">
        <f t="shared" si="86"/>
        <v>0</v>
      </c>
      <c r="BA36" s="30">
        <f t="shared" si="86"/>
        <v>0</v>
      </c>
      <c r="BB36" s="30">
        <f>SUM(BB27:BB35)</f>
        <v>1</v>
      </c>
      <c r="BD36" s="30">
        <f>SUM(BD27:BD35)</f>
        <v>9</v>
      </c>
      <c r="BE36" s="30">
        <f t="shared" ref="BE36:BJ36" si="87">SUM(BE27:BE35)</f>
        <v>1</v>
      </c>
      <c r="BF36" s="30">
        <f t="shared" si="87"/>
        <v>0</v>
      </c>
      <c r="BG36" s="30"/>
      <c r="BH36" s="30">
        <f t="shared" si="87"/>
        <v>0</v>
      </c>
      <c r="BI36" s="30">
        <f t="shared" si="87"/>
        <v>0</v>
      </c>
      <c r="BJ36" s="30">
        <f t="shared" si="87"/>
        <v>0</v>
      </c>
      <c r="BK36" s="30">
        <f>SUM(BK27:BK35)</f>
        <v>10</v>
      </c>
      <c r="BM36" s="30">
        <f>SUM(BM27:BM35)</f>
        <v>1</v>
      </c>
      <c r="BN36" s="30">
        <f t="shared" ref="BN36:BS36" si="88">SUM(BN27:BN35)</f>
        <v>0</v>
      </c>
      <c r="BO36" s="30">
        <f t="shared" si="88"/>
        <v>0</v>
      </c>
      <c r="BP36" s="30"/>
      <c r="BQ36" s="30">
        <f t="shared" si="88"/>
        <v>0</v>
      </c>
      <c r="BR36" s="30">
        <f t="shared" si="88"/>
        <v>0</v>
      </c>
      <c r="BS36" s="30">
        <f t="shared" si="88"/>
        <v>0</v>
      </c>
      <c r="BT36" s="30">
        <f>SUM(BT27:BT35)</f>
        <v>1</v>
      </c>
      <c r="BV36" s="30">
        <f>SUM(BV27:BV35)</f>
        <v>339.5</v>
      </c>
      <c r="BW36" s="30">
        <f t="shared" ref="BW36:BX36" si="89">SUM(BW27:BW35)</f>
        <v>41</v>
      </c>
      <c r="BX36" s="30">
        <f t="shared" si="89"/>
        <v>0</v>
      </c>
      <c r="BY36" s="30"/>
      <c r="BZ36" s="30">
        <f t="shared" ref="BZ36:CB36" si="90">SUM(BZ27:BZ35)</f>
        <v>0</v>
      </c>
      <c r="CA36" s="30">
        <f t="shared" si="90"/>
        <v>0</v>
      </c>
      <c r="CB36" s="30">
        <f t="shared" si="90"/>
        <v>0</v>
      </c>
      <c r="CC36" s="30">
        <f>SUM(CC27:CC35)</f>
        <v>380.5</v>
      </c>
    </row>
    <row r="37" spans="1:81" ht="15">
      <c r="A37" s="31"/>
      <c r="B37" s="5"/>
      <c r="C37" s="5"/>
      <c r="D37" s="5"/>
      <c r="E37" s="5"/>
      <c r="F37" s="5"/>
      <c r="G37" s="5"/>
      <c r="H37" s="5"/>
      <c r="I37" s="5"/>
      <c r="J37" s="7"/>
      <c r="K37" s="5"/>
      <c r="L37" s="5"/>
      <c r="M37" s="5"/>
      <c r="N37" s="5"/>
      <c r="O37" s="5"/>
      <c r="P37" s="5"/>
      <c r="Q37" s="5"/>
      <c r="R37" s="5"/>
      <c r="T37" s="5"/>
      <c r="U37" s="5"/>
      <c r="V37" s="5"/>
      <c r="W37" s="5"/>
      <c r="X37" s="5"/>
      <c r="Y37" s="5"/>
      <c r="Z37" s="5"/>
      <c r="AA37" s="5"/>
      <c r="AC37" s="5"/>
      <c r="AD37" s="5"/>
      <c r="AE37" s="5"/>
      <c r="AF37" s="5"/>
      <c r="AG37" s="5"/>
      <c r="AH37" s="5"/>
      <c r="AI37" s="5"/>
      <c r="AJ37" s="5"/>
      <c r="AL37" s="5"/>
      <c r="AM37" s="5"/>
      <c r="AN37" s="5"/>
      <c r="AO37" s="5"/>
      <c r="AP37" s="5"/>
      <c r="AQ37" s="5"/>
      <c r="AR37" s="5"/>
      <c r="AS37" s="5"/>
      <c r="AU37" s="5"/>
      <c r="AV37" s="5"/>
      <c r="AW37" s="5"/>
      <c r="AX37" s="5"/>
      <c r="AY37" s="5"/>
      <c r="AZ37" s="5"/>
      <c r="BA37" s="5"/>
      <c r="BB37" s="5"/>
      <c r="BD37" s="5"/>
      <c r="BE37" s="5"/>
      <c r="BF37" s="5"/>
      <c r="BG37" s="5"/>
      <c r="BH37" s="5"/>
      <c r="BI37" s="5"/>
      <c r="BJ37" s="5"/>
      <c r="BK37" s="5"/>
      <c r="BM37" s="5"/>
      <c r="BN37" s="5"/>
      <c r="BO37" s="5"/>
      <c r="BP37" s="5"/>
      <c r="BQ37" s="5"/>
      <c r="BR37" s="5"/>
      <c r="BS37" s="5"/>
      <c r="BT37" s="5"/>
      <c r="BV37" s="5"/>
      <c r="BW37" s="5"/>
      <c r="BX37" s="5"/>
      <c r="BY37" s="5"/>
      <c r="BZ37" s="5"/>
      <c r="CA37" s="5"/>
      <c r="CB37" s="5"/>
      <c r="CC37" s="5"/>
    </row>
    <row r="38" spans="1:81" ht="15">
      <c r="A38" s="24" t="s">
        <v>39</v>
      </c>
      <c r="B38" s="18" t="str">
        <f t="shared" ref="B38:I38" si="91">B1</f>
        <v>Operating</v>
      </c>
      <c r="C38" s="18" t="str">
        <f t="shared" si="91"/>
        <v>SPED</v>
      </c>
      <c r="D38" s="18" t="str">
        <f t="shared" si="91"/>
        <v>NSLP</v>
      </c>
      <c r="E38" s="18" t="str">
        <f t="shared" si="91"/>
        <v>Other</v>
      </c>
      <c r="F38" s="18" t="str">
        <f t="shared" si="91"/>
        <v>Title I</v>
      </c>
      <c r="G38" s="18" t="str">
        <f t="shared" si="91"/>
        <v>SGF</v>
      </c>
      <c r="H38" s="18" t="str">
        <f t="shared" si="91"/>
        <v>Title III</v>
      </c>
      <c r="I38" s="18" t="str">
        <f t="shared" si="91"/>
        <v>Horizon</v>
      </c>
      <c r="J38" s="19"/>
      <c r="K38" s="18" t="str">
        <f t="shared" ref="K38:R38" si="92">K1</f>
        <v>Operating</v>
      </c>
      <c r="L38" s="18" t="str">
        <f t="shared" si="92"/>
        <v>SPED</v>
      </c>
      <c r="M38" s="18" t="str">
        <f t="shared" si="92"/>
        <v>NSLP</v>
      </c>
      <c r="N38" s="18" t="str">
        <f t="shared" si="92"/>
        <v>Other</v>
      </c>
      <c r="O38" s="18" t="str">
        <f t="shared" si="92"/>
        <v>Title I</v>
      </c>
      <c r="P38" s="18" t="str">
        <f t="shared" si="92"/>
        <v>SGF</v>
      </c>
      <c r="Q38" s="18" t="str">
        <f t="shared" si="92"/>
        <v>Title III</v>
      </c>
      <c r="R38" s="18" t="str">
        <f t="shared" si="92"/>
        <v>St. Rose</v>
      </c>
      <c r="T38" s="18" t="str">
        <f t="shared" ref="T38:AA38" si="93">T1</f>
        <v>Operating</v>
      </c>
      <c r="U38" s="18" t="str">
        <f t="shared" si="93"/>
        <v>SPED</v>
      </c>
      <c r="V38" s="18" t="str">
        <f t="shared" si="93"/>
        <v>NSLP</v>
      </c>
      <c r="W38" s="18" t="str">
        <f t="shared" si="93"/>
        <v>Other</v>
      </c>
      <c r="X38" s="18" t="str">
        <f t="shared" si="93"/>
        <v>Title I</v>
      </c>
      <c r="Y38" s="18" t="str">
        <f t="shared" si="93"/>
        <v>SGF</v>
      </c>
      <c r="Z38" s="18" t="str">
        <f t="shared" si="93"/>
        <v>Title III</v>
      </c>
      <c r="AA38" s="18" t="str">
        <f t="shared" si="93"/>
        <v>Inspirada</v>
      </c>
      <c r="AC38" s="18" t="str">
        <f t="shared" ref="AC38:AJ38" si="94">AC1</f>
        <v>Operating</v>
      </c>
      <c r="AD38" s="18" t="str">
        <f t="shared" si="94"/>
        <v>SPED</v>
      </c>
      <c r="AE38" s="18" t="str">
        <f t="shared" si="94"/>
        <v>NSLP</v>
      </c>
      <c r="AF38" s="18" t="str">
        <f t="shared" si="94"/>
        <v>Other</v>
      </c>
      <c r="AG38" s="18" t="str">
        <f t="shared" si="94"/>
        <v>Title I</v>
      </c>
      <c r="AH38" s="18" t="str">
        <f t="shared" si="94"/>
        <v>SGF</v>
      </c>
      <c r="AI38" s="18" t="str">
        <f t="shared" si="94"/>
        <v>Title III</v>
      </c>
      <c r="AJ38" s="18" t="str">
        <f t="shared" si="94"/>
        <v>Cadence</v>
      </c>
      <c r="AL38" s="18" t="str">
        <f t="shared" ref="AL38:AS38" si="95">AL1</f>
        <v>Operating</v>
      </c>
      <c r="AM38" s="18" t="str">
        <f t="shared" si="95"/>
        <v>SPED</v>
      </c>
      <c r="AN38" s="18" t="str">
        <f t="shared" si="95"/>
        <v>NSLP</v>
      </c>
      <c r="AO38" s="18" t="str">
        <f t="shared" si="95"/>
        <v>Other</v>
      </c>
      <c r="AP38" s="18" t="str">
        <f t="shared" si="95"/>
        <v>Title I</v>
      </c>
      <c r="AQ38" s="18" t="str">
        <f t="shared" si="95"/>
        <v>SGF</v>
      </c>
      <c r="AR38" s="18" t="str">
        <f t="shared" si="95"/>
        <v>Title III</v>
      </c>
      <c r="AS38" s="18" t="str">
        <f t="shared" si="95"/>
        <v>Sloan</v>
      </c>
      <c r="AU38" s="18" t="str">
        <f t="shared" ref="AU38:BB38" si="96">AU1</f>
        <v>Operating</v>
      </c>
      <c r="AV38" s="18" t="str">
        <f t="shared" si="96"/>
        <v>SPED</v>
      </c>
      <c r="AW38" s="18" t="str">
        <f t="shared" si="96"/>
        <v>NSLP</v>
      </c>
      <c r="AX38" s="18" t="str">
        <f t="shared" si="96"/>
        <v>Other</v>
      </c>
      <c r="AY38" s="18" t="str">
        <f t="shared" si="96"/>
        <v>Title I</v>
      </c>
      <c r="AZ38" s="18" t="str">
        <f t="shared" si="96"/>
        <v>SGF</v>
      </c>
      <c r="BA38" s="18" t="str">
        <f t="shared" si="96"/>
        <v>Title III</v>
      </c>
      <c r="BB38" s="18" t="str">
        <f t="shared" si="96"/>
        <v>Virtual</v>
      </c>
      <c r="BD38" s="18" t="str">
        <f t="shared" ref="BD38:BK38" si="97">BD1</f>
        <v>Operating</v>
      </c>
      <c r="BE38" s="18" t="str">
        <f t="shared" si="97"/>
        <v>SPED</v>
      </c>
      <c r="BF38" s="18" t="str">
        <f t="shared" si="97"/>
        <v>NSLP</v>
      </c>
      <c r="BG38" s="18" t="str">
        <f t="shared" si="97"/>
        <v>Other</v>
      </c>
      <c r="BH38" s="18" t="str">
        <f t="shared" si="97"/>
        <v>Title I</v>
      </c>
      <c r="BI38" s="18" t="str">
        <f t="shared" si="97"/>
        <v>SGF</v>
      </c>
      <c r="BJ38" s="18" t="str">
        <f t="shared" si="97"/>
        <v>Title III</v>
      </c>
      <c r="BK38" s="18" t="str">
        <f t="shared" si="97"/>
        <v>Springs</v>
      </c>
      <c r="BM38" s="18" t="str">
        <f t="shared" ref="BM38:BT38" si="98">BM1</f>
        <v>Operating</v>
      </c>
      <c r="BN38" s="18" t="str">
        <f t="shared" si="98"/>
        <v>SPED</v>
      </c>
      <c r="BO38" s="18" t="str">
        <f t="shared" si="98"/>
        <v>NSLP</v>
      </c>
      <c r="BP38" s="18" t="str">
        <f t="shared" si="98"/>
        <v>Other</v>
      </c>
      <c r="BQ38" s="18" t="str">
        <f t="shared" si="98"/>
        <v>Title I</v>
      </c>
      <c r="BR38" s="18" t="str">
        <f t="shared" si="98"/>
        <v>SGF</v>
      </c>
      <c r="BS38" s="18" t="str">
        <f t="shared" si="98"/>
        <v>Title III</v>
      </c>
      <c r="BT38" s="18" t="str">
        <f t="shared" si="98"/>
        <v>Exec. Office</v>
      </c>
      <c r="BV38" s="18" t="str">
        <f t="shared" ref="BV38:CC38" si="99">BV1</f>
        <v>Operating</v>
      </c>
      <c r="BW38" s="18" t="str">
        <f t="shared" si="99"/>
        <v>SPED</v>
      </c>
      <c r="BX38" s="18" t="str">
        <f t="shared" si="99"/>
        <v>NSLP</v>
      </c>
      <c r="BY38" s="18" t="str">
        <f t="shared" si="99"/>
        <v>Other</v>
      </c>
      <c r="BZ38" s="18" t="str">
        <f t="shared" si="99"/>
        <v>Title I</v>
      </c>
      <c r="CA38" s="18" t="str">
        <f t="shared" si="99"/>
        <v>SGF</v>
      </c>
      <c r="CB38" s="18" t="str">
        <f t="shared" si="99"/>
        <v>Title III</v>
      </c>
      <c r="CC38" s="18" t="str">
        <f t="shared" si="99"/>
        <v>Systemwide</v>
      </c>
    </row>
    <row r="39" spans="1:81">
      <c r="A39" s="25" t="s">
        <v>40</v>
      </c>
      <c r="B39" s="27">
        <v>1</v>
      </c>
      <c r="C39" s="27"/>
      <c r="D39" s="27"/>
      <c r="E39" s="27"/>
      <c r="F39" s="27"/>
      <c r="G39" s="27"/>
      <c r="H39" s="27"/>
      <c r="I39" s="26">
        <f t="shared" ref="I39:I60" si="100">SUM(B39:H39)</f>
        <v>1</v>
      </c>
      <c r="K39" s="27">
        <v>1</v>
      </c>
      <c r="L39" s="27"/>
      <c r="M39" s="27"/>
      <c r="N39" s="27"/>
      <c r="O39" s="27"/>
      <c r="P39" s="27"/>
      <c r="Q39" s="27"/>
      <c r="R39" s="26">
        <f t="shared" ref="R39:R60" si="101">SUM(K39:Q39)</f>
        <v>1</v>
      </c>
      <c r="T39" s="27">
        <v>1</v>
      </c>
      <c r="U39" s="27"/>
      <c r="V39" s="27"/>
      <c r="W39" s="27"/>
      <c r="X39" s="27"/>
      <c r="Y39" s="27"/>
      <c r="Z39" s="27"/>
      <c r="AA39" s="26">
        <f t="shared" ref="AA39:AA60" si="102">SUM(T39:Z39)</f>
        <v>1</v>
      </c>
      <c r="AC39" s="27">
        <v>1</v>
      </c>
      <c r="AD39" s="27"/>
      <c r="AE39" s="27"/>
      <c r="AF39" s="27"/>
      <c r="AG39" s="27"/>
      <c r="AH39" s="27"/>
      <c r="AI39" s="27"/>
      <c r="AJ39" s="26">
        <f t="shared" ref="AJ39:AJ60" si="103">SUM(AC39:AI39)</f>
        <v>1</v>
      </c>
      <c r="AL39" s="27">
        <v>1</v>
      </c>
      <c r="AM39" s="27"/>
      <c r="AN39" s="27"/>
      <c r="AO39" s="27"/>
      <c r="AP39" s="27"/>
      <c r="AQ39" s="27"/>
      <c r="AR39" s="27"/>
      <c r="AS39" s="26">
        <f t="shared" ref="AS39:AS60" si="104">SUM(AL39:AR39)</f>
        <v>1</v>
      </c>
      <c r="AU39" s="27"/>
      <c r="AV39" s="27"/>
      <c r="AW39" s="27"/>
      <c r="AX39" s="27"/>
      <c r="AY39" s="27"/>
      <c r="AZ39" s="27"/>
      <c r="BA39" s="27"/>
      <c r="BB39" s="26">
        <f t="shared" ref="BB39:BB60" si="105">SUM(AU39:BA39)</f>
        <v>0</v>
      </c>
      <c r="BD39" s="27">
        <v>1</v>
      </c>
      <c r="BE39" s="27"/>
      <c r="BF39" s="27"/>
      <c r="BG39" s="27"/>
      <c r="BH39" s="27"/>
      <c r="BI39" s="27"/>
      <c r="BJ39" s="27"/>
      <c r="BK39" s="26">
        <f t="shared" ref="BK39:BK60" si="106">SUM(BD39:BJ39)</f>
        <v>1</v>
      </c>
      <c r="BM39" s="27">
        <v>0</v>
      </c>
      <c r="BN39" s="27"/>
      <c r="BO39" s="27"/>
      <c r="BP39" s="27"/>
      <c r="BQ39" s="27"/>
      <c r="BR39" s="27"/>
      <c r="BS39" s="27"/>
      <c r="BT39" s="26">
        <f t="shared" ref="BT39:BT60" si="107">SUM(BM39:BS39)</f>
        <v>0</v>
      </c>
      <c r="BV39" s="26">
        <f>B39+K39+T39+AC39+AL39+AU39+BD39+BM39</f>
        <v>6</v>
      </c>
      <c r="BW39" s="26">
        <f t="shared" ref="BW39" si="108">C39+L39+U39+AD39+AM39+AV39+BE39+BN39</f>
        <v>0</v>
      </c>
      <c r="BX39" s="26">
        <f t="shared" ref="BX39" si="109">D39+M39+V39+AE39+AN39+AW39+BF39+BO39</f>
        <v>0</v>
      </c>
      <c r="BY39" s="26">
        <f t="shared" ref="BY39" si="110">E39+N39+W39+AF39+AO39+AX39+BG39+BP39</f>
        <v>0</v>
      </c>
      <c r="BZ39" s="26">
        <f t="shared" ref="BZ39" si="111">F39+O39+X39+AG39+AP39+AY39+BH39+BQ39</f>
        <v>0</v>
      </c>
      <c r="CA39" s="26">
        <f t="shared" ref="CA39" si="112">G39+P39+Y39+AH39+AQ39+AZ39+BI39+BR39</f>
        <v>0</v>
      </c>
      <c r="CB39" s="27"/>
      <c r="CC39" s="26">
        <f t="shared" ref="CC39" si="113">SUM(BV39:CB39)</f>
        <v>6</v>
      </c>
    </row>
    <row r="40" spans="1:81">
      <c r="A40" s="25" t="s">
        <v>41</v>
      </c>
      <c r="B40" s="27">
        <v>3</v>
      </c>
      <c r="C40" s="27"/>
      <c r="D40" s="27"/>
      <c r="E40" s="27"/>
      <c r="F40" s="27"/>
      <c r="G40" s="27"/>
      <c r="H40" s="27"/>
      <c r="I40" s="26">
        <f t="shared" si="100"/>
        <v>3</v>
      </c>
      <c r="K40" s="27">
        <v>3</v>
      </c>
      <c r="L40" s="27"/>
      <c r="M40" s="27"/>
      <c r="N40" s="27"/>
      <c r="O40" s="27"/>
      <c r="P40" s="27"/>
      <c r="Q40" s="27"/>
      <c r="R40" s="26">
        <f>SUM(K40:Q40)</f>
        <v>3</v>
      </c>
      <c r="T40" s="27">
        <v>3</v>
      </c>
      <c r="U40" s="27"/>
      <c r="V40" s="27"/>
      <c r="W40" s="27"/>
      <c r="X40" s="27"/>
      <c r="Y40" s="27"/>
      <c r="Z40" s="27"/>
      <c r="AA40" s="26">
        <f>SUM(T40:Z40)</f>
        <v>3</v>
      </c>
      <c r="AC40" s="27">
        <v>5</v>
      </c>
      <c r="AD40" s="27"/>
      <c r="AE40" s="27"/>
      <c r="AF40" s="27"/>
      <c r="AG40" s="27"/>
      <c r="AH40" s="27"/>
      <c r="AI40" s="27"/>
      <c r="AJ40" s="26">
        <f>SUM(AC40:AI40)</f>
        <v>5</v>
      </c>
      <c r="AL40" s="27">
        <v>4</v>
      </c>
      <c r="AM40" s="27"/>
      <c r="AN40" s="27"/>
      <c r="AO40" s="27"/>
      <c r="AP40" s="27"/>
      <c r="AQ40" s="27"/>
      <c r="AR40" s="27"/>
      <c r="AS40" s="26">
        <f>SUM(AL40:AR40)</f>
        <v>4</v>
      </c>
      <c r="AU40" s="27"/>
      <c r="AV40" s="27"/>
      <c r="AW40" s="27"/>
      <c r="AX40" s="27"/>
      <c r="AY40" s="27"/>
      <c r="AZ40" s="27"/>
      <c r="BA40" s="27"/>
      <c r="BB40" s="26">
        <f>SUM(AU40:BA40)</f>
        <v>0</v>
      </c>
      <c r="BD40" s="27">
        <v>1</v>
      </c>
      <c r="BE40" s="27"/>
      <c r="BF40" s="27"/>
      <c r="BG40" s="27"/>
      <c r="BH40" s="27"/>
      <c r="BI40" s="27"/>
      <c r="BJ40" s="27"/>
      <c r="BK40" s="26">
        <f>SUM(BD40:BJ40)</f>
        <v>1</v>
      </c>
      <c r="BM40" s="27">
        <v>0</v>
      </c>
      <c r="BN40" s="27"/>
      <c r="BO40" s="27"/>
      <c r="BP40" s="27"/>
      <c r="BQ40" s="27"/>
      <c r="BR40" s="27"/>
      <c r="BS40" s="27"/>
      <c r="BT40" s="26">
        <f>SUM(BM40:BS40)</f>
        <v>0</v>
      </c>
      <c r="BV40" s="26">
        <f t="shared" ref="BV40:BV60" si="114">B40+K40+T40+AC40+AL40+AU40+BD40+BM40</f>
        <v>19</v>
      </c>
      <c r="BW40" s="26">
        <f t="shared" ref="BW40:BW60" si="115">C40+L40+U40+AD40+AM40+AV40+BE40+BN40</f>
        <v>0</v>
      </c>
      <c r="BX40" s="26">
        <f t="shared" ref="BX40:BX60" si="116">D40+M40+V40+AE40+AN40+AW40+BF40+BO40</f>
        <v>0</v>
      </c>
      <c r="BY40" s="26">
        <f t="shared" ref="BY40:BY60" si="117">E40+N40+W40+AF40+AO40+AX40+BG40+BP40</f>
        <v>0</v>
      </c>
      <c r="BZ40" s="26">
        <f t="shared" ref="BZ40:BZ60" si="118">F40+O40+X40+AG40+AP40+AY40+BH40+BQ40</f>
        <v>0</v>
      </c>
      <c r="CA40" s="26">
        <f t="shared" ref="CA40:CA60" si="119">G40+P40+Y40+AH40+AQ40+AZ40+BI40+BR40</f>
        <v>0</v>
      </c>
      <c r="CB40" s="27"/>
      <c r="CC40" s="26">
        <f>SUM(BV40:CB40)</f>
        <v>19</v>
      </c>
    </row>
    <row r="41" spans="1:81">
      <c r="A41" s="29" t="s">
        <v>42</v>
      </c>
      <c r="B41" s="27">
        <v>0</v>
      </c>
      <c r="C41" s="27"/>
      <c r="D41" s="27"/>
      <c r="E41" s="27"/>
      <c r="F41" s="27"/>
      <c r="G41" s="27"/>
      <c r="H41" s="27"/>
      <c r="I41" s="26">
        <f t="shared" si="100"/>
        <v>0</v>
      </c>
      <c r="K41" s="27">
        <v>0</v>
      </c>
      <c r="L41" s="27"/>
      <c r="M41" s="27"/>
      <c r="N41" s="27"/>
      <c r="O41" s="27"/>
      <c r="P41" s="27"/>
      <c r="Q41" s="27"/>
      <c r="R41" s="26">
        <f>SUM(K41:Q41)</f>
        <v>0</v>
      </c>
      <c r="T41" s="27"/>
      <c r="U41" s="27"/>
      <c r="V41" s="27"/>
      <c r="W41" s="27"/>
      <c r="X41" s="27"/>
      <c r="Y41" s="27"/>
      <c r="Z41" s="27"/>
      <c r="AA41" s="26">
        <f>SUM(T41:Z41)</f>
        <v>0</v>
      </c>
      <c r="AC41" s="27">
        <v>0</v>
      </c>
      <c r="AD41" s="27"/>
      <c r="AE41" s="27"/>
      <c r="AF41" s="27"/>
      <c r="AG41" s="27"/>
      <c r="AH41" s="27"/>
      <c r="AI41" s="27"/>
      <c r="AJ41" s="26">
        <f>SUM(AC41:AI41)</f>
        <v>0</v>
      </c>
      <c r="AL41" s="27">
        <v>0</v>
      </c>
      <c r="AM41" s="27"/>
      <c r="AN41" s="27"/>
      <c r="AO41" s="27"/>
      <c r="AP41" s="27"/>
      <c r="AQ41" s="27"/>
      <c r="AR41" s="27"/>
      <c r="AS41" s="26">
        <f>SUM(AL41:AR41)</f>
        <v>0</v>
      </c>
      <c r="AU41" s="27"/>
      <c r="AV41" s="27"/>
      <c r="AW41" s="27"/>
      <c r="AX41" s="27"/>
      <c r="AY41" s="27"/>
      <c r="AZ41" s="27"/>
      <c r="BA41" s="27"/>
      <c r="BB41" s="26">
        <f>SUM(AU41:BA41)</f>
        <v>0</v>
      </c>
      <c r="BD41" s="27">
        <v>0</v>
      </c>
      <c r="BE41" s="27"/>
      <c r="BF41" s="27"/>
      <c r="BG41" s="27">
        <v>1</v>
      </c>
      <c r="BH41" s="27"/>
      <c r="BI41" s="27"/>
      <c r="BJ41" s="27"/>
      <c r="BK41" s="26">
        <f>SUM(BD41:BJ41)</f>
        <v>1</v>
      </c>
      <c r="BM41" s="27">
        <v>0</v>
      </c>
      <c r="BN41" s="27"/>
      <c r="BO41" s="27"/>
      <c r="BP41" s="27"/>
      <c r="BQ41" s="27"/>
      <c r="BR41" s="27"/>
      <c r="BS41" s="27"/>
      <c r="BT41" s="26">
        <f>SUM(BM41:BS41)</f>
        <v>0</v>
      </c>
      <c r="BV41" s="26">
        <f t="shared" si="114"/>
        <v>0</v>
      </c>
      <c r="BW41" s="26">
        <f t="shared" si="115"/>
        <v>0</v>
      </c>
      <c r="BX41" s="26">
        <f t="shared" si="116"/>
        <v>0</v>
      </c>
      <c r="BY41" s="26">
        <f t="shared" si="117"/>
        <v>1</v>
      </c>
      <c r="BZ41" s="26">
        <f t="shared" si="118"/>
        <v>0</v>
      </c>
      <c r="CA41" s="26">
        <f t="shared" si="119"/>
        <v>0</v>
      </c>
      <c r="CB41" s="27"/>
      <c r="CC41" s="26">
        <f>SUM(BV41:CB41)</f>
        <v>1</v>
      </c>
    </row>
    <row r="42" spans="1:81">
      <c r="A42" s="32" t="s">
        <v>43</v>
      </c>
      <c r="B42" s="27">
        <v>0</v>
      </c>
      <c r="C42" s="27"/>
      <c r="D42" s="27"/>
      <c r="E42" s="27"/>
      <c r="F42" s="27"/>
      <c r="G42" s="27"/>
      <c r="H42" s="27"/>
      <c r="I42" s="26">
        <f t="shared" si="100"/>
        <v>0</v>
      </c>
      <c r="K42" s="27">
        <v>1</v>
      </c>
      <c r="L42" s="27"/>
      <c r="M42" s="27"/>
      <c r="N42" s="27"/>
      <c r="O42" s="27"/>
      <c r="P42" s="27"/>
      <c r="Q42" s="27"/>
      <c r="R42" s="26">
        <f>SUM(K42:Q42)</f>
        <v>1</v>
      </c>
      <c r="T42" s="27"/>
      <c r="U42" s="27"/>
      <c r="V42" s="27"/>
      <c r="W42" s="27"/>
      <c r="X42" s="27"/>
      <c r="Y42" s="27"/>
      <c r="Z42" s="27"/>
      <c r="AA42" s="26">
        <f>SUM(T42:Z42)</f>
        <v>0</v>
      </c>
      <c r="AC42" s="27">
        <v>3</v>
      </c>
      <c r="AD42" s="27"/>
      <c r="AE42" s="27"/>
      <c r="AF42" s="27"/>
      <c r="AG42" s="27"/>
      <c r="AH42" s="27"/>
      <c r="AI42" s="27"/>
      <c r="AJ42" s="26">
        <f>SUM(AC42:AI42)</f>
        <v>3</v>
      </c>
      <c r="AL42" s="27">
        <v>3</v>
      </c>
      <c r="AM42" s="27"/>
      <c r="AN42" s="27"/>
      <c r="AO42" s="27"/>
      <c r="AP42" s="27"/>
      <c r="AQ42" s="27"/>
      <c r="AR42" s="27"/>
      <c r="AS42" s="26">
        <f>SUM(AL42:AR42)</f>
        <v>3</v>
      </c>
      <c r="AU42" s="27"/>
      <c r="AV42" s="27"/>
      <c r="AW42" s="27"/>
      <c r="AX42" s="27"/>
      <c r="AY42" s="27"/>
      <c r="AZ42" s="27"/>
      <c r="BA42" s="27"/>
      <c r="BB42" s="26">
        <f>SUM(AU42:BA42)</f>
        <v>0</v>
      </c>
      <c r="BD42" s="27">
        <v>0</v>
      </c>
      <c r="BE42" s="27"/>
      <c r="BF42" s="27"/>
      <c r="BG42" s="27"/>
      <c r="BH42" s="27"/>
      <c r="BI42" s="27"/>
      <c r="BJ42" s="27"/>
      <c r="BK42" s="26">
        <f>SUM(BD42:BJ42)</f>
        <v>0</v>
      </c>
      <c r="BM42" s="27">
        <v>0</v>
      </c>
      <c r="BN42" s="27"/>
      <c r="BO42" s="27"/>
      <c r="BP42" s="27"/>
      <c r="BQ42" s="27"/>
      <c r="BR42" s="27"/>
      <c r="BS42" s="27"/>
      <c r="BT42" s="26">
        <f>SUM(BM42:BS42)</f>
        <v>0</v>
      </c>
      <c r="BV42" s="26">
        <f t="shared" si="114"/>
        <v>7</v>
      </c>
      <c r="BW42" s="26">
        <f t="shared" si="115"/>
        <v>0</v>
      </c>
      <c r="BX42" s="26">
        <f t="shared" si="116"/>
        <v>0</v>
      </c>
      <c r="BY42" s="26">
        <f t="shared" si="117"/>
        <v>0</v>
      </c>
      <c r="BZ42" s="26">
        <f t="shared" si="118"/>
        <v>0</v>
      </c>
      <c r="CA42" s="26">
        <f t="shared" si="119"/>
        <v>0</v>
      </c>
      <c r="CB42" s="27"/>
      <c r="CC42" s="26">
        <f>SUM(BV42:CB42)</f>
        <v>7</v>
      </c>
    </row>
    <row r="43" spans="1:81">
      <c r="A43" s="32" t="s">
        <v>44</v>
      </c>
      <c r="B43" s="27">
        <v>1</v>
      </c>
      <c r="C43" s="27"/>
      <c r="D43" s="27"/>
      <c r="E43" s="27"/>
      <c r="F43" s="27"/>
      <c r="G43" s="27"/>
      <c r="H43" s="27"/>
      <c r="I43" s="26">
        <f t="shared" si="100"/>
        <v>1</v>
      </c>
      <c r="K43" s="27">
        <v>1</v>
      </c>
      <c r="L43" s="27"/>
      <c r="M43" s="27"/>
      <c r="N43" s="27"/>
      <c r="O43" s="27"/>
      <c r="P43" s="27"/>
      <c r="Q43" s="27"/>
      <c r="R43" s="26">
        <f>SUM(K43:Q43)</f>
        <v>1</v>
      </c>
      <c r="T43" s="27">
        <v>1</v>
      </c>
      <c r="U43" s="27"/>
      <c r="V43" s="27"/>
      <c r="W43" s="27"/>
      <c r="X43" s="27"/>
      <c r="Y43" s="27"/>
      <c r="Z43" s="27"/>
      <c r="AA43" s="26">
        <f>SUM(T43:Z43)</f>
        <v>1</v>
      </c>
      <c r="AC43" s="27">
        <v>2</v>
      </c>
      <c r="AD43" s="27"/>
      <c r="AE43" s="27"/>
      <c r="AF43" s="27"/>
      <c r="AG43" s="27"/>
      <c r="AH43" s="27"/>
      <c r="AI43" s="27"/>
      <c r="AJ43" s="26">
        <f>SUM(AC43:AI43)</f>
        <v>2</v>
      </c>
      <c r="AL43" s="27">
        <v>2</v>
      </c>
      <c r="AM43" s="27"/>
      <c r="AN43" s="27"/>
      <c r="AO43" s="27"/>
      <c r="AP43" s="27"/>
      <c r="AQ43" s="27"/>
      <c r="AR43" s="27"/>
      <c r="AS43" s="26">
        <f>SUM(AL43:AR43)</f>
        <v>2</v>
      </c>
      <c r="AU43" s="27">
        <v>1</v>
      </c>
      <c r="AV43" s="27"/>
      <c r="AW43" s="27"/>
      <c r="AX43" s="27"/>
      <c r="AY43" s="27"/>
      <c r="AZ43" s="27"/>
      <c r="BA43" s="27"/>
      <c r="BB43" s="26">
        <f>SUM(AU43:BA43)</f>
        <v>1</v>
      </c>
      <c r="BD43" s="27">
        <v>0</v>
      </c>
      <c r="BE43" s="27"/>
      <c r="BF43" s="27"/>
      <c r="BG43" s="27"/>
      <c r="BH43" s="27"/>
      <c r="BI43" s="27"/>
      <c r="BJ43" s="27"/>
      <c r="BK43" s="26">
        <f>SUM(BD43:BJ43)</f>
        <v>0</v>
      </c>
      <c r="BM43" s="27">
        <v>1</v>
      </c>
      <c r="BN43" s="27"/>
      <c r="BO43" s="27"/>
      <c r="BP43" s="27"/>
      <c r="BQ43" s="27"/>
      <c r="BR43" s="27"/>
      <c r="BS43" s="27"/>
      <c r="BT43" s="26">
        <f>SUM(BM43:BS43)</f>
        <v>1</v>
      </c>
      <c r="BV43" s="26">
        <f t="shared" si="114"/>
        <v>9</v>
      </c>
      <c r="BW43" s="26">
        <f t="shared" si="115"/>
        <v>0</v>
      </c>
      <c r="BX43" s="26">
        <f t="shared" si="116"/>
        <v>0</v>
      </c>
      <c r="BY43" s="26">
        <f t="shared" si="117"/>
        <v>0</v>
      </c>
      <c r="BZ43" s="26">
        <f t="shared" si="118"/>
        <v>0</v>
      </c>
      <c r="CA43" s="26">
        <f t="shared" si="119"/>
        <v>0</v>
      </c>
      <c r="CB43" s="27"/>
      <c r="CC43" s="26">
        <f>SUM(BV43:CB43)</f>
        <v>9</v>
      </c>
    </row>
    <row r="44" spans="1:81">
      <c r="A44" s="32" t="s">
        <v>45</v>
      </c>
      <c r="B44" s="27">
        <v>0</v>
      </c>
      <c r="C44" s="27"/>
      <c r="D44" s="27"/>
      <c r="E44" s="27"/>
      <c r="F44" s="27"/>
      <c r="G44" s="27"/>
      <c r="H44" s="27"/>
      <c r="I44" s="26">
        <f t="shared" si="100"/>
        <v>0</v>
      </c>
      <c r="K44" s="27">
        <v>0</v>
      </c>
      <c r="L44" s="27"/>
      <c r="M44" s="27"/>
      <c r="N44" s="27"/>
      <c r="O44" s="27"/>
      <c r="P44" s="27"/>
      <c r="Q44" s="27"/>
      <c r="R44" s="26">
        <f>SUM(K44:Q44)</f>
        <v>0</v>
      </c>
      <c r="T44" s="27">
        <v>1</v>
      </c>
      <c r="U44" s="27"/>
      <c r="V44" s="27"/>
      <c r="W44" s="27"/>
      <c r="X44" s="27"/>
      <c r="Y44" s="27"/>
      <c r="Z44" s="27"/>
      <c r="AA44" s="26">
        <f>SUM(T44:Z44)</f>
        <v>1</v>
      </c>
      <c r="AC44" s="27">
        <v>3</v>
      </c>
      <c r="AD44" s="27"/>
      <c r="AE44" s="27"/>
      <c r="AF44" s="27"/>
      <c r="AG44" s="27"/>
      <c r="AH44" s="27"/>
      <c r="AI44" s="27"/>
      <c r="AJ44" s="26">
        <f>SUM(AC44:AI44)</f>
        <v>3</v>
      </c>
      <c r="AL44" s="27">
        <v>3</v>
      </c>
      <c r="AM44" s="27"/>
      <c r="AN44" s="27"/>
      <c r="AO44" s="27"/>
      <c r="AP44" s="27"/>
      <c r="AQ44" s="27"/>
      <c r="AR44" s="27"/>
      <c r="AS44" s="26">
        <f>SUM(AL44:AR44)</f>
        <v>3</v>
      </c>
      <c r="AU44" s="27"/>
      <c r="AV44" s="27"/>
      <c r="AW44" s="27"/>
      <c r="AX44" s="27"/>
      <c r="AY44" s="27"/>
      <c r="AZ44" s="27"/>
      <c r="BA44" s="27"/>
      <c r="BB44" s="26">
        <f>SUM(AU44:BA44)</f>
        <v>0</v>
      </c>
      <c r="BD44" s="27">
        <v>0</v>
      </c>
      <c r="BE44" s="27"/>
      <c r="BF44" s="27"/>
      <c r="BG44" s="27"/>
      <c r="BH44" s="27"/>
      <c r="BI44" s="27"/>
      <c r="BJ44" s="27"/>
      <c r="BK44" s="26">
        <f>SUM(BD44:BJ44)</f>
        <v>0</v>
      </c>
      <c r="BM44" s="27">
        <v>0</v>
      </c>
      <c r="BN44" s="27"/>
      <c r="BO44" s="27"/>
      <c r="BP44" s="27"/>
      <c r="BQ44" s="27"/>
      <c r="BR44" s="27"/>
      <c r="BS44" s="27"/>
      <c r="BT44" s="26">
        <f>SUM(BM44:BS44)</f>
        <v>0</v>
      </c>
      <c r="BV44" s="26">
        <f t="shared" si="114"/>
        <v>7</v>
      </c>
      <c r="BW44" s="26">
        <f t="shared" si="115"/>
        <v>0</v>
      </c>
      <c r="BX44" s="26">
        <f t="shared" si="116"/>
        <v>0</v>
      </c>
      <c r="BY44" s="26">
        <f t="shared" si="117"/>
        <v>0</v>
      </c>
      <c r="BZ44" s="26">
        <f t="shared" si="118"/>
        <v>0</v>
      </c>
      <c r="CA44" s="26">
        <f t="shared" si="119"/>
        <v>0</v>
      </c>
      <c r="CB44" s="27"/>
      <c r="CC44" s="26">
        <f>SUM(BV44:CB44)</f>
        <v>7</v>
      </c>
    </row>
    <row r="45" spans="1:81">
      <c r="A45" s="32" t="s">
        <v>46</v>
      </c>
      <c r="B45" s="27">
        <v>0</v>
      </c>
      <c r="C45" s="27"/>
      <c r="D45" s="27"/>
      <c r="E45" s="27"/>
      <c r="F45" s="27"/>
      <c r="G45" s="27"/>
      <c r="H45" s="27"/>
      <c r="I45" s="26">
        <f t="shared" si="100"/>
        <v>0</v>
      </c>
      <c r="K45" s="27"/>
      <c r="L45" s="27"/>
      <c r="M45" s="27"/>
      <c r="N45" s="27"/>
      <c r="O45" s="27"/>
      <c r="P45" s="27"/>
      <c r="Q45" s="27"/>
      <c r="R45" s="26">
        <f t="shared" si="101"/>
        <v>0</v>
      </c>
      <c r="T45" s="27"/>
      <c r="U45" s="27"/>
      <c r="V45" s="27"/>
      <c r="W45" s="27"/>
      <c r="X45" s="27"/>
      <c r="Y45" s="27"/>
      <c r="Z45" s="27"/>
      <c r="AA45" s="26">
        <f t="shared" si="102"/>
        <v>0</v>
      </c>
      <c r="AC45" s="27">
        <v>0</v>
      </c>
      <c r="AD45" s="27"/>
      <c r="AE45" s="27"/>
      <c r="AF45" s="27"/>
      <c r="AG45" s="27"/>
      <c r="AH45" s="27"/>
      <c r="AI45" s="27"/>
      <c r="AJ45" s="26">
        <f t="shared" si="103"/>
        <v>0</v>
      </c>
      <c r="AL45" s="27">
        <v>0</v>
      </c>
      <c r="AM45" s="27"/>
      <c r="AN45" s="27"/>
      <c r="AO45" s="27"/>
      <c r="AP45" s="27"/>
      <c r="AQ45" s="27"/>
      <c r="AR45" s="27"/>
      <c r="AS45" s="26">
        <f t="shared" si="104"/>
        <v>0</v>
      </c>
      <c r="AU45" s="27"/>
      <c r="AV45" s="27"/>
      <c r="AW45" s="27"/>
      <c r="AX45" s="27"/>
      <c r="AY45" s="27"/>
      <c r="AZ45" s="27"/>
      <c r="BA45" s="27"/>
      <c r="BB45" s="26">
        <f t="shared" si="105"/>
        <v>0</v>
      </c>
      <c r="BD45" s="27">
        <v>0</v>
      </c>
      <c r="BE45" s="27"/>
      <c r="BF45" s="27"/>
      <c r="BG45" s="27"/>
      <c r="BH45" s="27"/>
      <c r="BI45" s="27"/>
      <c r="BJ45" s="27"/>
      <c r="BK45" s="26">
        <f t="shared" si="106"/>
        <v>0</v>
      </c>
      <c r="BM45" s="27">
        <v>0</v>
      </c>
      <c r="BN45" s="27"/>
      <c r="BO45" s="27"/>
      <c r="BP45" s="27"/>
      <c r="BQ45" s="27"/>
      <c r="BR45" s="27"/>
      <c r="BS45" s="27"/>
      <c r="BT45" s="26">
        <f t="shared" si="107"/>
        <v>0</v>
      </c>
      <c r="BV45" s="26">
        <f t="shared" si="114"/>
        <v>0</v>
      </c>
      <c r="BW45" s="26">
        <f t="shared" si="115"/>
        <v>0</v>
      </c>
      <c r="BX45" s="26">
        <f t="shared" si="116"/>
        <v>0</v>
      </c>
      <c r="BY45" s="26">
        <f t="shared" si="117"/>
        <v>0</v>
      </c>
      <c r="BZ45" s="26">
        <f t="shared" si="118"/>
        <v>0</v>
      </c>
      <c r="CA45" s="26">
        <f t="shared" si="119"/>
        <v>0</v>
      </c>
      <c r="CB45" s="27"/>
      <c r="CC45" s="26">
        <f t="shared" ref="CC45:CC46" si="120">SUM(BV45:CB45)</f>
        <v>0</v>
      </c>
    </row>
    <row r="46" spans="1:81">
      <c r="A46" s="25" t="s">
        <v>47</v>
      </c>
      <c r="B46" s="27">
        <v>2</v>
      </c>
      <c r="C46" s="27"/>
      <c r="D46" s="27"/>
      <c r="E46" s="27"/>
      <c r="F46" s="27"/>
      <c r="G46" s="27"/>
      <c r="H46" s="27"/>
      <c r="I46" s="26">
        <f t="shared" si="100"/>
        <v>2</v>
      </c>
      <c r="K46" s="27">
        <v>1</v>
      </c>
      <c r="L46" s="27"/>
      <c r="M46" s="27"/>
      <c r="N46" s="27"/>
      <c r="O46" s="27"/>
      <c r="P46" s="27"/>
      <c r="Q46" s="27"/>
      <c r="R46" s="26">
        <f t="shared" si="101"/>
        <v>1</v>
      </c>
      <c r="T46" s="27">
        <v>1</v>
      </c>
      <c r="U46" s="27"/>
      <c r="V46" s="27"/>
      <c r="W46" s="27"/>
      <c r="X46" s="27"/>
      <c r="Y46" s="27"/>
      <c r="Z46" s="27"/>
      <c r="AA46" s="26">
        <f t="shared" si="102"/>
        <v>1</v>
      </c>
      <c r="AC46" s="27">
        <v>2</v>
      </c>
      <c r="AD46" s="27"/>
      <c r="AE46" s="27"/>
      <c r="AF46" s="27"/>
      <c r="AG46" s="27"/>
      <c r="AH46" s="27"/>
      <c r="AI46" s="27"/>
      <c r="AJ46" s="26">
        <f t="shared" si="103"/>
        <v>2</v>
      </c>
      <c r="AL46" s="27">
        <v>2</v>
      </c>
      <c r="AM46" s="27"/>
      <c r="AN46" s="27"/>
      <c r="AO46" s="27"/>
      <c r="AP46" s="27"/>
      <c r="AQ46" s="27"/>
      <c r="AR46" s="27"/>
      <c r="AS46" s="26">
        <f t="shared" si="104"/>
        <v>2</v>
      </c>
      <c r="AU46" s="27"/>
      <c r="AV46" s="27"/>
      <c r="AW46" s="27"/>
      <c r="AX46" s="27"/>
      <c r="AY46" s="27"/>
      <c r="AZ46" s="27"/>
      <c r="BA46" s="27"/>
      <c r="BB46" s="26">
        <f t="shared" si="105"/>
        <v>0</v>
      </c>
      <c r="BD46" s="27">
        <v>1</v>
      </c>
      <c r="BE46" s="27"/>
      <c r="BF46" s="27"/>
      <c r="BG46" s="27"/>
      <c r="BH46" s="27"/>
      <c r="BI46" s="27"/>
      <c r="BJ46" s="27"/>
      <c r="BK46" s="26">
        <f t="shared" si="106"/>
        <v>1</v>
      </c>
      <c r="BM46" s="27">
        <v>1</v>
      </c>
      <c r="BN46" s="27"/>
      <c r="BO46" s="27"/>
      <c r="BP46" s="27"/>
      <c r="BQ46" s="27"/>
      <c r="BR46" s="27"/>
      <c r="BS46" s="27"/>
      <c r="BT46" s="26">
        <f t="shared" si="107"/>
        <v>1</v>
      </c>
      <c r="BV46" s="26">
        <f t="shared" si="114"/>
        <v>10</v>
      </c>
      <c r="BW46" s="26">
        <f t="shared" si="115"/>
        <v>0</v>
      </c>
      <c r="BX46" s="26">
        <f t="shared" si="116"/>
        <v>0</v>
      </c>
      <c r="BY46" s="26">
        <f t="shared" si="117"/>
        <v>0</v>
      </c>
      <c r="BZ46" s="26">
        <f t="shared" si="118"/>
        <v>0</v>
      </c>
      <c r="CA46" s="26">
        <f t="shared" si="119"/>
        <v>0</v>
      </c>
      <c r="CB46" s="27"/>
      <c r="CC46" s="26">
        <f t="shared" si="120"/>
        <v>10</v>
      </c>
    </row>
    <row r="47" spans="1:81">
      <c r="A47" s="25" t="s">
        <v>48</v>
      </c>
      <c r="B47" s="27">
        <v>1</v>
      </c>
      <c r="C47" s="27"/>
      <c r="D47" s="27"/>
      <c r="E47" s="27"/>
      <c r="F47" s="27"/>
      <c r="G47" s="27"/>
      <c r="H47" s="27"/>
      <c r="I47" s="26">
        <f t="shared" si="100"/>
        <v>1</v>
      </c>
      <c r="K47" s="27">
        <v>1</v>
      </c>
      <c r="L47" s="27"/>
      <c r="M47" s="27"/>
      <c r="N47" s="27"/>
      <c r="O47" s="27"/>
      <c r="P47" s="27"/>
      <c r="Q47" s="27"/>
      <c r="R47" s="26">
        <f>SUM(K47:Q47)</f>
        <v>1</v>
      </c>
      <c r="T47" s="27">
        <v>1</v>
      </c>
      <c r="U47" s="27"/>
      <c r="V47" s="27"/>
      <c r="W47" s="27"/>
      <c r="X47" s="27"/>
      <c r="Y47" s="27"/>
      <c r="Z47" s="27"/>
      <c r="AA47" s="26">
        <f>SUM(T47:Z47)</f>
        <v>1</v>
      </c>
      <c r="AC47" s="27">
        <v>2</v>
      </c>
      <c r="AD47" s="27"/>
      <c r="AE47" s="27"/>
      <c r="AF47" s="27"/>
      <c r="AG47" s="27"/>
      <c r="AH47" s="27"/>
      <c r="AI47" s="27"/>
      <c r="AJ47" s="26">
        <f>SUM(AC47:AI47)</f>
        <v>2</v>
      </c>
      <c r="AL47" s="27">
        <v>2</v>
      </c>
      <c r="AM47" s="27"/>
      <c r="AN47" s="27"/>
      <c r="AO47" s="27"/>
      <c r="AP47" s="27"/>
      <c r="AQ47" s="27"/>
      <c r="AR47" s="27"/>
      <c r="AS47" s="26">
        <f>SUM(AL47:AR47)</f>
        <v>2</v>
      </c>
      <c r="AU47" s="27"/>
      <c r="AV47" s="27"/>
      <c r="AW47" s="27"/>
      <c r="AX47" s="27"/>
      <c r="AY47" s="27"/>
      <c r="AZ47" s="27"/>
      <c r="BA47" s="27"/>
      <c r="BB47" s="26">
        <f>SUM(AU47:BA47)</f>
        <v>0</v>
      </c>
      <c r="BD47" s="27">
        <v>0</v>
      </c>
      <c r="BE47" s="27"/>
      <c r="BF47" s="27"/>
      <c r="BG47" s="27"/>
      <c r="BH47" s="27"/>
      <c r="BI47" s="27"/>
      <c r="BJ47" s="27"/>
      <c r="BK47" s="26">
        <f>SUM(BD47:BJ47)</f>
        <v>0</v>
      </c>
      <c r="BM47" s="27">
        <v>0</v>
      </c>
      <c r="BN47" s="27"/>
      <c r="BO47" s="27"/>
      <c r="BP47" s="27"/>
      <c r="BQ47" s="27"/>
      <c r="BR47" s="27"/>
      <c r="BS47" s="27"/>
      <c r="BT47" s="26">
        <f>SUM(BM47:BS47)</f>
        <v>0</v>
      </c>
      <c r="BV47" s="26">
        <f t="shared" si="114"/>
        <v>7</v>
      </c>
      <c r="BW47" s="26">
        <f t="shared" si="115"/>
        <v>0</v>
      </c>
      <c r="BX47" s="26">
        <f t="shared" si="116"/>
        <v>0</v>
      </c>
      <c r="BY47" s="26">
        <f t="shared" si="117"/>
        <v>0</v>
      </c>
      <c r="BZ47" s="26">
        <f t="shared" si="118"/>
        <v>0</v>
      </c>
      <c r="CA47" s="26">
        <f t="shared" si="119"/>
        <v>0</v>
      </c>
      <c r="CB47" s="27"/>
      <c r="CC47" s="26">
        <f>SUM(BV47:CB47)</f>
        <v>7</v>
      </c>
    </row>
    <row r="48" spans="1:81">
      <c r="A48" s="25" t="s">
        <v>49</v>
      </c>
      <c r="B48" s="27">
        <v>1</v>
      </c>
      <c r="C48" s="27"/>
      <c r="D48" s="27"/>
      <c r="E48" s="27"/>
      <c r="F48" s="27"/>
      <c r="G48" s="27"/>
      <c r="H48" s="27"/>
      <c r="I48" s="26">
        <f t="shared" si="100"/>
        <v>1</v>
      </c>
      <c r="K48" s="27">
        <v>1</v>
      </c>
      <c r="L48" s="27"/>
      <c r="M48" s="27"/>
      <c r="N48" s="27"/>
      <c r="O48" s="27"/>
      <c r="P48" s="27"/>
      <c r="Q48" s="27"/>
      <c r="R48" s="26">
        <f t="shared" si="101"/>
        <v>1</v>
      </c>
      <c r="T48" s="27">
        <v>1</v>
      </c>
      <c r="U48" s="27"/>
      <c r="V48" s="27"/>
      <c r="W48" s="27"/>
      <c r="X48" s="27"/>
      <c r="Y48" s="27"/>
      <c r="Z48" s="27"/>
      <c r="AA48" s="26">
        <f t="shared" si="102"/>
        <v>1</v>
      </c>
      <c r="AC48" s="27">
        <v>3</v>
      </c>
      <c r="AD48" s="27"/>
      <c r="AE48" s="27"/>
      <c r="AF48" s="27"/>
      <c r="AG48" s="27"/>
      <c r="AH48" s="27"/>
      <c r="AI48" s="27"/>
      <c r="AJ48" s="26">
        <f t="shared" si="103"/>
        <v>3</v>
      </c>
      <c r="AL48" s="27">
        <v>2</v>
      </c>
      <c r="AM48" s="27"/>
      <c r="AN48" s="27"/>
      <c r="AO48" s="27"/>
      <c r="AP48" s="27"/>
      <c r="AQ48" s="27"/>
      <c r="AR48" s="27"/>
      <c r="AS48" s="26">
        <f t="shared" si="104"/>
        <v>2</v>
      </c>
      <c r="AU48" s="27"/>
      <c r="AV48" s="27"/>
      <c r="AW48" s="27"/>
      <c r="AX48" s="27"/>
      <c r="AY48" s="27"/>
      <c r="AZ48" s="27"/>
      <c r="BA48" s="27"/>
      <c r="BB48" s="26">
        <f t="shared" si="105"/>
        <v>0</v>
      </c>
      <c r="BD48" s="27">
        <v>0</v>
      </c>
      <c r="BE48" s="27"/>
      <c r="BF48" s="27"/>
      <c r="BG48" s="27"/>
      <c r="BH48" s="27"/>
      <c r="BI48" s="27"/>
      <c r="BJ48" s="27"/>
      <c r="BK48" s="26">
        <f t="shared" si="106"/>
        <v>0</v>
      </c>
      <c r="BM48" s="27">
        <v>0</v>
      </c>
      <c r="BN48" s="27"/>
      <c r="BO48" s="27"/>
      <c r="BP48" s="27"/>
      <c r="BQ48" s="27"/>
      <c r="BR48" s="27"/>
      <c r="BS48" s="27"/>
      <c r="BT48" s="26">
        <f t="shared" si="107"/>
        <v>0</v>
      </c>
      <c r="BV48" s="26">
        <f t="shared" si="114"/>
        <v>8</v>
      </c>
      <c r="BW48" s="26">
        <f t="shared" si="115"/>
        <v>0</v>
      </c>
      <c r="BX48" s="26">
        <f t="shared" si="116"/>
        <v>0</v>
      </c>
      <c r="BY48" s="26">
        <f t="shared" si="117"/>
        <v>0</v>
      </c>
      <c r="BZ48" s="26">
        <f t="shared" si="118"/>
        <v>0</v>
      </c>
      <c r="CA48" s="26">
        <f t="shared" si="119"/>
        <v>0</v>
      </c>
      <c r="CB48" s="27"/>
      <c r="CC48" s="26">
        <f t="shared" ref="CC48" si="121">SUM(BV48:CB48)</f>
        <v>8</v>
      </c>
    </row>
    <row r="49" spans="1:81">
      <c r="A49" s="25" t="s">
        <v>50</v>
      </c>
      <c r="B49" s="27">
        <v>2</v>
      </c>
      <c r="C49" s="27"/>
      <c r="D49" s="27"/>
      <c r="E49" s="27"/>
      <c r="F49" s="27"/>
      <c r="G49" s="27"/>
      <c r="H49" s="27"/>
      <c r="I49" s="26">
        <f t="shared" si="100"/>
        <v>2</v>
      </c>
      <c r="K49" s="27">
        <v>2</v>
      </c>
      <c r="L49" s="27"/>
      <c r="M49" s="27"/>
      <c r="N49" s="27"/>
      <c r="O49" s="27"/>
      <c r="P49" s="27"/>
      <c r="Q49" s="27"/>
      <c r="R49" s="26">
        <f>SUM(K49:Q49)</f>
        <v>2</v>
      </c>
      <c r="T49" s="27">
        <v>2</v>
      </c>
      <c r="U49" s="27"/>
      <c r="V49" s="27"/>
      <c r="W49" s="27"/>
      <c r="X49" s="27"/>
      <c r="Y49" s="27"/>
      <c r="Z49" s="27"/>
      <c r="AA49" s="26">
        <f>SUM(T49:Z49)</f>
        <v>2</v>
      </c>
      <c r="AC49" s="27">
        <v>5</v>
      </c>
      <c r="AD49" s="27"/>
      <c r="AE49" s="27"/>
      <c r="AF49" s="27"/>
      <c r="AG49" s="27"/>
      <c r="AH49" s="27"/>
      <c r="AI49" s="27"/>
      <c r="AJ49" s="26">
        <f>SUM(AC49:AI49)</f>
        <v>5</v>
      </c>
      <c r="AL49" s="27">
        <v>4</v>
      </c>
      <c r="AM49" s="27"/>
      <c r="AN49" s="27"/>
      <c r="AO49" s="27"/>
      <c r="AP49" s="27"/>
      <c r="AQ49" s="27"/>
      <c r="AR49" s="27"/>
      <c r="AS49" s="26">
        <f>SUM(AL49:AR49)</f>
        <v>4</v>
      </c>
      <c r="AU49" s="27"/>
      <c r="AV49" s="27"/>
      <c r="AW49" s="27"/>
      <c r="AX49" s="27"/>
      <c r="AY49" s="27"/>
      <c r="AZ49" s="27"/>
      <c r="BA49" s="27"/>
      <c r="BB49" s="26">
        <f>SUM(AU49:BA49)</f>
        <v>0</v>
      </c>
      <c r="BD49" s="27">
        <v>1</v>
      </c>
      <c r="BE49" s="27"/>
      <c r="BF49" s="27"/>
      <c r="BG49" s="27"/>
      <c r="BH49" s="27">
        <v>0</v>
      </c>
      <c r="BI49" s="27"/>
      <c r="BJ49" s="27"/>
      <c r="BK49" s="26">
        <f>SUM(BD49:BJ49)</f>
        <v>1</v>
      </c>
      <c r="BM49" s="27">
        <v>0</v>
      </c>
      <c r="BN49" s="27"/>
      <c r="BO49" s="27"/>
      <c r="BP49" s="27"/>
      <c r="BQ49" s="27"/>
      <c r="BR49" s="27"/>
      <c r="BS49" s="27"/>
      <c r="BT49" s="26">
        <f>SUM(BM49:BS49)</f>
        <v>0</v>
      </c>
      <c r="BV49" s="26">
        <f t="shared" si="114"/>
        <v>16</v>
      </c>
      <c r="BW49" s="26">
        <f t="shared" si="115"/>
        <v>0</v>
      </c>
      <c r="BX49" s="26">
        <f t="shared" si="116"/>
        <v>0</v>
      </c>
      <c r="BY49" s="26">
        <f t="shared" si="117"/>
        <v>0</v>
      </c>
      <c r="BZ49" s="26">
        <f t="shared" si="118"/>
        <v>0</v>
      </c>
      <c r="CA49" s="26">
        <f t="shared" si="119"/>
        <v>0</v>
      </c>
      <c r="CB49" s="27"/>
      <c r="CC49" s="26">
        <f>SUM(BV49:CB49)</f>
        <v>16</v>
      </c>
    </row>
    <row r="50" spans="1:81">
      <c r="A50" s="25" t="s">
        <v>51</v>
      </c>
      <c r="B50" s="27">
        <v>4</v>
      </c>
      <c r="C50" s="27">
        <v>4</v>
      </c>
      <c r="D50" s="27">
        <v>1</v>
      </c>
      <c r="E50" s="27"/>
      <c r="F50" s="27"/>
      <c r="G50" s="27"/>
      <c r="H50" s="27"/>
      <c r="I50" s="26">
        <f t="shared" si="100"/>
        <v>9</v>
      </c>
      <c r="K50" s="27">
        <v>7</v>
      </c>
      <c r="L50" s="27">
        <v>4</v>
      </c>
      <c r="M50" s="27">
        <v>1</v>
      </c>
      <c r="N50" s="27"/>
      <c r="O50" s="27"/>
      <c r="P50" s="27"/>
      <c r="Q50" s="27"/>
      <c r="R50" s="26">
        <f>SUM(K50:Q50)</f>
        <v>12</v>
      </c>
      <c r="T50" s="27">
        <v>5</v>
      </c>
      <c r="U50" s="27">
        <v>5</v>
      </c>
      <c r="V50" s="27">
        <v>1</v>
      </c>
      <c r="W50" s="27"/>
      <c r="X50" s="27"/>
      <c r="Y50" s="27"/>
      <c r="Z50" s="27"/>
      <c r="AA50" s="26">
        <f>SUM(T50:Z50)</f>
        <v>11</v>
      </c>
      <c r="AC50" s="27">
        <v>10</v>
      </c>
      <c r="AD50" s="27">
        <v>13</v>
      </c>
      <c r="AE50" s="27">
        <v>3</v>
      </c>
      <c r="AF50" s="27"/>
      <c r="AG50" s="27"/>
      <c r="AH50" s="27"/>
      <c r="AI50" s="27"/>
      <c r="AJ50" s="26">
        <f>SUM(AC50:AI50)</f>
        <v>26</v>
      </c>
      <c r="AL50" s="27">
        <v>5</v>
      </c>
      <c r="AM50" s="27">
        <v>11</v>
      </c>
      <c r="AN50" s="27">
        <v>3</v>
      </c>
      <c r="AO50" s="27"/>
      <c r="AP50" s="27"/>
      <c r="AQ50" s="27"/>
      <c r="AR50" s="27"/>
      <c r="AS50" s="26">
        <f>SUM(AL50:AR50)</f>
        <v>19</v>
      </c>
      <c r="AU50" s="27">
        <v>2</v>
      </c>
      <c r="AV50" s="27">
        <v>1</v>
      </c>
      <c r="AW50" s="27"/>
      <c r="AX50" s="27"/>
      <c r="AY50" s="27"/>
      <c r="AZ50" s="27"/>
      <c r="BA50" s="27"/>
      <c r="BB50" s="26">
        <f>SUM(AU50:BA50)</f>
        <v>3</v>
      </c>
      <c r="BD50" s="27">
        <v>1</v>
      </c>
      <c r="BE50" s="27">
        <v>0</v>
      </c>
      <c r="BF50" s="27">
        <v>1</v>
      </c>
      <c r="BG50" s="27"/>
      <c r="BH50" s="27">
        <v>1</v>
      </c>
      <c r="BI50" s="27"/>
      <c r="BJ50" s="27"/>
      <c r="BK50" s="26">
        <f>SUM(BD50:BJ50)</f>
        <v>3</v>
      </c>
      <c r="BM50" s="27">
        <v>0</v>
      </c>
      <c r="BN50" s="27"/>
      <c r="BO50" s="27">
        <v>0</v>
      </c>
      <c r="BP50" s="27"/>
      <c r="BQ50" s="27"/>
      <c r="BR50" s="27"/>
      <c r="BS50" s="27"/>
      <c r="BT50" s="26">
        <f>SUM(BM50:BS50)</f>
        <v>0</v>
      </c>
      <c r="BV50" s="26">
        <f t="shared" si="114"/>
        <v>34</v>
      </c>
      <c r="BW50" s="26">
        <f t="shared" si="115"/>
        <v>38</v>
      </c>
      <c r="BX50" s="26">
        <f t="shared" si="116"/>
        <v>10</v>
      </c>
      <c r="BY50" s="26">
        <f t="shared" si="117"/>
        <v>0</v>
      </c>
      <c r="BZ50" s="26">
        <f t="shared" si="118"/>
        <v>1</v>
      </c>
      <c r="CA50" s="26">
        <f t="shared" si="119"/>
        <v>0</v>
      </c>
      <c r="CB50" s="27"/>
      <c r="CC50" s="26">
        <f>SUM(BV50:CB50)</f>
        <v>83</v>
      </c>
    </row>
    <row r="51" spans="1:81">
      <c r="A51" s="25" t="s">
        <v>52</v>
      </c>
      <c r="B51" s="27">
        <v>2</v>
      </c>
      <c r="C51" s="27"/>
      <c r="D51" s="27"/>
      <c r="E51" s="27"/>
      <c r="F51" s="27"/>
      <c r="G51" s="27"/>
      <c r="H51" s="27"/>
      <c r="I51" s="26">
        <f t="shared" si="100"/>
        <v>2</v>
      </c>
      <c r="K51" s="27">
        <v>3</v>
      </c>
      <c r="L51" s="27"/>
      <c r="M51" s="27"/>
      <c r="N51" s="27"/>
      <c r="O51" s="27"/>
      <c r="P51" s="27"/>
      <c r="Q51" s="27"/>
      <c r="R51" s="26">
        <f t="shared" si="101"/>
        <v>3</v>
      </c>
      <c r="T51" s="27">
        <v>3</v>
      </c>
      <c r="U51" s="27"/>
      <c r="V51" s="27"/>
      <c r="W51" s="27"/>
      <c r="X51" s="27"/>
      <c r="Y51" s="27"/>
      <c r="Z51" s="27"/>
      <c r="AA51" s="26">
        <f t="shared" si="102"/>
        <v>3</v>
      </c>
      <c r="AC51" s="27">
        <v>7</v>
      </c>
      <c r="AD51" s="27"/>
      <c r="AE51" s="27"/>
      <c r="AF51" s="27"/>
      <c r="AG51" s="27"/>
      <c r="AH51" s="27"/>
      <c r="AI51" s="27"/>
      <c r="AJ51" s="26">
        <f t="shared" si="103"/>
        <v>7</v>
      </c>
      <c r="AL51" s="27">
        <v>8</v>
      </c>
      <c r="AM51" s="27"/>
      <c r="AN51" s="27"/>
      <c r="AO51" s="27"/>
      <c r="AP51" s="27"/>
      <c r="AQ51" s="27"/>
      <c r="AR51" s="27"/>
      <c r="AS51" s="26">
        <f t="shared" si="104"/>
        <v>8</v>
      </c>
      <c r="AU51" s="27"/>
      <c r="AV51" s="27"/>
      <c r="AW51" s="27"/>
      <c r="AX51" s="27"/>
      <c r="AY51" s="27"/>
      <c r="AZ51" s="27"/>
      <c r="BA51" s="27"/>
      <c r="BB51" s="26">
        <f t="shared" si="105"/>
        <v>0</v>
      </c>
      <c r="BD51" s="27">
        <v>1</v>
      </c>
      <c r="BE51" s="27"/>
      <c r="BF51" s="27"/>
      <c r="BG51" s="27"/>
      <c r="BH51" s="27"/>
      <c r="BI51" s="27"/>
      <c r="BJ51" s="27"/>
      <c r="BK51" s="26">
        <f t="shared" si="106"/>
        <v>1</v>
      </c>
      <c r="BM51" s="27">
        <v>0</v>
      </c>
      <c r="BN51" s="27"/>
      <c r="BO51" s="27"/>
      <c r="BP51" s="27"/>
      <c r="BQ51" s="27"/>
      <c r="BR51" s="27"/>
      <c r="BS51" s="27"/>
      <c r="BT51" s="26">
        <f t="shared" si="107"/>
        <v>0</v>
      </c>
      <c r="BV51" s="26">
        <f t="shared" si="114"/>
        <v>24</v>
      </c>
      <c r="BW51" s="26">
        <f t="shared" si="115"/>
        <v>0</v>
      </c>
      <c r="BX51" s="26">
        <f t="shared" si="116"/>
        <v>0</v>
      </c>
      <c r="BY51" s="26">
        <f t="shared" si="117"/>
        <v>0</v>
      </c>
      <c r="BZ51" s="26">
        <f t="shared" si="118"/>
        <v>0</v>
      </c>
      <c r="CA51" s="26">
        <f t="shared" si="119"/>
        <v>0</v>
      </c>
      <c r="CB51" s="27"/>
      <c r="CC51" s="26">
        <f t="shared" ref="CC51" si="122">SUM(BV51:CB51)</f>
        <v>24</v>
      </c>
    </row>
    <row r="52" spans="1:81">
      <c r="A52" s="25" t="s">
        <v>53</v>
      </c>
      <c r="B52" s="27"/>
      <c r="C52" s="27"/>
      <c r="D52" s="27">
        <v>1</v>
      </c>
      <c r="E52" s="27"/>
      <c r="F52" s="27"/>
      <c r="G52" s="27"/>
      <c r="H52" s="27"/>
      <c r="I52" s="26">
        <f t="shared" si="100"/>
        <v>1</v>
      </c>
      <c r="K52" s="27"/>
      <c r="L52" s="27"/>
      <c r="M52" s="27">
        <v>1</v>
      </c>
      <c r="N52" s="27"/>
      <c r="O52" s="27"/>
      <c r="P52" s="27"/>
      <c r="Q52" s="27"/>
      <c r="R52" s="26">
        <f>SUM(K52:Q52)</f>
        <v>1</v>
      </c>
      <c r="T52" s="27"/>
      <c r="U52" s="27"/>
      <c r="V52" s="27">
        <v>1</v>
      </c>
      <c r="W52" s="27"/>
      <c r="X52" s="27"/>
      <c r="Y52" s="27"/>
      <c r="Z52" s="27"/>
      <c r="AA52" s="26">
        <f>SUM(T52:Z52)</f>
        <v>1</v>
      </c>
      <c r="AC52" s="27"/>
      <c r="AD52" s="27"/>
      <c r="AE52" s="27">
        <v>3</v>
      </c>
      <c r="AF52" s="27"/>
      <c r="AG52" s="27"/>
      <c r="AH52" s="27"/>
      <c r="AI52" s="27"/>
      <c r="AJ52" s="26">
        <f>SUM(AC52:AI52)</f>
        <v>3</v>
      </c>
      <c r="AL52" s="27"/>
      <c r="AM52" s="27"/>
      <c r="AN52" s="27">
        <v>1</v>
      </c>
      <c r="AO52" s="27"/>
      <c r="AP52" s="27"/>
      <c r="AQ52" s="27"/>
      <c r="AR52" s="27"/>
      <c r="AS52" s="26">
        <f>SUM(AL52:AR52)</f>
        <v>1</v>
      </c>
      <c r="AU52" s="27"/>
      <c r="AV52" s="27"/>
      <c r="AW52" s="27"/>
      <c r="AX52" s="27"/>
      <c r="AY52" s="27"/>
      <c r="AZ52" s="27"/>
      <c r="BA52" s="27"/>
      <c r="BB52" s="26">
        <f>SUM(AU52:BA52)</f>
        <v>0</v>
      </c>
      <c r="BD52" s="27"/>
      <c r="BE52" s="27"/>
      <c r="BF52" s="27">
        <v>0</v>
      </c>
      <c r="BG52" s="27"/>
      <c r="BH52" s="27"/>
      <c r="BI52" s="27"/>
      <c r="BJ52" s="27"/>
      <c r="BK52" s="26">
        <f>SUM(BD52:BJ52)</f>
        <v>0</v>
      </c>
      <c r="BM52" s="27">
        <v>0</v>
      </c>
      <c r="BN52" s="27"/>
      <c r="BO52" s="27">
        <v>1</v>
      </c>
      <c r="BP52" s="27"/>
      <c r="BQ52" s="27"/>
      <c r="BR52" s="27"/>
      <c r="BS52" s="27"/>
      <c r="BT52" s="26">
        <f>SUM(BM52:BS52)</f>
        <v>1</v>
      </c>
      <c r="BV52" s="26">
        <f t="shared" si="114"/>
        <v>0</v>
      </c>
      <c r="BW52" s="26">
        <f t="shared" si="115"/>
        <v>0</v>
      </c>
      <c r="BX52" s="26">
        <f t="shared" si="116"/>
        <v>8</v>
      </c>
      <c r="BY52" s="26">
        <f t="shared" si="117"/>
        <v>0</v>
      </c>
      <c r="BZ52" s="26">
        <f t="shared" si="118"/>
        <v>0</v>
      </c>
      <c r="CA52" s="26">
        <f t="shared" si="119"/>
        <v>0</v>
      </c>
      <c r="CB52" s="27"/>
      <c r="CC52" s="26">
        <f>SUM(BV52:CB52)</f>
        <v>8</v>
      </c>
    </row>
    <row r="53" spans="1:81">
      <c r="A53" s="25" t="s">
        <v>54</v>
      </c>
      <c r="B53" s="27">
        <v>0</v>
      </c>
      <c r="C53" s="27"/>
      <c r="D53" s="27"/>
      <c r="E53" s="27"/>
      <c r="F53" s="27"/>
      <c r="G53" s="27"/>
      <c r="H53" s="27"/>
      <c r="I53" s="26">
        <f t="shared" si="100"/>
        <v>0</v>
      </c>
      <c r="J53" s="6"/>
      <c r="K53" s="27"/>
      <c r="L53" s="27"/>
      <c r="M53" s="27"/>
      <c r="N53" s="27"/>
      <c r="O53" s="27"/>
      <c r="P53" s="27"/>
      <c r="Q53" s="27"/>
      <c r="R53" s="26">
        <f t="shared" si="101"/>
        <v>0</v>
      </c>
      <c r="T53" s="27"/>
      <c r="U53" s="27"/>
      <c r="V53" s="27"/>
      <c r="W53" s="27"/>
      <c r="X53" s="27"/>
      <c r="Y53" s="27"/>
      <c r="Z53" s="27"/>
      <c r="AA53" s="26">
        <f t="shared" si="102"/>
        <v>0</v>
      </c>
      <c r="AC53" s="27">
        <v>0</v>
      </c>
      <c r="AD53" s="27"/>
      <c r="AE53" s="27"/>
      <c r="AF53" s="27"/>
      <c r="AG53" s="27"/>
      <c r="AH53" s="27"/>
      <c r="AI53" s="27"/>
      <c r="AJ53" s="26">
        <f t="shared" si="103"/>
        <v>0</v>
      </c>
      <c r="AL53" s="27">
        <v>0</v>
      </c>
      <c r="AM53" s="27"/>
      <c r="AN53" s="27"/>
      <c r="AO53" s="27"/>
      <c r="AP53" s="27"/>
      <c r="AQ53" s="27"/>
      <c r="AR53" s="27"/>
      <c r="AS53" s="26">
        <f t="shared" si="104"/>
        <v>0</v>
      </c>
      <c r="AU53" s="27"/>
      <c r="AV53" s="27"/>
      <c r="AW53" s="27"/>
      <c r="AX53" s="27"/>
      <c r="AY53" s="27"/>
      <c r="AZ53" s="27"/>
      <c r="BA53" s="27"/>
      <c r="BB53" s="26">
        <f t="shared" si="105"/>
        <v>0</v>
      </c>
      <c r="BD53" s="27"/>
      <c r="BE53" s="27"/>
      <c r="BF53" s="27"/>
      <c r="BG53" s="27"/>
      <c r="BH53" s="27"/>
      <c r="BI53" s="27"/>
      <c r="BJ53" s="27"/>
      <c r="BK53" s="26">
        <f t="shared" si="106"/>
        <v>0</v>
      </c>
      <c r="BM53" s="27">
        <v>0</v>
      </c>
      <c r="BN53" s="27"/>
      <c r="BO53" s="27"/>
      <c r="BP53" s="27"/>
      <c r="BQ53" s="27"/>
      <c r="BR53" s="27"/>
      <c r="BS53" s="27"/>
      <c r="BT53" s="26">
        <f t="shared" si="107"/>
        <v>0</v>
      </c>
      <c r="BV53" s="26">
        <f t="shared" si="114"/>
        <v>0</v>
      </c>
      <c r="BW53" s="26">
        <f t="shared" si="115"/>
        <v>0</v>
      </c>
      <c r="BX53" s="26">
        <f t="shared" si="116"/>
        <v>0</v>
      </c>
      <c r="BY53" s="26">
        <f t="shared" si="117"/>
        <v>0</v>
      </c>
      <c r="BZ53" s="26">
        <f t="shared" si="118"/>
        <v>0</v>
      </c>
      <c r="CA53" s="26">
        <f t="shared" si="119"/>
        <v>0</v>
      </c>
      <c r="CB53" s="27"/>
      <c r="CC53" s="26">
        <f t="shared" ref="CC53:CC55" si="123">SUM(BV53:CB53)</f>
        <v>0</v>
      </c>
    </row>
    <row r="54" spans="1:81">
      <c r="A54" s="29" t="s">
        <v>55</v>
      </c>
      <c r="B54" s="27"/>
      <c r="C54" s="27">
        <v>1</v>
      </c>
      <c r="D54" s="27"/>
      <c r="E54" s="27"/>
      <c r="F54" s="27"/>
      <c r="G54" s="27"/>
      <c r="H54" s="27"/>
      <c r="I54" s="26">
        <f t="shared" si="100"/>
        <v>1</v>
      </c>
      <c r="J54" s="6"/>
      <c r="K54" s="27"/>
      <c r="L54" s="27">
        <v>1</v>
      </c>
      <c r="M54" s="27"/>
      <c r="N54" s="27"/>
      <c r="O54" s="27"/>
      <c r="P54" s="27"/>
      <c r="Q54" s="27"/>
      <c r="R54" s="26">
        <f t="shared" si="101"/>
        <v>1</v>
      </c>
      <c r="T54" s="27"/>
      <c r="U54" s="27">
        <v>1</v>
      </c>
      <c r="V54" s="27"/>
      <c r="W54" s="27"/>
      <c r="X54" s="27"/>
      <c r="Y54" s="27"/>
      <c r="Z54" s="27"/>
      <c r="AA54" s="26">
        <f t="shared" si="102"/>
        <v>1</v>
      </c>
      <c r="AC54" s="27"/>
      <c r="AD54" s="27">
        <v>1</v>
      </c>
      <c r="AE54" s="27"/>
      <c r="AF54" s="27"/>
      <c r="AG54" s="27"/>
      <c r="AH54" s="27"/>
      <c r="AI54" s="27"/>
      <c r="AJ54" s="26">
        <f t="shared" si="103"/>
        <v>1</v>
      </c>
      <c r="AL54" s="27"/>
      <c r="AM54" s="27">
        <v>0</v>
      </c>
      <c r="AN54" s="27"/>
      <c r="AO54" s="27"/>
      <c r="AP54" s="27"/>
      <c r="AQ54" s="27"/>
      <c r="AR54" s="27"/>
      <c r="AS54" s="26">
        <f t="shared" si="104"/>
        <v>0</v>
      </c>
      <c r="AU54" s="27"/>
      <c r="AV54" s="27"/>
      <c r="AW54" s="27"/>
      <c r="AX54" s="27"/>
      <c r="AY54" s="27"/>
      <c r="AZ54" s="27"/>
      <c r="BA54" s="27"/>
      <c r="BB54" s="26">
        <f t="shared" si="105"/>
        <v>0</v>
      </c>
      <c r="BD54" s="27"/>
      <c r="BE54" s="27"/>
      <c r="BF54" s="27"/>
      <c r="BG54" s="27"/>
      <c r="BH54" s="27"/>
      <c r="BI54" s="27"/>
      <c r="BJ54" s="27"/>
      <c r="BK54" s="26">
        <f t="shared" si="106"/>
        <v>0</v>
      </c>
      <c r="BM54" s="27"/>
      <c r="BN54" s="27"/>
      <c r="BO54" s="27"/>
      <c r="BP54" s="27"/>
      <c r="BQ54" s="27"/>
      <c r="BR54" s="27"/>
      <c r="BS54" s="27"/>
      <c r="BT54" s="26">
        <f t="shared" si="107"/>
        <v>0</v>
      </c>
      <c r="BV54" s="26">
        <f t="shared" si="114"/>
        <v>0</v>
      </c>
      <c r="BW54" s="26">
        <f t="shared" si="115"/>
        <v>4</v>
      </c>
      <c r="BX54" s="26">
        <f t="shared" si="116"/>
        <v>0</v>
      </c>
      <c r="BY54" s="26">
        <f t="shared" si="117"/>
        <v>0</v>
      </c>
      <c r="BZ54" s="26">
        <f t="shared" si="118"/>
        <v>0</v>
      </c>
      <c r="CA54" s="26">
        <f t="shared" si="119"/>
        <v>0</v>
      </c>
      <c r="CB54" s="27"/>
      <c r="CC54" s="26">
        <f t="shared" si="123"/>
        <v>4</v>
      </c>
    </row>
    <row r="55" spans="1:81">
      <c r="A55" s="29" t="s">
        <v>56</v>
      </c>
      <c r="B55" s="27"/>
      <c r="C55" s="27">
        <v>0</v>
      </c>
      <c r="D55" s="27"/>
      <c r="E55" s="27"/>
      <c r="F55" s="27"/>
      <c r="G55" s="27"/>
      <c r="H55" s="27"/>
      <c r="I55" s="26">
        <f t="shared" si="100"/>
        <v>0</v>
      </c>
      <c r="J55" s="6"/>
      <c r="K55" s="27"/>
      <c r="L55" s="27">
        <v>0</v>
      </c>
      <c r="M55" s="27"/>
      <c r="N55" s="27"/>
      <c r="O55" s="27"/>
      <c r="P55" s="27"/>
      <c r="Q55" s="27"/>
      <c r="R55" s="26">
        <f t="shared" si="101"/>
        <v>0</v>
      </c>
      <c r="T55" s="27"/>
      <c r="U55" s="27">
        <v>1</v>
      </c>
      <c r="V55" s="27"/>
      <c r="W55" s="27"/>
      <c r="X55" s="27"/>
      <c r="Y55" s="27"/>
      <c r="Z55" s="27"/>
      <c r="AA55" s="26">
        <f t="shared" si="102"/>
        <v>1</v>
      </c>
      <c r="AC55" s="27"/>
      <c r="AD55" s="27">
        <v>1</v>
      </c>
      <c r="AE55" s="27"/>
      <c r="AF55" s="27"/>
      <c r="AG55" s="27"/>
      <c r="AH55" s="27"/>
      <c r="AI55" s="27"/>
      <c r="AJ55" s="26">
        <f t="shared" si="103"/>
        <v>1</v>
      </c>
      <c r="AL55" s="27"/>
      <c r="AM55" s="27">
        <v>0</v>
      </c>
      <c r="AN55" s="27"/>
      <c r="AO55" s="27"/>
      <c r="AP55" s="27"/>
      <c r="AQ55" s="27"/>
      <c r="AR55" s="27"/>
      <c r="AS55" s="26">
        <f t="shared" si="104"/>
        <v>0</v>
      </c>
      <c r="AU55" s="27"/>
      <c r="AV55" s="27"/>
      <c r="AW55" s="27"/>
      <c r="AX55" s="27"/>
      <c r="AY55" s="27"/>
      <c r="AZ55" s="27"/>
      <c r="BA55" s="27"/>
      <c r="BB55" s="26">
        <f t="shared" si="105"/>
        <v>0</v>
      </c>
      <c r="BD55" s="27"/>
      <c r="BE55" s="27"/>
      <c r="BF55" s="27"/>
      <c r="BG55" s="27"/>
      <c r="BH55" s="27"/>
      <c r="BI55" s="27"/>
      <c r="BJ55" s="27"/>
      <c r="BK55" s="26">
        <f t="shared" si="106"/>
        <v>0</v>
      </c>
      <c r="BM55" s="27"/>
      <c r="BN55" s="27"/>
      <c r="BO55" s="27"/>
      <c r="BP55" s="27"/>
      <c r="BQ55" s="27"/>
      <c r="BR55" s="27"/>
      <c r="BS55" s="27"/>
      <c r="BT55" s="26">
        <f t="shared" si="107"/>
        <v>0</v>
      </c>
      <c r="BV55" s="26">
        <f t="shared" si="114"/>
        <v>0</v>
      </c>
      <c r="BW55" s="26">
        <f t="shared" si="115"/>
        <v>2</v>
      </c>
      <c r="BX55" s="26">
        <f t="shared" si="116"/>
        <v>0</v>
      </c>
      <c r="BY55" s="26">
        <f t="shared" si="117"/>
        <v>0</v>
      </c>
      <c r="BZ55" s="26">
        <f t="shared" si="118"/>
        <v>0</v>
      </c>
      <c r="CA55" s="26">
        <f t="shared" si="119"/>
        <v>0</v>
      </c>
      <c r="CB55" s="27"/>
      <c r="CC55" s="26">
        <f t="shared" si="123"/>
        <v>2</v>
      </c>
    </row>
    <row r="56" spans="1:81">
      <c r="A56" s="29" t="s">
        <v>57</v>
      </c>
      <c r="B56" s="27"/>
      <c r="C56" s="27">
        <v>0</v>
      </c>
      <c r="D56" s="27"/>
      <c r="E56" s="27"/>
      <c r="F56" s="27"/>
      <c r="G56" s="27"/>
      <c r="H56" s="27"/>
      <c r="I56" s="26">
        <f t="shared" si="100"/>
        <v>0</v>
      </c>
      <c r="J56" s="6"/>
      <c r="K56" s="27"/>
      <c r="L56" s="27">
        <v>0.5</v>
      </c>
      <c r="M56" s="27"/>
      <c r="N56" s="27"/>
      <c r="O56" s="27"/>
      <c r="P56" s="27"/>
      <c r="Q56" s="27"/>
      <c r="R56" s="26">
        <f>SUM(K56:Q56)</f>
        <v>0.5</v>
      </c>
      <c r="T56" s="27"/>
      <c r="U56" s="27">
        <v>0.5</v>
      </c>
      <c r="V56" s="27"/>
      <c r="W56" s="27"/>
      <c r="X56" s="27"/>
      <c r="Y56" s="27"/>
      <c r="Z56" s="27"/>
      <c r="AA56" s="26">
        <f>SUM(T56:Z56)</f>
        <v>0.5</v>
      </c>
      <c r="AC56" s="27"/>
      <c r="AD56" s="27">
        <v>1</v>
      </c>
      <c r="AE56" s="27"/>
      <c r="AF56" s="27"/>
      <c r="AG56" s="27"/>
      <c r="AH56" s="27"/>
      <c r="AI56" s="27"/>
      <c r="AJ56" s="26">
        <f>SUM(AC56:AI56)</f>
        <v>1</v>
      </c>
      <c r="AL56" s="27"/>
      <c r="AM56" s="27">
        <v>1</v>
      </c>
      <c r="AN56" s="27"/>
      <c r="AO56" s="27"/>
      <c r="AP56" s="27"/>
      <c r="AQ56" s="27"/>
      <c r="AR56" s="27"/>
      <c r="AS56" s="26">
        <f>SUM(AL56:AR56)</f>
        <v>1</v>
      </c>
      <c r="AU56" s="27"/>
      <c r="AV56" s="27"/>
      <c r="AW56" s="27"/>
      <c r="AX56" s="27"/>
      <c r="AY56" s="27"/>
      <c r="AZ56" s="27"/>
      <c r="BA56" s="27"/>
      <c r="BB56" s="26">
        <f>SUM(AU56:BA56)</f>
        <v>0</v>
      </c>
      <c r="BD56" s="27"/>
      <c r="BE56" s="27"/>
      <c r="BF56" s="27"/>
      <c r="BG56" s="27"/>
      <c r="BH56" s="27"/>
      <c r="BI56" s="27"/>
      <c r="BJ56" s="27"/>
      <c r="BK56" s="26">
        <f>SUM(BD56:BJ56)</f>
        <v>0</v>
      </c>
      <c r="BM56" s="27"/>
      <c r="BN56" s="27">
        <v>0</v>
      </c>
      <c r="BO56" s="27"/>
      <c r="BP56" s="27"/>
      <c r="BQ56" s="27"/>
      <c r="BR56" s="27"/>
      <c r="BS56" s="27"/>
      <c r="BT56" s="26">
        <f>SUM(BM56:BS56)</f>
        <v>0</v>
      </c>
      <c r="BV56" s="26">
        <f t="shared" si="114"/>
        <v>0</v>
      </c>
      <c r="BW56" s="26">
        <f t="shared" si="115"/>
        <v>3</v>
      </c>
      <c r="BX56" s="26">
        <f t="shared" si="116"/>
        <v>0</v>
      </c>
      <c r="BY56" s="26">
        <f t="shared" si="117"/>
        <v>0</v>
      </c>
      <c r="BZ56" s="26">
        <f t="shared" si="118"/>
        <v>0</v>
      </c>
      <c r="CA56" s="26">
        <f t="shared" si="119"/>
        <v>0</v>
      </c>
      <c r="CB56" s="27"/>
      <c r="CC56" s="26">
        <f>SUM(BV56:CB56)</f>
        <v>3</v>
      </c>
    </row>
    <row r="57" spans="1:81">
      <c r="A57" s="29" t="s">
        <v>58</v>
      </c>
      <c r="B57" s="27"/>
      <c r="C57" s="27"/>
      <c r="D57" s="27"/>
      <c r="E57" s="27"/>
      <c r="F57" s="27"/>
      <c r="G57" s="27"/>
      <c r="H57" s="27"/>
      <c r="I57" s="26">
        <f t="shared" si="100"/>
        <v>0</v>
      </c>
      <c r="J57" s="6"/>
      <c r="K57" s="27"/>
      <c r="L57" s="27"/>
      <c r="M57" s="27"/>
      <c r="N57" s="27"/>
      <c r="O57" s="27"/>
      <c r="P57" s="27"/>
      <c r="Q57" s="27"/>
      <c r="R57" s="26">
        <f t="shared" si="101"/>
        <v>0</v>
      </c>
      <c r="T57" s="27"/>
      <c r="U57" s="27">
        <v>0.33</v>
      </c>
      <c r="V57" s="27"/>
      <c r="W57" s="27"/>
      <c r="X57" s="27"/>
      <c r="Y57" s="27"/>
      <c r="Z57" s="27"/>
      <c r="AA57" s="26">
        <f t="shared" si="102"/>
        <v>0.33</v>
      </c>
      <c r="AC57" s="27"/>
      <c r="AD57" s="27"/>
      <c r="AE57" s="27"/>
      <c r="AF57" s="27"/>
      <c r="AG57" s="27"/>
      <c r="AH57" s="27"/>
      <c r="AI57" s="27"/>
      <c r="AJ57" s="26">
        <f t="shared" si="103"/>
        <v>0</v>
      </c>
      <c r="AL57" s="27"/>
      <c r="AM57" s="27">
        <v>0.5</v>
      </c>
      <c r="AN57" s="27"/>
      <c r="AO57" s="27"/>
      <c r="AP57" s="27"/>
      <c r="AQ57" s="27"/>
      <c r="AR57" s="27"/>
      <c r="AS57" s="26">
        <f t="shared" si="104"/>
        <v>0.5</v>
      </c>
      <c r="AU57" s="27"/>
      <c r="AV57" s="27"/>
      <c r="AW57" s="27"/>
      <c r="AX57" s="27"/>
      <c r="AY57" s="27"/>
      <c r="AZ57" s="27"/>
      <c r="BA57" s="27"/>
      <c r="BB57" s="26">
        <f t="shared" si="105"/>
        <v>0</v>
      </c>
      <c r="BD57" s="27"/>
      <c r="BE57" s="27"/>
      <c r="BF57" s="27"/>
      <c r="BG57" s="27"/>
      <c r="BH57" s="27"/>
      <c r="BI57" s="27"/>
      <c r="BJ57" s="27"/>
      <c r="BK57" s="26">
        <f t="shared" si="106"/>
        <v>0</v>
      </c>
      <c r="BM57" s="27"/>
      <c r="BN57" s="27"/>
      <c r="BO57" s="27"/>
      <c r="BP57" s="27"/>
      <c r="BQ57" s="27"/>
      <c r="BR57" s="27"/>
      <c r="BS57" s="27"/>
      <c r="BT57" s="26">
        <f t="shared" si="107"/>
        <v>0</v>
      </c>
      <c r="BV57" s="26">
        <f t="shared" si="114"/>
        <v>0</v>
      </c>
      <c r="BW57" s="26">
        <f t="shared" si="115"/>
        <v>0.83000000000000007</v>
      </c>
      <c r="BX57" s="26">
        <f t="shared" si="116"/>
        <v>0</v>
      </c>
      <c r="BY57" s="26">
        <f t="shared" si="117"/>
        <v>0</v>
      </c>
      <c r="BZ57" s="26">
        <f t="shared" si="118"/>
        <v>0</v>
      </c>
      <c r="CA57" s="26">
        <f t="shared" si="119"/>
        <v>0</v>
      </c>
      <c r="CB57" s="27"/>
      <c r="CC57" s="26">
        <f t="shared" ref="CC57" si="124">SUM(BV57:CB57)</f>
        <v>0.83000000000000007</v>
      </c>
    </row>
    <row r="58" spans="1:81">
      <c r="A58" s="29" t="s">
        <v>59</v>
      </c>
      <c r="B58" s="27">
        <v>0</v>
      </c>
      <c r="C58" s="27"/>
      <c r="D58" s="27"/>
      <c r="E58" s="27"/>
      <c r="F58" s="27"/>
      <c r="G58" s="27"/>
      <c r="H58" s="27"/>
      <c r="I58" s="26">
        <f t="shared" si="100"/>
        <v>0</v>
      </c>
      <c r="J58" s="6"/>
      <c r="K58" s="27">
        <v>0</v>
      </c>
      <c r="L58" s="27">
        <v>0.5</v>
      </c>
      <c r="M58" s="27"/>
      <c r="N58" s="27"/>
      <c r="O58" s="27"/>
      <c r="P58" s="27"/>
      <c r="Q58" s="27"/>
      <c r="R58" s="26">
        <f>SUM(K58:Q58)</f>
        <v>0.5</v>
      </c>
      <c r="T58" s="27">
        <v>0</v>
      </c>
      <c r="U58" s="27">
        <v>0.5</v>
      </c>
      <c r="V58" s="27"/>
      <c r="W58" s="27"/>
      <c r="X58" s="27"/>
      <c r="Y58" s="27"/>
      <c r="Z58" s="27"/>
      <c r="AA58" s="26">
        <f>SUM(T58:Z58)</f>
        <v>0.5</v>
      </c>
      <c r="AC58" s="27">
        <v>0</v>
      </c>
      <c r="AD58" s="27">
        <v>1</v>
      </c>
      <c r="AE58" s="27"/>
      <c r="AF58" s="27"/>
      <c r="AG58" s="27"/>
      <c r="AH58" s="27"/>
      <c r="AI58" s="27"/>
      <c r="AJ58" s="26">
        <f>SUM(AC58:AI58)</f>
        <v>1</v>
      </c>
      <c r="AL58" s="27">
        <v>0</v>
      </c>
      <c r="AM58" s="27">
        <v>1</v>
      </c>
      <c r="AN58" s="27"/>
      <c r="AO58" s="27"/>
      <c r="AP58" s="27"/>
      <c r="AQ58" s="27"/>
      <c r="AR58" s="27"/>
      <c r="AS58" s="26">
        <f>SUM(AL58:AR58)</f>
        <v>1</v>
      </c>
      <c r="AU58" s="27"/>
      <c r="AV58" s="27"/>
      <c r="AW58" s="27"/>
      <c r="AX58" s="27"/>
      <c r="AY58" s="27"/>
      <c r="AZ58" s="27"/>
      <c r="BA58" s="27"/>
      <c r="BB58" s="26">
        <f>SUM(AU58:BA58)</f>
        <v>0</v>
      </c>
      <c r="BD58" s="27"/>
      <c r="BE58" s="27"/>
      <c r="BF58" s="27"/>
      <c r="BG58" s="27"/>
      <c r="BH58" s="27"/>
      <c r="BI58" s="27"/>
      <c r="BJ58" s="27"/>
      <c r="BK58" s="26">
        <f>SUM(BD58:BJ58)</f>
        <v>0</v>
      </c>
      <c r="BM58" s="27">
        <v>0</v>
      </c>
      <c r="BN58" s="27"/>
      <c r="BO58" s="27"/>
      <c r="BP58" s="27"/>
      <c r="BQ58" s="27"/>
      <c r="BR58" s="27"/>
      <c r="BS58" s="27"/>
      <c r="BT58" s="26">
        <f>SUM(BM58:BS58)</f>
        <v>0</v>
      </c>
      <c r="BV58" s="26">
        <f t="shared" si="114"/>
        <v>0</v>
      </c>
      <c r="BW58" s="26">
        <f t="shared" si="115"/>
        <v>3</v>
      </c>
      <c r="BX58" s="26">
        <f t="shared" si="116"/>
        <v>0</v>
      </c>
      <c r="BY58" s="26">
        <f t="shared" si="117"/>
        <v>0</v>
      </c>
      <c r="BZ58" s="26">
        <f t="shared" si="118"/>
        <v>0</v>
      </c>
      <c r="CA58" s="26">
        <f t="shared" si="119"/>
        <v>0</v>
      </c>
      <c r="CB58" s="27"/>
      <c r="CC58" s="26">
        <f>SUM(BV58:CB58)</f>
        <v>3</v>
      </c>
    </row>
    <row r="59" spans="1:81">
      <c r="A59" s="29" t="s">
        <v>60</v>
      </c>
      <c r="B59" s="27">
        <v>1</v>
      </c>
      <c r="C59" s="27"/>
      <c r="D59" s="27"/>
      <c r="E59" s="27"/>
      <c r="F59" s="27"/>
      <c r="G59" s="27"/>
      <c r="H59" s="27"/>
      <c r="I59" s="26">
        <f t="shared" si="100"/>
        <v>1</v>
      </c>
      <c r="J59" s="6"/>
      <c r="K59" s="27">
        <v>1</v>
      </c>
      <c r="L59" s="27"/>
      <c r="M59" s="27"/>
      <c r="N59" s="27"/>
      <c r="O59" s="27"/>
      <c r="P59" s="27"/>
      <c r="Q59" s="27"/>
      <c r="R59" s="26">
        <f t="shared" si="101"/>
        <v>1</v>
      </c>
      <c r="T59" s="27">
        <v>2</v>
      </c>
      <c r="U59" s="27"/>
      <c r="V59" s="27"/>
      <c r="W59" s="27"/>
      <c r="X59" s="27"/>
      <c r="Y59" s="27"/>
      <c r="Z59" s="27"/>
      <c r="AA59" s="26">
        <f t="shared" si="102"/>
        <v>2</v>
      </c>
      <c r="AC59" s="27">
        <v>3</v>
      </c>
      <c r="AD59" s="27"/>
      <c r="AE59" s="27"/>
      <c r="AF59" s="27"/>
      <c r="AG59" s="27"/>
      <c r="AH59" s="27"/>
      <c r="AI59" s="27"/>
      <c r="AJ59" s="26">
        <f t="shared" si="103"/>
        <v>3</v>
      </c>
      <c r="AL59" s="27">
        <v>3</v>
      </c>
      <c r="AM59" s="27"/>
      <c r="AN59" s="27"/>
      <c r="AO59" s="27"/>
      <c r="AP59" s="27"/>
      <c r="AQ59" s="27"/>
      <c r="AR59" s="27"/>
      <c r="AS59" s="26">
        <f t="shared" si="104"/>
        <v>3</v>
      </c>
      <c r="AU59" s="27"/>
      <c r="AV59" s="27"/>
      <c r="AW59" s="27"/>
      <c r="AX59" s="27"/>
      <c r="AY59" s="27"/>
      <c r="AZ59" s="27"/>
      <c r="BA59" s="27"/>
      <c r="BB59" s="26">
        <f t="shared" si="105"/>
        <v>0</v>
      </c>
      <c r="BD59" s="27"/>
      <c r="BE59" s="27"/>
      <c r="BF59" s="27"/>
      <c r="BG59" s="27"/>
      <c r="BH59" s="27"/>
      <c r="BI59" s="27"/>
      <c r="BJ59" s="27"/>
      <c r="BK59" s="26">
        <f t="shared" si="106"/>
        <v>0</v>
      </c>
      <c r="BM59" s="27">
        <v>0</v>
      </c>
      <c r="BN59" s="27"/>
      <c r="BO59" s="27"/>
      <c r="BP59" s="27"/>
      <c r="BQ59" s="27"/>
      <c r="BR59" s="27"/>
      <c r="BS59" s="27"/>
      <c r="BT59" s="26">
        <f t="shared" si="107"/>
        <v>0</v>
      </c>
      <c r="BV59" s="26">
        <f t="shared" si="114"/>
        <v>10</v>
      </c>
      <c r="BW59" s="26">
        <f t="shared" si="115"/>
        <v>0</v>
      </c>
      <c r="BX59" s="26">
        <f t="shared" si="116"/>
        <v>0</v>
      </c>
      <c r="BY59" s="26">
        <f t="shared" si="117"/>
        <v>0</v>
      </c>
      <c r="BZ59" s="26">
        <f t="shared" si="118"/>
        <v>0</v>
      </c>
      <c r="CA59" s="26">
        <f t="shared" si="119"/>
        <v>0</v>
      </c>
      <c r="CB59" s="27"/>
      <c r="CC59" s="26">
        <f t="shared" ref="CC59:CC60" si="125">SUM(BV59:CB59)</f>
        <v>10</v>
      </c>
    </row>
    <row r="60" spans="1:81">
      <c r="A60" s="25" t="s">
        <v>61</v>
      </c>
      <c r="B60" s="26"/>
      <c r="C60" s="26"/>
      <c r="D60" s="26"/>
      <c r="E60" s="26"/>
      <c r="F60" s="26"/>
      <c r="G60" s="26"/>
      <c r="H60" s="26"/>
      <c r="I60" s="26">
        <f t="shared" si="100"/>
        <v>0</v>
      </c>
      <c r="J60" s="6"/>
      <c r="K60" s="26"/>
      <c r="L60" s="26"/>
      <c r="M60" s="26"/>
      <c r="N60" s="26"/>
      <c r="O60" s="26"/>
      <c r="P60" s="26"/>
      <c r="Q60" s="26"/>
      <c r="R60" s="26">
        <f t="shared" si="101"/>
        <v>0</v>
      </c>
      <c r="T60" s="26">
        <v>1</v>
      </c>
      <c r="U60" s="26"/>
      <c r="V60" s="26"/>
      <c r="W60" s="26"/>
      <c r="X60" s="26"/>
      <c r="Y60" s="26"/>
      <c r="Z60" s="26"/>
      <c r="AA60" s="26">
        <f t="shared" si="102"/>
        <v>1</v>
      </c>
      <c r="AC60" s="26">
        <v>1</v>
      </c>
      <c r="AD60" s="26"/>
      <c r="AE60" s="26"/>
      <c r="AF60" s="26"/>
      <c r="AG60" s="26"/>
      <c r="AH60" s="26"/>
      <c r="AI60" s="26"/>
      <c r="AJ60" s="26">
        <f t="shared" si="103"/>
        <v>1</v>
      </c>
      <c r="AL60" s="26">
        <v>1</v>
      </c>
      <c r="AM60" s="26"/>
      <c r="AN60" s="26"/>
      <c r="AO60" s="26"/>
      <c r="AP60" s="26"/>
      <c r="AQ60" s="26"/>
      <c r="AR60" s="26"/>
      <c r="AS60" s="26">
        <f t="shared" si="104"/>
        <v>1</v>
      </c>
      <c r="AU60" s="26"/>
      <c r="AV60" s="26"/>
      <c r="AW60" s="26"/>
      <c r="AX60" s="26"/>
      <c r="AY60" s="26"/>
      <c r="AZ60" s="26"/>
      <c r="BA60" s="26"/>
      <c r="BB60" s="26">
        <f t="shared" si="105"/>
        <v>0</v>
      </c>
      <c r="BD60" s="26"/>
      <c r="BE60" s="26"/>
      <c r="BF60" s="26"/>
      <c r="BG60" s="26"/>
      <c r="BH60" s="26"/>
      <c r="BI60" s="26"/>
      <c r="BJ60" s="26"/>
      <c r="BK60" s="26">
        <f t="shared" si="106"/>
        <v>0</v>
      </c>
      <c r="BM60" s="26"/>
      <c r="BN60" s="26"/>
      <c r="BO60" s="26"/>
      <c r="BP60" s="26"/>
      <c r="BQ60" s="26"/>
      <c r="BR60" s="26"/>
      <c r="BS60" s="26"/>
      <c r="BT60" s="26">
        <f t="shared" si="107"/>
        <v>0</v>
      </c>
      <c r="BV60" s="26">
        <f t="shared" si="114"/>
        <v>3</v>
      </c>
      <c r="BW60" s="26">
        <f t="shared" si="115"/>
        <v>0</v>
      </c>
      <c r="BX60" s="26">
        <f t="shared" si="116"/>
        <v>0</v>
      </c>
      <c r="BY60" s="26">
        <f t="shared" si="117"/>
        <v>0</v>
      </c>
      <c r="BZ60" s="26">
        <f t="shared" si="118"/>
        <v>0</v>
      </c>
      <c r="CA60" s="26">
        <f t="shared" si="119"/>
        <v>0</v>
      </c>
      <c r="CB60" s="26"/>
      <c r="CC60" s="26">
        <f t="shared" si="125"/>
        <v>3</v>
      </c>
    </row>
    <row r="61" spans="1:81" ht="15">
      <c r="A61" s="24" t="s">
        <v>62</v>
      </c>
      <c r="B61" s="33">
        <f t="shared" ref="B61:I61" si="126">SUM(B39:B60)</f>
        <v>18</v>
      </c>
      <c r="C61" s="33">
        <f t="shared" si="126"/>
        <v>5</v>
      </c>
      <c r="D61" s="33">
        <f t="shared" si="126"/>
        <v>2</v>
      </c>
      <c r="E61" s="33">
        <f t="shared" si="126"/>
        <v>0</v>
      </c>
      <c r="F61" s="33">
        <f t="shared" si="126"/>
        <v>0</v>
      </c>
      <c r="G61" s="33">
        <f t="shared" si="126"/>
        <v>0</v>
      </c>
      <c r="H61" s="33">
        <f t="shared" si="126"/>
        <v>0</v>
      </c>
      <c r="I61" s="33">
        <f t="shared" si="126"/>
        <v>25</v>
      </c>
      <c r="J61" s="7"/>
      <c r="K61" s="33">
        <f t="shared" ref="K61:R61" si="127">SUM(K39:K60)</f>
        <v>22</v>
      </c>
      <c r="L61" s="33">
        <f t="shared" si="127"/>
        <v>6</v>
      </c>
      <c r="M61" s="33">
        <f t="shared" si="127"/>
        <v>2</v>
      </c>
      <c r="N61" s="33">
        <f t="shared" si="127"/>
        <v>0</v>
      </c>
      <c r="O61" s="33">
        <f t="shared" si="127"/>
        <v>0</v>
      </c>
      <c r="P61" s="33">
        <f t="shared" si="127"/>
        <v>0</v>
      </c>
      <c r="Q61" s="33">
        <f t="shared" si="127"/>
        <v>0</v>
      </c>
      <c r="R61" s="33">
        <f t="shared" si="127"/>
        <v>30</v>
      </c>
      <c r="T61" s="33">
        <f t="shared" ref="T61:AA61" si="128">SUM(T39:T60)</f>
        <v>22</v>
      </c>
      <c r="U61" s="33">
        <f t="shared" si="128"/>
        <v>8.33</v>
      </c>
      <c r="V61" s="33">
        <f t="shared" si="128"/>
        <v>2</v>
      </c>
      <c r="W61" s="33">
        <f t="shared" si="128"/>
        <v>0</v>
      </c>
      <c r="X61" s="33">
        <f t="shared" si="128"/>
        <v>0</v>
      </c>
      <c r="Y61" s="33">
        <f t="shared" si="128"/>
        <v>0</v>
      </c>
      <c r="Z61" s="33">
        <f t="shared" si="128"/>
        <v>0</v>
      </c>
      <c r="AA61" s="33">
        <f t="shared" si="128"/>
        <v>32.33</v>
      </c>
      <c r="AC61" s="33">
        <f t="shared" ref="AC61:AJ61" si="129">SUM(AC39:AC60)</f>
        <v>47</v>
      </c>
      <c r="AD61" s="33">
        <f t="shared" si="129"/>
        <v>17</v>
      </c>
      <c r="AE61" s="33">
        <f t="shared" si="129"/>
        <v>6</v>
      </c>
      <c r="AF61" s="33">
        <f t="shared" si="129"/>
        <v>0</v>
      </c>
      <c r="AG61" s="33">
        <f t="shared" si="129"/>
        <v>0</v>
      </c>
      <c r="AH61" s="33">
        <f t="shared" si="129"/>
        <v>0</v>
      </c>
      <c r="AI61" s="33">
        <f t="shared" si="129"/>
        <v>0</v>
      </c>
      <c r="AJ61" s="33">
        <f t="shared" si="129"/>
        <v>70</v>
      </c>
      <c r="AL61" s="33">
        <f t="shared" ref="AL61:AS61" si="130">SUM(AL39:AL60)</f>
        <v>40</v>
      </c>
      <c r="AM61" s="33">
        <f t="shared" si="130"/>
        <v>13.5</v>
      </c>
      <c r="AN61" s="33">
        <f t="shared" si="130"/>
        <v>4</v>
      </c>
      <c r="AO61" s="33">
        <f t="shared" si="130"/>
        <v>0</v>
      </c>
      <c r="AP61" s="33">
        <f t="shared" si="130"/>
        <v>0</v>
      </c>
      <c r="AQ61" s="33">
        <f t="shared" si="130"/>
        <v>0</v>
      </c>
      <c r="AR61" s="33">
        <f t="shared" si="130"/>
        <v>0</v>
      </c>
      <c r="AS61" s="33">
        <f t="shared" si="130"/>
        <v>57.5</v>
      </c>
      <c r="AU61" s="33">
        <f t="shared" ref="AU61:BB61" si="131">SUM(AU39:AU60)</f>
        <v>3</v>
      </c>
      <c r="AV61" s="33">
        <f t="shared" si="131"/>
        <v>1</v>
      </c>
      <c r="AW61" s="33">
        <f t="shared" si="131"/>
        <v>0</v>
      </c>
      <c r="AX61" s="33">
        <f t="shared" si="131"/>
        <v>0</v>
      </c>
      <c r="AY61" s="33">
        <f t="shared" si="131"/>
        <v>0</v>
      </c>
      <c r="AZ61" s="33">
        <f t="shared" si="131"/>
        <v>0</v>
      </c>
      <c r="BA61" s="33">
        <f t="shared" si="131"/>
        <v>0</v>
      </c>
      <c r="BB61" s="33">
        <f t="shared" si="131"/>
        <v>4</v>
      </c>
      <c r="BD61" s="33">
        <f t="shared" ref="BD61:BK61" si="132">SUM(BD39:BD60)</f>
        <v>6</v>
      </c>
      <c r="BE61" s="33">
        <f t="shared" si="132"/>
        <v>0</v>
      </c>
      <c r="BF61" s="33">
        <f t="shared" si="132"/>
        <v>1</v>
      </c>
      <c r="BG61" s="33">
        <f t="shared" si="132"/>
        <v>1</v>
      </c>
      <c r="BH61" s="33">
        <f t="shared" si="132"/>
        <v>1</v>
      </c>
      <c r="BI61" s="33">
        <f t="shared" si="132"/>
        <v>0</v>
      </c>
      <c r="BJ61" s="33">
        <f t="shared" si="132"/>
        <v>0</v>
      </c>
      <c r="BK61" s="33">
        <f t="shared" si="132"/>
        <v>9</v>
      </c>
      <c r="BM61" s="33">
        <f t="shared" ref="BM61:BT61" si="133">SUM(BM39:BM60)</f>
        <v>2</v>
      </c>
      <c r="BN61" s="33">
        <f t="shared" si="133"/>
        <v>0</v>
      </c>
      <c r="BO61" s="33">
        <f t="shared" si="133"/>
        <v>1</v>
      </c>
      <c r="BP61" s="33">
        <f t="shared" si="133"/>
        <v>0</v>
      </c>
      <c r="BQ61" s="33">
        <f t="shared" si="133"/>
        <v>0</v>
      </c>
      <c r="BR61" s="33">
        <f t="shared" si="133"/>
        <v>0</v>
      </c>
      <c r="BS61" s="33">
        <f t="shared" si="133"/>
        <v>0</v>
      </c>
      <c r="BT61" s="33">
        <f t="shared" si="133"/>
        <v>3</v>
      </c>
      <c r="BV61" s="33">
        <f t="shared" ref="BV61:CC61" si="134">SUM(BV39:BV60)</f>
        <v>160</v>
      </c>
      <c r="BW61" s="33">
        <f t="shared" si="134"/>
        <v>50.83</v>
      </c>
      <c r="BX61" s="33">
        <f t="shared" si="134"/>
        <v>18</v>
      </c>
      <c r="BY61" s="33">
        <f t="shared" si="134"/>
        <v>1</v>
      </c>
      <c r="BZ61" s="33">
        <f t="shared" si="134"/>
        <v>1</v>
      </c>
      <c r="CA61" s="33">
        <f t="shared" si="134"/>
        <v>0</v>
      </c>
      <c r="CB61" s="33">
        <f t="shared" si="134"/>
        <v>0</v>
      </c>
      <c r="CC61" s="33">
        <f t="shared" si="134"/>
        <v>230.83</v>
      </c>
    </row>
    <row r="62" spans="1:81" ht="15.75" thickBot="1">
      <c r="A62" s="34"/>
      <c r="B62" s="35"/>
      <c r="C62" s="35"/>
      <c r="D62" s="35"/>
      <c r="E62" s="35"/>
      <c r="F62" s="35"/>
      <c r="G62" s="35"/>
      <c r="H62" s="35"/>
      <c r="I62" s="35"/>
      <c r="J62" s="7"/>
      <c r="K62" s="35"/>
      <c r="L62" s="35"/>
      <c r="M62" s="35"/>
      <c r="N62" s="35"/>
      <c r="O62" s="35"/>
      <c r="P62" s="35"/>
      <c r="Q62" s="35"/>
      <c r="R62" s="35"/>
      <c r="T62" s="35"/>
      <c r="U62" s="35"/>
      <c r="V62" s="35"/>
      <c r="W62" s="35"/>
      <c r="X62" s="35"/>
      <c r="Y62" s="35"/>
      <c r="Z62" s="35"/>
      <c r="AA62" s="35"/>
      <c r="AC62" s="35"/>
      <c r="AD62" s="35"/>
      <c r="AE62" s="35"/>
      <c r="AF62" s="35"/>
      <c r="AG62" s="35"/>
      <c r="AH62" s="35"/>
      <c r="AI62" s="35"/>
      <c r="AJ62" s="35"/>
      <c r="AL62" s="35"/>
      <c r="AM62" s="35"/>
      <c r="AN62" s="35"/>
      <c r="AO62" s="35"/>
      <c r="AP62" s="35"/>
      <c r="AQ62" s="35"/>
      <c r="AR62" s="35"/>
      <c r="AS62" s="35"/>
      <c r="AU62" s="35"/>
      <c r="AV62" s="35"/>
      <c r="AW62" s="35"/>
      <c r="AX62" s="35"/>
      <c r="AY62" s="35"/>
      <c r="AZ62" s="35"/>
      <c r="BA62" s="35"/>
      <c r="BB62" s="35"/>
      <c r="BD62" s="35"/>
      <c r="BE62" s="35"/>
      <c r="BF62" s="35"/>
      <c r="BG62" s="35"/>
      <c r="BH62" s="35"/>
      <c r="BI62" s="35"/>
      <c r="BJ62" s="35"/>
      <c r="BK62" s="35"/>
      <c r="BM62" s="35"/>
      <c r="BN62" s="35"/>
      <c r="BO62" s="35"/>
      <c r="BP62" s="35"/>
      <c r="BQ62" s="35"/>
      <c r="BR62" s="35"/>
      <c r="BS62" s="35"/>
      <c r="BT62" s="35"/>
      <c r="BV62" s="35"/>
      <c r="BW62" s="35"/>
      <c r="BX62" s="35"/>
      <c r="BY62" s="35"/>
      <c r="BZ62" s="35"/>
      <c r="CA62" s="35"/>
      <c r="CB62" s="35"/>
      <c r="CC62" s="35"/>
    </row>
    <row r="63" spans="1:81" ht="15">
      <c r="A63" s="36" t="s">
        <v>63</v>
      </c>
      <c r="B63" s="37">
        <f t="shared" ref="B63:I63" si="135">B36</f>
        <v>41.5</v>
      </c>
      <c r="C63" s="37">
        <f t="shared" si="135"/>
        <v>5</v>
      </c>
      <c r="D63" s="37">
        <f t="shared" si="135"/>
        <v>0</v>
      </c>
      <c r="E63" s="37">
        <f t="shared" si="135"/>
        <v>0</v>
      </c>
      <c r="F63" s="37">
        <f t="shared" si="135"/>
        <v>0</v>
      </c>
      <c r="G63" s="37">
        <f t="shared" si="135"/>
        <v>0</v>
      </c>
      <c r="H63" s="37">
        <f t="shared" si="135"/>
        <v>0</v>
      </c>
      <c r="I63" s="37">
        <f t="shared" si="135"/>
        <v>46.5</v>
      </c>
      <c r="J63" s="7"/>
      <c r="K63" s="37">
        <f t="shared" ref="K63:R63" si="136">K36</f>
        <v>44</v>
      </c>
      <c r="L63" s="37">
        <f t="shared" si="136"/>
        <v>4</v>
      </c>
      <c r="M63" s="37">
        <f t="shared" si="136"/>
        <v>0</v>
      </c>
      <c r="N63" s="37">
        <f t="shared" si="136"/>
        <v>0</v>
      </c>
      <c r="O63" s="37">
        <f t="shared" si="136"/>
        <v>0</v>
      </c>
      <c r="P63" s="37">
        <f t="shared" si="136"/>
        <v>0</v>
      </c>
      <c r="Q63" s="37">
        <f t="shared" si="136"/>
        <v>0</v>
      </c>
      <c r="R63" s="37">
        <f t="shared" si="136"/>
        <v>48</v>
      </c>
      <c r="T63" s="37">
        <f t="shared" ref="T63:AA63" si="137">T36</f>
        <v>55</v>
      </c>
      <c r="U63" s="37">
        <f t="shared" si="137"/>
        <v>5</v>
      </c>
      <c r="V63" s="37">
        <f t="shared" si="137"/>
        <v>0</v>
      </c>
      <c r="W63" s="37">
        <f t="shared" si="137"/>
        <v>0</v>
      </c>
      <c r="X63" s="37">
        <f t="shared" si="137"/>
        <v>0</v>
      </c>
      <c r="Y63" s="37">
        <f t="shared" si="137"/>
        <v>0</v>
      </c>
      <c r="Z63" s="37">
        <f t="shared" si="137"/>
        <v>0</v>
      </c>
      <c r="AA63" s="37">
        <f t="shared" si="137"/>
        <v>60</v>
      </c>
      <c r="AC63" s="37">
        <f t="shared" ref="AC63:AJ63" si="138">AC36</f>
        <v>94</v>
      </c>
      <c r="AD63" s="37">
        <f t="shared" si="138"/>
        <v>13</v>
      </c>
      <c r="AE63" s="37">
        <f t="shared" si="138"/>
        <v>0</v>
      </c>
      <c r="AF63" s="37">
        <f t="shared" si="138"/>
        <v>0</v>
      </c>
      <c r="AG63" s="37">
        <f t="shared" si="138"/>
        <v>0</v>
      </c>
      <c r="AH63" s="37">
        <f t="shared" si="138"/>
        <v>0</v>
      </c>
      <c r="AI63" s="37">
        <f t="shared" si="138"/>
        <v>0</v>
      </c>
      <c r="AJ63" s="37">
        <f t="shared" si="138"/>
        <v>107</v>
      </c>
      <c r="AL63" s="37">
        <f t="shared" ref="AL63:AS63" si="139">AL36</f>
        <v>95</v>
      </c>
      <c r="AM63" s="37">
        <f t="shared" si="139"/>
        <v>12</v>
      </c>
      <c r="AN63" s="37">
        <f t="shared" si="139"/>
        <v>0</v>
      </c>
      <c r="AO63" s="37">
        <f t="shared" si="139"/>
        <v>0</v>
      </c>
      <c r="AP63" s="37">
        <f t="shared" si="139"/>
        <v>0</v>
      </c>
      <c r="AQ63" s="37">
        <f t="shared" si="139"/>
        <v>0</v>
      </c>
      <c r="AR63" s="37">
        <f t="shared" si="139"/>
        <v>0</v>
      </c>
      <c r="AS63" s="37">
        <f t="shared" si="139"/>
        <v>107</v>
      </c>
      <c r="AU63" s="37">
        <f t="shared" ref="AU63:BB63" si="140">AU36</f>
        <v>0</v>
      </c>
      <c r="AV63" s="37">
        <f t="shared" si="140"/>
        <v>1</v>
      </c>
      <c r="AW63" s="37">
        <f t="shared" si="140"/>
        <v>0</v>
      </c>
      <c r="AX63" s="37">
        <f t="shared" si="140"/>
        <v>0</v>
      </c>
      <c r="AY63" s="37">
        <f t="shared" si="140"/>
        <v>0</v>
      </c>
      <c r="AZ63" s="37">
        <f t="shared" si="140"/>
        <v>0</v>
      </c>
      <c r="BA63" s="37">
        <f t="shared" si="140"/>
        <v>0</v>
      </c>
      <c r="BB63" s="37">
        <f t="shared" si="140"/>
        <v>1</v>
      </c>
      <c r="BD63" s="37">
        <f t="shared" ref="BD63:BK63" si="141">BD36</f>
        <v>9</v>
      </c>
      <c r="BE63" s="37">
        <f t="shared" si="141"/>
        <v>1</v>
      </c>
      <c r="BF63" s="37">
        <f t="shared" si="141"/>
        <v>0</v>
      </c>
      <c r="BG63" s="37">
        <f t="shared" si="141"/>
        <v>0</v>
      </c>
      <c r="BH63" s="37">
        <f t="shared" si="141"/>
        <v>0</v>
      </c>
      <c r="BI63" s="37">
        <f t="shared" si="141"/>
        <v>0</v>
      </c>
      <c r="BJ63" s="37">
        <f t="shared" si="141"/>
        <v>0</v>
      </c>
      <c r="BK63" s="37">
        <f t="shared" si="141"/>
        <v>10</v>
      </c>
      <c r="BM63" s="37">
        <f t="shared" ref="BM63:BT63" si="142">BM36</f>
        <v>1</v>
      </c>
      <c r="BN63" s="37">
        <f t="shared" si="142"/>
        <v>0</v>
      </c>
      <c r="BO63" s="37">
        <f t="shared" si="142"/>
        <v>0</v>
      </c>
      <c r="BP63" s="37">
        <f t="shared" si="142"/>
        <v>0</v>
      </c>
      <c r="BQ63" s="37">
        <f t="shared" si="142"/>
        <v>0</v>
      </c>
      <c r="BR63" s="37">
        <f t="shared" si="142"/>
        <v>0</v>
      </c>
      <c r="BS63" s="37">
        <f t="shared" si="142"/>
        <v>0</v>
      </c>
      <c r="BT63" s="37">
        <f t="shared" si="142"/>
        <v>1</v>
      </c>
      <c r="BV63" s="37">
        <f t="shared" ref="BV63:CC63" si="143">BV36</f>
        <v>339.5</v>
      </c>
      <c r="BW63" s="37">
        <f t="shared" si="143"/>
        <v>41</v>
      </c>
      <c r="BX63" s="37">
        <f t="shared" si="143"/>
        <v>0</v>
      </c>
      <c r="BY63" s="37">
        <f t="shared" si="143"/>
        <v>0</v>
      </c>
      <c r="BZ63" s="37">
        <f t="shared" si="143"/>
        <v>0</v>
      </c>
      <c r="CA63" s="37">
        <f t="shared" si="143"/>
        <v>0</v>
      </c>
      <c r="CB63" s="37">
        <f t="shared" si="143"/>
        <v>0</v>
      </c>
      <c r="CC63" s="37">
        <f t="shared" si="143"/>
        <v>380.5</v>
      </c>
    </row>
    <row r="64" spans="1:81" ht="15">
      <c r="A64" s="38" t="s">
        <v>64</v>
      </c>
      <c r="B64" s="39">
        <f>B61</f>
        <v>18</v>
      </c>
      <c r="C64" s="39">
        <f t="shared" ref="C64:I64" si="144">C61</f>
        <v>5</v>
      </c>
      <c r="D64" s="39">
        <f t="shared" si="144"/>
        <v>2</v>
      </c>
      <c r="E64" s="39">
        <f t="shared" si="144"/>
        <v>0</v>
      </c>
      <c r="F64" s="39">
        <f t="shared" si="144"/>
        <v>0</v>
      </c>
      <c r="G64" s="39">
        <f t="shared" si="144"/>
        <v>0</v>
      </c>
      <c r="H64" s="39">
        <f t="shared" si="144"/>
        <v>0</v>
      </c>
      <c r="I64" s="39">
        <f t="shared" si="144"/>
        <v>25</v>
      </c>
      <c r="J64" s="7"/>
      <c r="K64" s="39">
        <f>K61</f>
        <v>22</v>
      </c>
      <c r="L64" s="39">
        <f t="shared" ref="L64:R64" si="145">L61</f>
        <v>6</v>
      </c>
      <c r="M64" s="39">
        <f t="shared" si="145"/>
        <v>2</v>
      </c>
      <c r="N64" s="39">
        <f t="shared" si="145"/>
        <v>0</v>
      </c>
      <c r="O64" s="39">
        <f t="shared" si="145"/>
        <v>0</v>
      </c>
      <c r="P64" s="39">
        <f t="shared" si="145"/>
        <v>0</v>
      </c>
      <c r="Q64" s="39">
        <f t="shared" si="145"/>
        <v>0</v>
      </c>
      <c r="R64" s="39">
        <f t="shared" si="145"/>
        <v>30</v>
      </c>
      <c r="T64" s="39">
        <f>T61</f>
        <v>22</v>
      </c>
      <c r="U64" s="39">
        <f t="shared" ref="U64:AA64" si="146">U61</f>
        <v>8.33</v>
      </c>
      <c r="V64" s="39">
        <f t="shared" si="146"/>
        <v>2</v>
      </c>
      <c r="W64" s="39">
        <f t="shared" si="146"/>
        <v>0</v>
      </c>
      <c r="X64" s="39">
        <f t="shared" si="146"/>
        <v>0</v>
      </c>
      <c r="Y64" s="39">
        <f t="shared" si="146"/>
        <v>0</v>
      </c>
      <c r="Z64" s="39">
        <f t="shared" si="146"/>
        <v>0</v>
      </c>
      <c r="AA64" s="39">
        <f t="shared" si="146"/>
        <v>32.33</v>
      </c>
      <c r="AC64" s="39">
        <f>AC61</f>
        <v>47</v>
      </c>
      <c r="AD64" s="39">
        <f t="shared" ref="AD64:AJ64" si="147">AD61</f>
        <v>17</v>
      </c>
      <c r="AE64" s="39">
        <f t="shared" si="147"/>
        <v>6</v>
      </c>
      <c r="AF64" s="39">
        <f t="shared" si="147"/>
        <v>0</v>
      </c>
      <c r="AG64" s="39">
        <f t="shared" si="147"/>
        <v>0</v>
      </c>
      <c r="AH64" s="39">
        <f t="shared" si="147"/>
        <v>0</v>
      </c>
      <c r="AI64" s="39">
        <f t="shared" si="147"/>
        <v>0</v>
      </c>
      <c r="AJ64" s="39">
        <f t="shared" si="147"/>
        <v>70</v>
      </c>
      <c r="AL64" s="39">
        <f>AL61</f>
        <v>40</v>
      </c>
      <c r="AM64" s="39">
        <f t="shared" ref="AM64:AS64" si="148">AM61</f>
        <v>13.5</v>
      </c>
      <c r="AN64" s="39">
        <f t="shared" si="148"/>
        <v>4</v>
      </c>
      <c r="AO64" s="39">
        <f t="shared" si="148"/>
        <v>0</v>
      </c>
      <c r="AP64" s="39">
        <f t="shared" si="148"/>
        <v>0</v>
      </c>
      <c r="AQ64" s="39">
        <f t="shared" si="148"/>
        <v>0</v>
      </c>
      <c r="AR64" s="39">
        <f t="shared" si="148"/>
        <v>0</v>
      </c>
      <c r="AS64" s="39">
        <f t="shared" si="148"/>
        <v>57.5</v>
      </c>
      <c r="AU64" s="39">
        <f>AU61</f>
        <v>3</v>
      </c>
      <c r="AV64" s="39">
        <f t="shared" ref="AV64:BB64" si="149">AV61</f>
        <v>1</v>
      </c>
      <c r="AW64" s="39">
        <f t="shared" si="149"/>
        <v>0</v>
      </c>
      <c r="AX64" s="39">
        <f t="shared" si="149"/>
        <v>0</v>
      </c>
      <c r="AY64" s="39">
        <f t="shared" si="149"/>
        <v>0</v>
      </c>
      <c r="AZ64" s="39">
        <f t="shared" si="149"/>
        <v>0</v>
      </c>
      <c r="BA64" s="39">
        <f t="shared" si="149"/>
        <v>0</v>
      </c>
      <c r="BB64" s="39">
        <f t="shared" si="149"/>
        <v>4</v>
      </c>
      <c r="BD64" s="39">
        <f>BD61</f>
        <v>6</v>
      </c>
      <c r="BE64" s="39">
        <f t="shared" ref="BE64:BK64" si="150">BE61</f>
        <v>0</v>
      </c>
      <c r="BF64" s="39">
        <f t="shared" si="150"/>
        <v>1</v>
      </c>
      <c r="BG64" s="39">
        <f t="shared" si="150"/>
        <v>1</v>
      </c>
      <c r="BH64" s="39">
        <f t="shared" si="150"/>
        <v>1</v>
      </c>
      <c r="BI64" s="39">
        <f t="shared" si="150"/>
        <v>0</v>
      </c>
      <c r="BJ64" s="39">
        <f t="shared" si="150"/>
        <v>0</v>
      </c>
      <c r="BK64" s="39">
        <f t="shared" si="150"/>
        <v>9</v>
      </c>
      <c r="BM64" s="39">
        <f>BM61</f>
        <v>2</v>
      </c>
      <c r="BN64" s="39">
        <f t="shared" ref="BN64:BT64" si="151">BN61</f>
        <v>0</v>
      </c>
      <c r="BO64" s="39">
        <f t="shared" si="151"/>
        <v>1</v>
      </c>
      <c r="BP64" s="39">
        <f t="shared" si="151"/>
        <v>0</v>
      </c>
      <c r="BQ64" s="39">
        <f t="shared" si="151"/>
        <v>0</v>
      </c>
      <c r="BR64" s="39">
        <f t="shared" si="151"/>
        <v>0</v>
      </c>
      <c r="BS64" s="39">
        <f t="shared" si="151"/>
        <v>0</v>
      </c>
      <c r="BT64" s="39">
        <f t="shared" si="151"/>
        <v>3</v>
      </c>
      <c r="BV64" s="39">
        <f>BV61</f>
        <v>160</v>
      </c>
      <c r="BW64" s="39">
        <f t="shared" ref="BW64:CC64" si="152">BW61</f>
        <v>50.83</v>
      </c>
      <c r="BX64" s="39">
        <f t="shared" si="152"/>
        <v>18</v>
      </c>
      <c r="BY64" s="39">
        <f t="shared" si="152"/>
        <v>1</v>
      </c>
      <c r="BZ64" s="39">
        <f t="shared" si="152"/>
        <v>1</v>
      </c>
      <c r="CA64" s="39">
        <f t="shared" si="152"/>
        <v>0</v>
      </c>
      <c r="CB64" s="39">
        <f t="shared" si="152"/>
        <v>0</v>
      </c>
      <c r="CC64" s="39">
        <f t="shared" si="152"/>
        <v>230.83</v>
      </c>
    </row>
    <row r="65" spans="1:81" ht="15.75" thickBot="1">
      <c r="A65" s="40" t="s">
        <v>65</v>
      </c>
      <c r="B65" s="41">
        <f>SUM(B63:B64)</f>
        <v>59.5</v>
      </c>
      <c r="C65" s="41">
        <f t="shared" ref="C65:H65" si="153">SUM(C63:C64)</f>
        <v>10</v>
      </c>
      <c r="D65" s="41">
        <f t="shared" si="153"/>
        <v>2</v>
      </c>
      <c r="E65" s="41">
        <f t="shared" si="153"/>
        <v>0</v>
      </c>
      <c r="F65" s="41">
        <f t="shared" si="153"/>
        <v>0</v>
      </c>
      <c r="G65" s="41">
        <f t="shared" si="153"/>
        <v>0</v>
      </c>
      <c r="H65" s="41">
        <f t="shared" si="153"/>
        <v>0</v>
      </c>
      <c r="I65" s="41">
        <f>SUM(I63:I64)</f>
        <v>71.5</v>
      </c>
      <c r="J65" s="7"/>
      <c r="K65" s="41">
        <f>SUM(K63:K64)</f>
        <v>66</v>
      </c>
      <c r="L65" s="41">
        <f t="shared" ref="L65:Q65" si="154">SUM(L63:L64)</f>
        <v>10</v>
      </c>
      <c r="M65" s="41">
        <f t="shared" si="154"/>
        <v>2</v>
      </c>
      <c r="N65" s="41">
        <f t="shared" si="154"/>
        <v>0</v>
      </c>
      <c r="O65" s="41">
        <f t="shared" si="154"/>
        <v>0</v>
      </c>
      <c r="P65" s="41">
        <f t="shared" si="154"/>
        <v>0</v>
      </c>
      <c r="Q65" s="41">
        <f t="shared" si="154"/>
        <v>0</v>
      </c>
      <c r="R65" s="41">
        <f>SUM(R63:R64)</f>
        <v>78</v>
      </c>
      <c r="T65" s="41">
        <f>SUM(T63:T64)</f>
        <v>77</v>
      </c>
      <c r="U65" s="41">
        <f t="shared" ref="U65:Z65" si="155">SUM(U63:U64)</f>
        <v>13.33</v>
      </c>
      <c r="V65" s="41">
        <f t="shared" si="155"/>
        <v>2</v>
      </c>
      <c r="W65" s="41">
        <f t="shared" si="155"/>
        <v>0</v>
      </c>
      <c r="X65" s="41">
        <f t="shared" si="155"/>
        <v>0</v>
      </c>
      <c r="Y65" s="41">
        <f t="shared" si="155"/>
        <v>0</v>
      </c>
      <c r="Z65" s="41">
        <f t="shared" si="155"/>
        <v>0</v>
      </c>
      <c r="AA65" s="41">
        <f>SUM(AA63:AA64)</f>
        <v>92.33</v>
      </c>
      <c r="AC65" s="41">
        <f>SUM(AC63:AC64)</f>
        <v>141</v>
      </c>
      <c r="AD65" s="41">
        <f t="shared" ref="AD65:AI65" si="156">SUM(AD63:AD64)</f>
        <v>30</v>
      </c>
      <c r="AE65" s="41">
        <f t="shared" si="156"/>
        <v>6</v>
      </c>
      <c r="AF65" s="41">
        <f t="shared" si="156"/>
        <v>0</v>
      </c>
      <c r="AG65" s="41">
        <f t="shared" si="156"/>
        <v>0</v>
      </c>
      <c r="AH65" s="41">
        <f t="shared" si="156"/>
        <v>0</v>
      </c>
      <c r="AI65" s="41">
        <f t="shared" si="156"/>
        <v>0</v>
      </c>
      <c r="AJ65" s="41">
        <f>SUM(AJ63:AJ64)</f>
        <v>177</v>
      </c>
      <c r="AL65" s="41">
        <f>SUM(AL63:AL64)</f>
        <v>135</v>
      </c>
      <c r="AM65" s="41">
        <f t="shared" ref="AM65:AR65" si="157">SUM(AM63:AM64)</f>
        <v>25.5</v>
      </c>
      <c r="AN65" s="41">
        <f t="shared" si="157"/>
        <v>4</v>
      </c>
      <c r="AO65" s="41">
        <f t="shared" si="157"/>
        <v>0</v>
      </c>
      <c r="AP65" s="41">
        <f t="shared" si="157"/>
        <v>0</v>
      </c>
      <c r="AQ65" s="41">
        <f t="shared" si="157"/>
        <v>0</v>
      </c>
      <c r="AR65" s="41">
        <f t="shared" si="157"/>
        <v>0</v>
      </c>
      <c r="AS65" s="41">
        <f>SUM(AS63:AS64)</f>
        <v>164.5</v>
      </c>
      <c r="AU65" s="41">
        <f>SUM(AU63:AU64)</f>
        <v>3</v>
      </c>
      <c r="AV65" s="41">
        <f t="shared" ref="AV65:BA65" si="158">SUM(AV63:AV64)</f>
        <v>2</v>
      </c>
      <c r="AW65" s="41">
        <f t="shared" si="158"/>
        <v>0</v>
      </c>
      <c r="AX65" s="41">
        <f t="shared" si="158"/>
        <v>0</v>
      </c>
      <c r="AY65" s="41">
        <f t="shared" si="158"/>
        <v>0</v>
      </c>
      <c r="AZ65" s="41">
        <f t="shared" si="158"/>
        <v>0</v>
      </c>
      <c r="BA65" s="41">
        <f t="shared" si="158"/>
        <v>0</v>
      </c>
      <c r="BB65" s="41">
        <f>SUM(BB63:BB64)</f>
        <v>5</v>
      </c>
      <c r="BD65" s="41">
        <f>SUM(BD63:BD64)</f>
        <v>15</v>
      </c>
      <c r="BE65" s="41">
        <f t="shared" ref="BE65:BJ65" si="159">SUM(BE63:BE64)</f>
        <v>1</v>
      </c>
      <c r="BF65" s="41">
        <f t="shared" si="159"/>
        <v>1</v>
      </c>
      <c r="BG65" s="41">
        <f t="shared" si="159"/>
        <v>1</v>
      </c>
      <c r="BH65" s="41">
        <f t="shared" si="159"/>
        <v>1</v>
      </c>
      <c r="BI65" s="41">
        <f t="shared" si="159"/>
        <v>0</v>
      </c>
      <c r="BJ65" s="41">
        <f t="shared" si="159"/>
        <v>0</v>
      </c>
      <c r="BK65" s="41">
        <f>SUM(BK63:BK64)</f>
        <v>19</v>
      </c>
      <c r="BM65" s="41">
        <f>SUM(BM63:BM64)</f>
        <v>3</v>
      </c>
      <c r="BN65" s="41">
        <f t="shared" ref="BN65:BS65" si="160">SUM(BN63:BN64)</f>
        <v>0</v>
      </c>
      <c r="BO65" s="41">
        <f t="shared" si="160"/>
        <v>1</v>
      </c>
      <c r="BP65" s="41">
        <f t="shared" si="160"/>
        <v>0</v>
      </c>
      <c r="BQ65" s="41">
        <f t="shared" si="160"/>
        <v>0</v>
      </c>
      <c r="BR65" s="41">
        <f t="shared" si="160"/>
        <v>0</v>
      </c>
      <c r="BS65" s="41">
        <f t="shared" si="160"/>
        <v>0</v>
      </c>
      <c r="BT65" s="41">
        <f>SUM(BT63:BT64)</f>
        <v>4</v>
      </c>
      <c r="BV65" s="41">
        <f>SUM(BV63:BV64)</f>
        <v>499.5</v>
      </c>
      <c r="BW65" s="41">
        <f t="shared" ref="BW65:CB65" si="161">SUM(BW63:BW64)</f>
        <v>91.83</v>
      </c>
      <c r="BX65" s="41">
        <f t="shared" si="161"/>
        <v>18</v>
      </c>
      <c r="BY65" s="41">
        <f t="shared" si="161"/>
        <v>1</v>
      </c>
      <c r="BZ65" s="41">
        <f t="shared" si="161"/>
        <v>1</v>
      </c>
      <c r="CA65" s="41">
        <f t="shared" si="161"/>
        <v>0</v>
      </c>
      <c r="CB65" s="41">
        <f t="shared" si="161"/>
        <v>0</v>
      </c>
      <c r="CC65" s="41">
        <f>SUM(CC63:CC64)</f>
        <v>611.33000000000004</v>
      </c>
    </row>
    <row r="66" spans="1:81">
      <c r="A66" s="29"/>
      <c r="B66" s="42"/>
      <c r="C66" s="42"/>
      <c r="D66" s="42"/>
      <c r="E66" s="42"/>
      <c r="F66" s="42"/>
      <c r="G66" s="42"/>
      <c r="H66" s="42"/>
      <c r="I66" s="42"/>
      <c r="J66" s="7"/>
      <c r="K66" s="42"/>
      <c r="L66" s="42"/>
      <c r="M66" s="42"/>
      <c r="N66" s="42"/>
      <c r="O66" s="42"/>
      <c r="P66" s="42"/>
      <c r="Q66" s="42"/>
      <c r="R66" s="42"/>
      <c r="T66" s="42"/>
      <c r="U66" s="42"/>
      <c r="V66" s="42"/>
      <c r="W66" s="42"/>
      <c r="X66" s="42"/>
      <c r="Y66" s="42"/>
      <c r="Z66" s="42"/>
      <c r="AA66" s="42"/>
      <c r="AC66" s="42"/>
      <c r="AD66" s="42"/>
      <c r="AE66" s="42"/>
      <c r="AF66" s="42"/>
      <c r="AG66" s="42"/>
      <c r="AH66" s="42"/>
      <c r="AI66" s="42"/>
      <c r="AJ66" s="42"/>
      <c r="AL66" s="42"/>
      <c r="AM66" s="42"/>
      <c r="AN66" s="42"/>
      <c r="AO66" s="42"/>
      <c r="AP66" s="42"/>
      <c r="AQ66" s="42"/>
      <c r="AR66" s="42"/>
      <c r="AS66" s="42"/>
      <c r="AU66" s="42"/>
      <c r="AV66" s="42"/>
      <c r="AW66" s="42"/>
      <c r="AX66" s="42"/>
      <c r="AY66" s="42"/>
      <c r="AZ66" s="42"/>
      <c r="BA66" s="42"/>
      <c r="BB66" s="42"/>
      <c r="BD66" s="42"/>
      <c r="BE66" s="42"/>
      <c r="BF66" s="42"/>
      <c r="BG66" s="42"/>
      <c r="BH66" s="42"/>
      <c r="BI66" s="42"/>
      <c r="BJ66" s="42"/>
      <c r="BK66" s="42"/>
      <c r="BM66" s="42"/>
      <c r="BN66" s="42"/>
      <c r="BO66" s="42"/>
      <c r="BP66" s="42"/>
      <c r="BQ66" s="42"/>
      <c r="BR66" s="42"/>
      <c r="BS66" s="42"/>
      <c r="BT66" s="42"/>
      <c r="BV66" s="42"/>
      <c r="BW66" s="42"/>
      <c r="BX66" s="42"/>
      <c r="BY66" s="42"/>
      <c r="BZ66" s="42"/>
      <c r="CA66" s="42"/>
      <c r="CB66" s="42"/>
      <c r="CC66" s="42"/>
    </row>
    <row r="67" spans="1:81" ht="15">
      <c r="A67" s="43" t="s">
        <v>66</v>
      </c>
      <c r="B67" s="44"/>
      <c r="C67" s="44"/>
      <c r="D67" s="44"/>
      <c r="E67" s="44"/>
      <c r="F67" s="44"/>
      <c r="G67" s="44"/>
      <c r="H67" s="44"/>
      <c r="I67" s="45">
        <f>I142/(I211+I213+I214+I215+I216+I217)</f>
        <v>0.61582665121613744</v>
      </c>
      <c r="J67" s="7"/>
      <c r="K67" s="44"/>
      <c r="L67" s="44"/>
      <c r="M67" s="44"/>
      <c r="N67" s="44"/>
      <c r="O67" s="44"/>
      <c r="P67" s="44"/>
      <c r="Q67" s="44"/>
      <c r="R67" s="45">
        <f>R142/(R211+R213+R214+R215+R216+R217)</f>
        <v>0.61149941554549059</v>
      </c>
      <c r="T67" s="44"/>
      <c r="U67" s="44"/>
      <c r="V67" s="44"/>
      <c r="W67" s="44"/>
      <c r="X67" s="44"/>
      <c r="Y67" s="44"/>
      <c r="Z67" s="44"/>
      <c r="AA67" s="45">
        <f>AA142/(AA211+AA213+AA214+AA215+AA216+AA217)</f>
        <v>0.6414122041099195</v>
      </c>
      <c r="AC67" s="44"/>
      <c r="AD67" s="44"/>
      <c r="AE67" s="44"/>
      <c r="AF67" s="44"/>
      <c r="AG67" s="44"/>
      <c r="AH67" s="44"/>
      <c r="AI67" s="44"/>
      <c r="AJ67" s="45">
        <f>AJ142/(AJ211+AJ213+AJ214+AJ215+AJ216+AJ217)</f>
        <v>0.60705361143743197</v>
      </c>
      <c r="AL67" s="44"/>
      <c r="AM67" s="44"/>
      <c r="AN67" s="44"/>
      <c r="AO67" s="44"/>
      <c r="AP67" s="44"/>
      <c r="AQ67" s="44"/>
      <c r="AR67" s="44"/>
      <c r="AS67" s="45">
        <f>AS142/(AS211+AS213+AS214+AS215+AS216+AS217)</f>
        <v>0.56747447192075728</v>
      </c>
      <c r="AU67" s="44"/>
      <c r="AV67" s="44"/>
      <c r="AW67" s="44"/>
      <c r="AX67" s="44"/>
      <c r="AY67" s="44"/>
      <c r="AZ67" s="44"/>
      <c r="BA67" s="44"/>
      <c r="BB67" s="45">
        <f>BB142/(BB211+BB213+BB214+BB215+BB216+BB217)</f>
        <v>0.52142679536406067</v>
      </c>
      <c r="BD67" s="44"/>
      <c r="BE67" s="44"/>
      <c r="BF67" s="44"/>
      <c r="BG67" s="44"/>
      <c r="BH67" s="44"/>
      <c r="BI67" s="44"/>
      <c r="BJ67" s="44"/>
      <c r="BK67" s="45">
        <f>BK142/(BK211+BK213+BK214+BK215+BK216+BK217)</f>
        <v>0.55624478445517322</v>
      </c>
      <c r="BM67" s="44"/>
      <c r="BN67" s="44"/>
      <c r="BO67" s="44"/>
      <c r="BP67" s="44"/>
      <c r="BQ67" s="44"/>
      <c r="BR67" s="44"/>
      <c r="BS67" s="44"/>
      <c r="BT67" s="45">
        <f>BT142/(BT211+BT213+BT214+BT215+BT216+BT217)</f>
        <v>0.51840469229643593</v>
      </c>
      <c r="BV67" s="44"/>
      <c r="BW67" s="44"/>
      <c r="BX67" s="44"/>
      <c r="BY67" s="44"/>
      <c r="BZ67" s="44"/>
      <c r="CA67" s="44"/>
      <c r="CB67" s="44"/>
      <c r="CC67" s="45">
        <f>CC142/(CC211+CC213+CC214+CC215+CC216+CC217)</f>
        <v>0.59868471307787952</v>
      </c>
    </row>
    <row r="68" spans="1:81" ht="15">
      <c r="A68" s="43" t="s">
        <v>67</v>
      </c>
      <c r="B68" s="44"/>
      <c r="C68" s="44"/>
      <c r="D68" s="44"/>
      <c r="E68" s="44"/>
      <c r="F68" s="44"/>
      <c r="G68" s="44"/>
      <c r="H68" s="44"/>
      <c r="I68" s="45">
        <f>(I114+I115+I118+I128)/I132</f>
        <v>0.74741338564023108</v>
      </c>
      <c r="J68" s="7"/>
      <c r="K68" s="44"/>
      <c r="L68" s="44"/>
      <c r="M68" s="44"/>
      <c r="N68" s="44"/>
      <c r="O68" s="44"/>
      <c r="P68" s="44"/>
      <c r="Q68" s="44"/>
      <c r="R68" s="45">
        <f>(R114+R115+R118+R128)/R132</f>
        <v>0.72631146101929023</v>
      </c>
      <c r="T68" s="44"/>
      <c r="U68" s="44"/>
      <c r="V68" s="44"/>
      <c r="W68" s="44"/>
      <c r="X68" s="44"/>
      <c r="Y68" s="44"/>
      <c r="Z68" s="44"/>
      <c r="AA68" s="45">
        <f>(AA114+AA115+AA118+AA128)/AA132</f>
        <v>0.7401712066119035</v>
      </c>
      <c r="AC68" s="44"/>
      <c r="AD68" s="44"/>
      <c r="AE68" s="44"/>
      <c r="AF68" s="44"/>
      <c r="AG68" s="44"/>
      <c r="AH68" s="44"/>
      <c r="AI68" s="44"/>
      <c r="AJ68" s="45">
        <f>(AJ114+AJ115+AJ118+AJ128)/AJ132</f>
        <v>0.72687733345512096</v>
      </c>
      <c r="AL68" s="44"/>
      <c r="AM68" s="44"/>
      <c r="AN68" s="44"/>
      <c r="AO68" s="44"/>
      <c r="AP68" s="44"/>
      <c r="AQ68" s="44"/>
      <c r="AR68" s="44"/>
      <c r="AS68" s="45">
        <f>(AS114+AS115+AS118+AS128)/AS132</f>
        <v>0.75027339532991677</v>
      </c>
      <c r="AU68" s="44"/>
      <c r="AV68" s="44"/>
      <c r="AW68" s="44"/>
      <c r="AX68" s="44"/>
      <c r="AY68" s="44"/>
      <c r="AZ68" s="44"/>
      <c r="BA68" s="44"/>
      <c r="BB68" s="45">
        <f>(BB114+BB115+BB118+BB128)/BB132</f>
        <v>0.65224506494834822</v>
      </c>
      <c r="BD68" s="44"/>
      <c r="BE68" s="44"/>
      <c r="BF68" s="44"/>
      <c r="BG68" s="44"/>
      <c r="BH68" s="44"/>
      <c r="BI68" s="44"/>
      <c r="BJ68" s="44"/>
      <c r="BK68" s="45">
        <f>(BK114+BK115+BK118+BK128)/BK132</f>
        <v>0.69579073651430912</v>
      </c>
      <c r="BM68" s="44"/>
      <c r="BN68" s="44"/>
      <c r="BO68" s="44"/>
      <c r="BP68" s="44"/>
      <c r="BQ68" s="44"/>
      <c r="BR68" s="44"/>
      <c r="BS68" s="44"/>
      <c r="BT68" s="45">
        <f>(BT114+BT115+BT118+BT128)/BT132</f>
        <v>0.2857142857142857</v>
      </c>
      <c r="BV68" s="44"/>
      <c r="BW68" s="44"/>
      <c r="BX68" s="44"/>
      <c r="BY68" s="44"/>
      <c r="BZ68" s="44"/>
      <c r="CA68" s="44"/>
      <c r="CB68" s="44"/>
      <c r="CC68" s="45">
        <f>(CC114+CC115+CC118+CC128)/CC132</f>
        <v>0.73253406488690331</v>
      </c>
    </row>
    <row r="69" spans="1:81" ht="15">
      <c r="A69" s="43" t="s">
        <v>68</v>
      </c>
      <c r="B69" s="44"/>
      <c r="C69" s="44"/>
      <c r="D69" s="44"/>
      <c r="E69" s="44"/>
      <c r="F69" s="44"/>
      <c r="G69" s="44"/>
      <c r="H69" s="44"/>
      <c r="I69" s="45">
        <f>(I107+I108+I109+I112+I116+I117+I119+I120++I123+I124+I125+I126+I127+I129+I130)/I132</f>
        <v>0.23191347378998889</v>
      </c>
      <c r="J69" s="7"/>
      <c r="K69" s="44"/>
      <c r="L69" s="44"/>
      <c r="M69" s="44"/>
      <c r="N69" s="44"/>
      <c r="O69" s="44"/>
      <c r="P69" s="44"/>
      <c r="Q69" s="44"/>
      <c r="R69" s="45">
        <f>(R107+R108+R109+R112+R116+R117+R119+R120++R123+R124+R125+R126+R127+R129+R130)/R132</f>
        <v>0.25506098892731854</v>
      </c>
      <c r="T69" s="44"/>
      <c r="U69" s="44"/>
      <c r="V69" s="44"/>
      <c r="W69" s="44"/>
      <c r="X69" s="44"/>
      <c r="Y69" s="44"/>
      <c r="Z69" s="44"/>
      <c r="AA69" s="45">
        <f>(AA107+AA108+AA109+AA112+AA116+AA117+AA119+AA120++AA123+AA124+AA125+AA126+AA127+AA129+AA130)/AA132</f>
        <v>0.24431954328360292</v>
      </c>
      <c r="AC69" s="44"/>
      <c r="AD69" s="44"/>
      <c r="AE69" s="44"/>
      <c r="AF69" s="44"/>
      <c r="AG69" s="44"/>
      <c r="AH69" s="44"/>
      <c r="AI69" s="44"/>
      <c r="AJ69" s="45">
        <f>(AJ107+AJ108+AJ109+AJ112+AJ116+AJ117+AJ119+AJ120++AJ123+AJ124+AJ125+AJ126+AJ127+AJ129+AJ130)/AJ132</f>
        <v>0.22775079179393926</v>
      </c>
      <c r="AL69" s="44"/>
      <c r="AM69" s="44"/>
      <c r="AN69" s="44"/>
      <c r="AO69" s="44"/>
      <c r="AP69" s="44"/>
      <c r="AQ69" s="44"/>
      <c r="AR69" s="44"/>
      <c r="AS69" s="45">
        <f>(AS107+AS108+AS109+AS112+AS116+AS117+AS119+AS120++AS123+AS124+AS125+AS126+AS127+AS129+AS130)/AS132</f>
        <v>0.20881037019373169</v>
      </c>
      <c r="AU69" s="44"/>
      <c r="AV69" s="44"/>
      <c r="AW69" s="44"/>
      <c r="AX69" s="44"/>
      <c r="AY69" s="44"/>
      <c r="AZ69" s="44"/>
      <c r="BA69" s="44"/>
      <c r="BB69" s="45">
        <f>(BB107+BB108+BB109+BB112+BB116+BB117+BB119+BB120++BB123+BB124+BB125+BB126+BB127+BB129+BB130)/BB132</f>
        <v>0</v>
      </c>
      <c r="BD69" s="44"/>
      <c r="BE69" s="44"/>
      <c r="BF69" s="44"/>
      <c r="BG69" s="44"/>
      <c r="BH69" s="44"/>
      <c r="BI69" s="44"/>
      <c r="BJ69" s="44"/>
      <c r="BK69" s="45">
        <f>(BK107+BK108+BK109+BK112+BK116+BK117+BK119+BK120++BK123+BK124+BK125+BK126+BK127+BK129+BK130)/BK132</f>
        <v>0.30420926348569094</v>
      </c>
      <c r="BM69" s="44"/>
      <c r="BN69" s="44"/>
      <c r="BO69" s="44"/>
      <c r="BP69" s="44"/>
      <c r="BQ69" s="44"/>
      <c r="BR69" s="44"/>
      <c r="BS69" s="44"/>
      <c r="BT69" s="45">
        <f>(BT107+BT108+BT109+BT112+BT116+BT117+BT119+BT120++BT123+BT124+BT125+BT126+BT127+BT129+BT130+BT111)/BT132</f>
        <v>0.7142857142857143</v>
      </c>
      <c r="BV69" s="44"/>
      <c r="BW69" s="44"/>
      <c r="BX69" s="44"/>
      <c r="BY69" s="44"/>
      <c r="BZ69" s="44"/>
      <c r="CA69" s="44"/>
      <c r="CB69" s="44"/>
      <c r="CC69" s="45">
        <f>(CC107+CC108+CC109+CC112+CC116+CC117+CC119+CC120++CC123+CC124+CC125+CC126+CC127+CC129+CC130+CC111)/CC132</f>
        <v>0.25236811881911203</v>
      </c>
    </row>
    <row r="70" spans="1:81" ht="15">
      <c r="A70" s="43" t="s">
        <v>69</v>
      </c>
      <c r="B70" s="44"/>
      <c r="C70" s="44"/>
      <c r="D70" s="44"/>
      <c r="E70" s="44"/>
      <c r="F70" s="44"/>
      <c r="G70" s="44"/>
      <c r="H70" s="44"/>
      <c r="I70" s="45">
        <f>(I214+I215+I216+I217+I213)/I97</f>
        <v>9.183324107102589E-2</v>
      </c>
      <c r="J70" s="7"/>
      <c r="K70" s="44"/>
      <c r="L70" s="44"/>
      <c r="M70" s="44"/>
      <c r="N70" s="44"/>
      <c r="O70" s="44"/>
      <c r="P70" s="44"/>
      <c r="Q70" s="44"/>
      <c r="R70" s="45">
        <f>(R214+R215+R216+R217+R213)/R97</f>
        <v>9.2024990598695539E-2</v>
      </c>
      <c r="T70" s="44"/>
      <c r="U70" s="44"/>
      <c r="V70" s="44"/>
      <c r="W70" s="44"/>
      <c r="X70" s="44"/>
      <c r="Y70" s="44"/>
      <c r="Z70" s="44"/>
      <c r="AA70" s="45">
        <f>(AA214+AA215+AA216+AA217+AA213)/AA97</f>
        <v>9.3386385550959794E-2</v>
      </c>
      <c r="AC70" s="44"/>
      <c r="AD70" s="44"/>
      <c r="AE70" s="44"/>
      <c r="AF70" s="44"/>
      <c r="AG70" s="44"/>
      <c r="AH70" s="44"/>
      <c r="AI70" s="44"/>
      <c r="AJ70" s="45">
        <f>(AJ214+AJ215+AJ216+AJ217+AJ213)/AJ97</f>
        <v>9.8679042229384853E-2</v>
      </c>
      <c r="AL70" s="44"/>
      <c r="AM70" s="44"/>
      <c r="AN70" s="44"/>
      <c r="AO70" s="44"/>
      <c r="AP70" s="44"/>
      <c r="AQ70" s="44"/>
      <c r="AR70" s="44"/>
      <c r="AS70" s="45">
        <f>(AS214+AS215+AS216+AS217+AS213)/AS97</f>
        <v>0.12984569872132629</v>
      </c>
      <c r="AU70" s="44"/>
      <c r="AV70" s="44"/>
      <c r="AW70" s="44"/>
      <c r="AX70" s="44"/>
      <c r="AY70" s="44"/>
      <c r="AZ70" s="44"/>
      <c r="BA70" s="44"/>
      <c r="BB70" s="45">
        <f>(BB214+BB215+BB216+BB217+BB213)/BB97</f>
        <v>0</v>
      </c>
      <c r="BD70" s="44"/>
      <c r="BE70" s="44"/>
      <c r="BF70" s="44"/>
      <c r="BG70" s="44"/>
      <c r="BH70" s="44"/>
      <c r="BI70" s="44"/>
      <c r="BJ70" s="44"/>
      <c r="BK70" s="45">
        <f>(BK214+BK215+BK216+BK217+BK213)/BK97</f>
        <v>6.0056110484282436E-2</v>
      </c>
      <c r="BM70" s="44"/>
      <c r="BN70" s="44"/>
      <c r="BO70" s="44"/>
      <c r="BP70" s="44"/>
      <c r="BQ70" s="44"/>
      <c r="BR70" s="44"/>
      <c r="BS70" s="44"/>
      <c r="BT70" s="45" t="e">
        <f>(BT214+BT215+BT216+BT217+BT213)/BT97</f>
        <v>#DIV/0!</v>
      </c>
      <c r="BV70" s="44"/>
      <c r="BW70" s="44"/>
      <c r="BX70" s="44"/>
      <c r="BY70" s="44"/>
      <c r="BZ70" s="44"/>
      <c r="CA70" s="44"/>
      <c r="CB70" s="44"/>
      <c r="CC70" s="45">
        <f>(CC214+CC215+CC216+CC217+CC213)/CC97</f>
        <v>0.10278557671355923</v>
      </c>
    </row>
    <row r="71" spans="1:81" ht="15" thickBot="1">
      <c r="B71" s="42"/>
      <c r="C71" s="42"/>
      <c r="D71" s="42"/>
      <c r="E71" s="42"/>
      <c r="F71" s="42"/>
      <c r="G71" s="42"/>
      <c r="H71" s="42"/>
      <c r="I71" s="42"/>
      <c r="J71" s="7"/>
      <c r="K71" s="42"/>
      <c r="L71" s="42"/>
      <c r="M71" s="42"/>
      <c r="N71" s="42"/>
      <c r="O71" s="42"/>
      <c r="P71" s="42"/>
      <c r="Q71" s="42"/>
      <c r="R71" s="42"/>
      <c r="T71" s="42"/>
      <c r="U71" s="42"/>
      <c r="V71" s="42"/>
      <c r="W71" s="42"/>
      <c r="X71" s="42"/>
      <c r="Y71" s="42"/>
      <c r="Z71" s="42"/>
      <c r="AA71" s="42"/>
      <c r="AC71" s="42"/>
      <c r="AD71" s="42"/>
      <c r="AE71" s="42"/>
      <c r="AF71" s="42"/>
      <c r="AG71" s="42"/>
      <c r="AH71" s="42"/>
      <c r="AI71" s="42"/>
      <c r="AJ71" s="42"/>
      <c r="AL71" s="42"/>
      <c r="AM71" s="42"/>
      <c r="AN71" s="42"/>
      <c r="AO71" s="42"/>
      <c r="AP71" s="42"/>
      <c r="AQ71" s="42"/>
      <c r="AR71" s="42"/>
      <c r="AS71" s="42"/>
      <c r="AU71" s="42"/>
      <c r="AV71" s="42"/>
      <c r="AW71" s="42"/>
      <c r="AX71" s="42"/>
      <c r="AY71" s="42"/>
      <c r="AZ71" s="42"/>
      <c r="BA71" s="42"/>
      <c r="BB71" s="42"/>
      <c r="BD71" s="42"/>
      <c r="BE71" s="42"/>
      <c r="BF71" s="42"/>
      <c r="BG71" s="42"/>
      <c r="BH71" s="42"/>
      <c r="BI71" s="42"/>
      <c r="BJ71" s="42"/>
      <c r="BK71" s="42"/>
      <c r="BM71" s="42"/>
      <c r="BN71" s="42"/>
      <c r="BO71" s="42"/>
      <c r="BP71" s="42"/>
      <c r="BQ71" s="42"/>
      <c r="BR71" s="42"/>
      <c r="BS71" s="42"/>
      <c r="BT71" s="42"/>
      <c r="BV71" s="42"/>
      <c r="BW71" s="42"/>
      <c r="BX71" s="42"/>
      <c r="BY71" s="42"/>
      <c r="BZ71" s="42"/>
      <c r="CA71" s="42"/>
      <c r="CB71" s="42"/>
      <c r="CC71" s="42"/>
    </row>
    <row r="72" spans="1:81" ht="15.75" thickBot="1">
      <c r="A72" s="46" t="s">
        <v>70</v>
      </c>
      <c r="B72" s="47" t="str">
        <f t="shared" ref="B72:I72" si="162">B1</f>
        <v>Operating</v>
      </c>
      <c r="C72" s="47" t="str">
        <f t="shared" si="162"/>
        <v>SPED</v>
      </c>
      <c r="D72" s="47" t="str">
        <f t="shared" si="162"/>
        <v>NSLP</v>
      </c>
      <c r="E72" s="47" t="str">
        <f t="shared" si="162"/>
        <v>Other</v>
      </c>
      <c r="F72" s="47" t="str">
        <f t="shared" si="162"/>
        <v>Title I</v>
      </c>
      <c r="G72" s="47" t="str">
        <f t="shared" si="162"/>
        <v>SGF</v>
      </c>
      <c r="H72" s="47" t="str">
        <f t="shared" si="162"/>
        <v>Title III</v>
      </c>
      <c r="I72" s="47" t="str">
        <f t="shared" si="162"/>
        <v>Horizon</v>
      </c>
      <c r="J72" s="7"/>
      <c r="K72" s="47" t="str">
        <f t="shared" ref="K72:R72" si="163">K1</f>
        <v>Operating</v>
      </c>
      <c r="L72" s="47" t="str">
        <f t="shared" si="163"/>
        <v>SPED</v>
      </c>
      <c r="M72" s="47" t="str">
        <f t="shared" si="163"/>
        <v>NSLP</v>
      </c>
      <c r="N72" s="47" t="str">
        <f t="shared" si="163"/>
        <v>Other</v>
      </c>
      <c r="O72" s="47" t="str">
        <f t="shared" si="163"/>
        <v>Title I</v>
      </c>
      <c r="P72" s="47" t="str">
        <f t="shared" si="163"/>
        <v>SGF</v>
      </c>
      <c r="Q72" s="47" t="str">
        <f t="shared" si="163"/>
        <v>Title III</v>
      </c>
      <c r="R72" s="47" t="str">
        <f t="shared" si="163"/>
        <v>St. Rose</v>
      </c>
      <c r="T72" s="47" t="str">
        <f t="shared" ref="T72:AA72" si="164">T1</f>
        <v>Operating</v>
      </c>
      <c r="U72" s="47" t="str">
        <f t="shared" si="164"/>
        <v>SPED</v>
      </c>
      <c r="V72" s="47" t="str">
        <f t="shared" si="164"/>
        <v>NSLP</v>
      </c>
      <c r="W72" s="47" t="str">
        <f t="shared" si="164"/>
        <v>Other</v>
      </c>
      <c r="X72" s="47" t="str">
        <f t="shared" si="164"/>
        <v>Title I</v>
      </c>
      <c r="Y72" s="47" t="str">
        <f t="shared" si="164"/>
        <v>SGF</v>
      </c>
      <c r="Z72" s="47" t="str">
        <f t="shared" si="164"/>
        <v>Title III</v>
      </c>
      <c r="AA72" s="47" t="str">
        <f t="shared" si="164"/>
        <v>Inspirada</v>
      </c>
      <c r="AC72" s="47" t="str">
        <f t="shared" ref="AC72:AJ72" si="165">AC1</f>
        <v>Operating</v>
      </c>
      <c r="AD72" s="47" t="str">
        <f t="shared" si="165"/>
        <v>SPED</v>
      </c>
      <c r="AE72" s="47" t="str">
        <f t="shared" si="165"/>
        <v>NSLP</v>
      </c>
      <c r="AF72" s="47" t="str">
        <f t="shared" si="165"/>
        <v>Other</v>
      </c>
      <c r="AG72" s="47" t="str">
        <f t="shared" si="165"/>
        <v>Title I</v>
      </c>
      <c r="AH72" s="47" t="str">
        <f t="shared" si="165"/>
        <v>SGF</v>
      </c>
      <c r="AI72" s="47" t="str">
        <f t="shared" si="165"/>
        <v>Title III</v>
      </c>
      <c r="AJ72" s="47" t="str">
        <f t="shared" si="165"/>
        <v>Cadence</v>
      </c>
      <c r="AL72" s="47" t="str">
        <f t="shared" ref="AL72:AS72" si="166">AL1</f>
        <v>Operating</v>
      </c>
      <c r="AM72" s="47" t="str">
        <f t="shared" si="166"/>
        <v>SPED</v>
      </c>
      <c r="AN72" s="47" t="str">
        <f t="shared" si="166"/>
        <v>NSLP</v>
      </c>
      <c r="AO72" s="47" t="str">
        <f t="shared" si="166"/>
        <v>Other</v>
      </c>
      <c r="AP72" s="47" t="str">
        <f t="shared" si="166"/>
        <v>Title I</v>
      </c>
      <c r="AQ72" s="47" t="str">
        <f t="shared" si="166"/>
        <v>SGF</v>
      </c>
      <c r="AR72" s="47" t="str">
        <f t="shared" si="166"/>
        <v>Title III</v>
      </c>
      <c r="AS72" s="47" t="str">
        <f t="shared" si="166"/>
        <v>Sloan</v>
      </c>
      <c r="AU72" s="47" t="str">
        <f t="shared" ref="AU72:BB72" si="167">AU1</f>
        <v>Operating</v>
      </c>
      <c r="AV72" s="47" t="str">
        <f t="shared" si="167"/>
        <v>SPED</v>
      </c>
      <c r="AW72" s="47" t="str">
        <f t="shared" si="167"/>
        <v>NSLP</v>
      </c>
      <c r="AX72" s="47" t="str">
        <f t="shared" si="167"/>
        <v>Other</v>
      </c>
      <c r="AY72" s="47" t="str">
        <f t="shared" si="167"/>
        <v>Title I</v>
      </c>
      <c r="AZ72" s="47" t="str">
        <f t="shared" si="167"/>
        <v>SGF</v>
      </c>
      <c r="BA72" s="47" t="str">
        <f t="shared" si="167"/>
        <v>Title III</v>
      </c>
      <c r="BB72" s="47" t="str">
        <f t="shared" si="167"/>
        <v>Virtual</v>
      </c>
      <c r="BD72" s="47" t="str">
        <f t="shared" ref="BD72:BK72" si="168">BD1</f>
        <v>Operating</v>
      </c>
      <c r="BE72" s="47" t="str">
        <f t="shared" si="168"/>
        <v>SPED</v>
      </c>
      <c r="BF72" s="47" t="str">
        <f t="shared" si="168"/>
        <v>NSLP</v>
      </c>
      <c r="BG72" s="47" t="str">
        <f t="shared" si="168"/>
        <v>Other</v>
      </c>
      <c r="BH72" s="47" t="str">
        <f t="shared" si="168"/>
        <v>Title I</v>
      </c>
      <c r="BI72" s="47" t="str">
        <f t="shared" si="168"/>
        <v>SGF</v>
      </c>
      <c r="BJ72" s="47" t="str">
        <f t="shared" si="168"/>
        <v>Title III</v>
      </c>
      <c r="BK72" s="47" t="str">
        <f t="shared" si="168"/>
        <v>Springs</v>
      </c>
      <c r="BM72" s="47" t="str">
        <f t="shared" ref="BM72:BT72" si="169">BM1</f>
        <v>Operating</v>
      </c>
      <c r="BN72" s="47" t="str">
        <f t="shared" si="169"/>
        <v>SPED</v>
      </c>
      <c r="BO72" s="47" t="str">
        <f t="shared" si="169"/>
        <v>NSLP</v>
      </c>
      <c r="BP72" s="47" t="str">
        <f t="shared" si="169"/>
        <v>Other</v>
      </c>
      <c r="BQ72" s="47" t="str">
        <f t="shared" si="169"/>
        <v>Title I</v>
      </c>
      <c r="BR72" s="47" t="str">
        <f t="shared" si="169"/>
        <v>SGF</v>
      </c>
      <c r="BS72" s="47" t="str">
        <f t="shared" si="169"/>
        <v>Title III</v>
      </c>
      <c r="BT72" s="47" t="str">
        <f t="shared" si="169"/>
        <v>Exec. Office</v>
      </c>
      <c r="BV72" s="47" t="str">
        <f t="shared" ref="BV72:CC72" si="170">BV1</f>
        <v>Operating</v>
      </c>
      <c r="BW72" s="47" t="str">
        <f t="shared" si="170"/>
        <v>SPED</v>
      </c>
      <c r="BX72" s="47" t="str">
        <f t="shared" si="170"/>
        <v>NSLP</v>
      </c>
      <c r="BY72" s="47" t="str">
        <f t="shared" si="170"/>
        <v>Other</v>
      </c>
      <c r="BZ72" s="47" t="str">
        <f t="shared" si="170"/>
        <v>Title I</v>
      </c>
      <c r="CA72" s="47" t="str">
        <f t="shared" si="170"/>
        <v>SGF</v>
      </c>
      <c r="CB72" s="47" t="str">
        <f t="shared" si="170"/>
        <v>Title III</v>
      </c>
      <c r="CC72" s="47" t="str">
        <f t="shared" si="170"/>
        <v>Systemwide</v>
      </c>
    </row>
    <row r="73" spans="1:81" ht="15">
      <c r="A73" s="48" t="s">
        <v>71</v>
      </c>
      <c r="B73" s="49"/>
      <c r="C73" s="49"/>
      <c r="D73" s="49"/>
      <c r="E73" s="49"/>
      <c r="F73" s="49"/>
      <c r="G73" s="49"/>
      <c r="H73" s="49"/>
      <c r="I73" s="50"/>
      <c r="J73" s="7"/>
      <c r="K73" s="49"/>
      <c r="L73" s="49"/>
      <c r="M73" s="49"/>
      <c r="N73" s="49"/>
      <c r="O73" s="49"/>
      <c r="P73" s="49"/>
      <c r="Q73" s="49"/>
      <c r="R73" s="50"/>
      <c r="T73" s="49"/>
      <c r="U73" s="49"/>
      <c r="V73" s="49"/>
      <c r="W73" s="49"/>
      <c r="X73" s="49"/>
      <c r="Y73" s="49"/>
      <c r="Z73" s="49"/>
      <c r="AA73" s="50"/>
      <c r="AC73" s="49"/>
      <c r="AD73" s="49"/>
      <c r="AE73" s="49"/>
      <c r="AF73" s="49"/>
      <c r="AG73" s="49"/>
      <c r="AH73" s="49"/>
      <c r="AI73" s="49"/>
      <c r="AJ73" s="50"/>
      <c r="AL73" s="49"/>
      <c r="AM73" s="49"/>
      <c r="AN73" s="49"/>
      <c r="AO73" s="49"/>
      <c r="AP73" s="49"/>
      <c r="AQ73" s="49"/>
      <c r="AR73" s="49"/>
      <c r="AS73" s="50"/>
      <c r="AU73" s="49"/>
      <c r="AV73" s="49"/>
      <c r="AW73" s="49"/>
      <c r="AX73" s="49"/>
      <c r="AY73" s="49"/>
      <c r="AZ73" s="49"/>
      <c r="BA73" s="49"/>
      <c r="BB73" s="50"/>
      <c r="BD73" s="49"/>
      <c r="BE73" s="49"/>
      <c r="BF73" s="49"/>
      <c r="BG73" s="49"/>
      <c r="BH73" s="49"/>
      <c r="BI73" s="49"/>
      <c r="BJ73" s="49"/>
      <c r="BK73" s="50"/>
      <c r="BM73" s="49"/>
      <c r="BN73" s="49"/>
      <c r="BO73" s="49"/>
      <c r="BP73" s="49"/>
      <c r="BQ73" s="49"/>
      <c r="BR73" s="49"/>
      <c r="BS73" s="49"/>
      <c r="BT73" s="50"/>
      <c r="BV73" s="49"/>
      <c r="BW73" s="49"/>
      <c r="BX73" s="49"/>
      <c r="BY73" s="49"/>
      <c r="BZ73" s="49"/>
      <c r="CA73" s="49"/>
      <c r="CB73" s="49"/>
      <c r="CC73" s="50"/>
    </row>
    <row r="74" spans="1:81">
      <c r="A74" s="29" t="s">
        <v>72</v>
      </c>
      <c r="B74" s="51">
        <f>(B2*B3)</f>
        <v>8141128</v>
      </c>
      <c r="C74" s="51"/>
      <c r="D74" s="51"/>
      <c r="E74" s="51"/>
      <c r="F74" s="51"/>
      <c r="G74" s="51"/>
      <c r="H74" s="51"/>
      <c r="I74" s="52">
        <f t="shared" ref="I74:I79" si="171">SUM(B74:H74)</f>
        <v>8141128</v>
      </c>
      <c r="K74" s="51">
        <f>(K2*K3)</f>
        <v>9163252</v>
      </c>
      <c r="L74" s="51"/>
      <c r="M74" s="51"/>
      <c r="N74" s="51"/>
      <c r="O74" s="51"/>
      <c r="P74" s="51"/>
      <c r="Q74" s="51"/>
      <c r="R74" s="52">
        <f t="shared" ref="R74:R79" si="172">SUM(K74:Q74)</f>
        <v>9163252</v>
      </c>
      <c r="T74" s="51">
        <f>(T2*T3)</f>
        <v>10669540</v>
      </c>
      <c r="U74" s="51"/>
      <c r="V74" s="51"/>
      <c r="W74" s="51"/>
      <c r="X74" s="51"/>
      <c r="Y74" s="51"/>
      <c r="Z74" s="51"/>
      <c r="AA74" s="52">
        <f t="shared" ref="AA74:AA79" si="173">SUM(T74:Z74)</f>
        <v>10669540</v>
      </c>
      <c r="AC74" s="51">
        <f>(AC2*AC3)+(AC2*20)</f>
        <v>20299024</v>
      </c>
      <c r="AD74" s="51"/>
      <c r="AE74" s="51"/>
      <c r="AF74" s="51"/>
      <c r="AG74" s="51"/>
      <c r="AH74" s="51"/>
      <c r="AI74" s="51"/>
      <c r="AJ74" s="52">
        <f t="shared" ref="AJ74:AJ79" si="174">SUM(AC74:AI74)</f>
        <v>20299024</v>
      </c>
      <c r="AL74" s="51">
        <f>(AL2*AL3)</f>
        <v>19635540</v>
      </c>
      <c r="AM74" s="51"/>
      <c r="AN74" s="51"/>
      <c r="AO74" s="51"/>
      <c r="AP74" s="51"/>
      <c r="AQ74" s="51"/>
      <c r="AR74" s="51"/>
      <c r="AS74" s="52">
        <f t="shared" ref="AS74:AS79" si="175">SUM(AL74:AR74)</f>
        <v>19635540</v>
      </c>
      <c r="AU74" s="51">
        <f>(AU2*AU3)</f>
        <v>1075920</v>
      </c>
      <c r="AV74" s="51"/>
      <c r="AW74" s="51"/>
      <c r="AX74" s="51"/>
      <c r="AY74" s="51"/>
      <c r="AZ74" s="51"/>
      <c r="BA74" s="51"/>
      <c r="BB74" s="52">
        <f t="shared" ref="BB74:BB79" si="176">SUM(AU74:BA74)</f>
        <v>1075920</v>
      </c>
      <c r="BD74" s="51">
        <f>(BD2*BD3)</f>
        <v>1649744</v>
      </c>
      <c r="BE74" s="51"/>
      <c r="BF74" s="51"/>
      <c r="BG74" s="51"/>
      <c r="BH74" s="51"/>
      <c r="BI74" s="51"/>
      <c r="BJ74" s="51"/>
      <c r="BK74" s="52">
        <f t="shared" ref="BK74:BK79" si="177">SUM(BD74:BJ74)</f>
        <v>1649744</v>
      </c>
      <c r="BM74" s="51">
        <f>(BM2*BM3)</f>
        <v>0</v>
      </c>
      <c r="BN74" s="51"/>
      <c r="BO74" s="51"/>
      <c r="BP74" s="51"/>
      <c r="BQ74" s="51"/>
      <c r="BR74" s="51"/>
      <c r="BS74" s="51"/>
      <c r="BT74" s="52">
        <f t="shared" ref="BT74:BT79" si="178">SUM(BM74:BS74)</f>
        <v>0</v>
      </c>
      <c r="BV74" s="5">
        <f t="shared" ref="BV74" si="179">B74+K74+T74+AC74+AL74+AU74+BD74+BM74</f>
        <v>70634148</v>
      </c>
      <c r="BW74" s="5">
        <f t="shared" ref="BW74" si="180">C74+L74+U74+AD74+AM74+AV74+BE74+BN74</f>
        <v>0</v>
      </c>
      <c r="BX74" s="5">
        <f t="shared" ref="BX74" si="181">D74+M74+V74+AE74+AN74+AW74+BF74+BO74</f>
        <v>0</v>
      </c>
      <c r="BY74" s="5">
        <f t="shared" ref="BY74" si="182">E74+N74+W74+AF74+AO74+AX74+BG74+BP74</f>
        <v>0</v>
      </c>
      <c r="BZ74" s="5">
        <f t="shared" ref="BZ74" si="183">F74+O74+X74+AG74+AP74+AY74+BH74+BQ74</f>
        <v>0</v>
      </c>
      <c r="CA74" s="5">
        <f t="shared" ref="CA74" si="184">G74+P74+Y74+AH74+AQ74+AZ74+BI74+BR74</f>
        <v>0</v>
      </c>
      <c r="CB74" s="51"/>
      <c r="CC74" s="52">
        <f t="shared" ref="CC74:CC79" si="185">SUM(BV74:CB74)</f>
        <v>70634148</v>
      </c>
    </row>
    <row r="75" spans="1:81">
      <c r="A75" s="29" t="s">
        <v>73</v>
      </c>
      <c r="B75" s="35">
        <f>4034*B21</f>
        <v>121020</v>
      </c>
      <c r="C75" s="35"/>
      <c r="D75" s="35"/>
      <c r="E75" s="35"/>
      <c r="F75" s="35"/>
      <c r="G75" s="35"/>
      <c r="H75" s="35"/>
      <c r="I75" s="5">
        <f t="shared" si="171"/>
        <v>121020</v>
      </c>
      <c r="J75" s="6"/>
      <c r="K75" s="35">
        <f>4034*K21</f>
        <v>72612</v>
      </c>
      <c r="L75" s="35"/>
      <c r="M75" s="35"/>
      <c r="N75" s="35"/>
      <c r="O75" s="35"/>
      <c r="P75" s="35"/>
      <c r="Q75" s="35"/>
      <c r="R75" s="5">
        <f t="shared" si="172"/>
        <v>72612</v>
      </c>
      <c r="T75" s="35">
        <f>4034*T21</f>
        <v>100850</v>
      </c>
      <c r="U75" s="35"/>
      <c r="V75" s="35"/>
      <c r="W75" s="35"/>
      <c r="X75" s="35"/>
      <c r="Y75" s="35"/>
      <c r="Z75" s="35"/>
      <c r="AA75" s="5">
        <f t="shared" si="173"/>
        <v>100850</v>
      </c>
      <c r="AC75" s="35">
        <f>4034*AC21</f>
        <v>189598</v>
      </c>
      <c r="AD75" s="35"/>
      <c r="AE75" s="35"/>
      <c r="AF75" s="35"/>
      <c r="AG75" s="35"/>
      <c r="AH75" s="35"/>
      <c r="AI75" s="35"/>
      <c r="AJ75" s="5">
        <f t="shared" si="174"/>
        <v>189598</v>
      </c>
      <c r="AL75" s="35">
        <f>4034*AL21</f>
        <v>161360</v>
      </c>
      <c r="AM75" s="35"/>
      <c r="AN75" s="35"/>
      <c r="AO75" s="35"/>
      <c r="AP75" s="35"/>
      <c r="AQ75" s="35"/>
      <c r="AR75" s="35"/>
      <c r="AS75" s="5">
        <f t="shared" si="175"/>
        <v>161360</v>
      </c>
      <c r="AU75" s="35">
        <f>4034*AU21</f>
        <v>0</v>
      </c>
      <c r="AV75" s="35"/>
      <c r="AW75" s="35"/>
      <c r="AX75" s="35"/>
      <c r="AY75" s="35"/>
      <c r="AZ75" s="35"/>
      <c r="BA75" s="35"/>
      <c r="BB75" s="5">
        <f t="shared" si="176"/>
        <v>0</v>
      </c>
      <c r="BD75" s="35">
        <f>4034*BD21</f>
        <v>0</v>
      </c>
      <c r="BE75" s="35"/>
      <c r="BF75" s="35"/>
      <c r="BG75" s="35"/>
      <c r="BH75" s="35"/>
      <c r="BI75" s="35"/>
      <c r="BJ75" s="35"/>
      <c r="BK75" s="5">
        <f t="shared" si="177"/>
        <v>0</v>
      </c>
      <c r="BM75" s="35">
        <f>4200*BM21</f>
        <v>0</v>
      </c>
      <c r="BN75" s="35"/>
      <c r="BO75" s="35"/>
      <c r="BP75" s="35"/>
      <c r="BQ75" s="35"/>
      <c r="BR75" s="35"/>
      <c r="BS75" s="35"/>
      <c r="BT75" s="5">
        <f t="shared" si="178"/>
        <v>0</v>
      </c>
      <c r="BV75" s="5">
        <f t="shared" ref="BV75:BV79" si="186">B75+K75+T75+AC75+AL75+AU75+BD75+BM75</f>
        <v>645440</v>
      </c>
      <c r="BW75" s="5">
        <f t="shared" ref="BW75:BW79" si="187">C75+L75+U75+AD75+AM75+AV75+BE75+BN75</f>
        <v>0</v>
      </c>
      <c r="BX75" s="5">
        <f t="shared" ref="BX75:BX79" si="188">D75+M75+V75+AE75+AN75+AW75+BF75+BO75</f>
        <v>0</v>
      </c>
      <c r="BY75" s="5">
        <f t="shared" ref="BY75:BY79" si="189">E75+N75+W75+AF75+AO75+AX75+BG75+BP75</f>
        <v>0</v>
      </c>
      <c r="BZ75" s="5">
        <f t="shared" ref="BZ75:BZ79" si="190">F75+O75+X75+AG75+AP75+AY75+BH75+BQ75</f>
        <v>0</v>
      </c>
      <c r="CA75" s="5">
        <f t="shared" ref="CA75:CA79" si="191">G75+P75+Y75+AH75+AQ75+AZ75+BI75+BR75</f>
        <v>0</v>
      </c>
      <c r="CB75" s="35"/>
      <c r="CC75" s="5">
        <f t="shared" si="185"/>
        <v>645440</v>
      </c>
    </row>
    <row r="76" spans="1:81">
      <c r="A76" s="29" t="s">
        <v>74</v>
      </c>
      <c r="B76" s="5">
        <f>1075*B22</f>
        <v>38700</v>
      </c>
      <c r="C76" s="5"/>
      <c r="D76" s="5"/>
      <c r="E76" s="5"/>
      <c r="F76" s="5"/>
      <c r="G76" s="5"/>
      <c r="H76" s="5"/>
      <c r="I76" s="5">
        <f t="shared" si="171"/>
        <v>38700</v>
      </c>
      <c r="J76" s="6"/>
      <c r="K76" s="5">
        <f>1075*K22</f>
        <v>43000</v>
      </c>
      <c r="L76" s="5"/>
      <c r="M76" s="5"/>
      <c r="N76" s="5"/>
      <c r="O76" s="5"/>
      <c r="P76" s="5"/>
      <c r="Q76" s="5"/>
      <c r="R76" s="5">
        <f t="shared" si="172"/>
        <v>43000</v>
      </c>
      <c r="T76" s="5">
        <f>1075*T22</f>
        <v>54825</v>
      </c>
      <c r="U76" s="5"/>
      <c r="V76" s="5"/>
      <c r="W76" s="5"/>
      <c r="X76" s="5"/>
      <c r="Y76" s="5"/>
      <c r="Z76" s="5"/>
      <c r="AA76" s="5">
        <f t="shared" si="173"/>
        <v>54825</v>
      </c>
      <c r="AC76" s="5">
        <f>1075*AC22</f>
        <v>34400</v>
      </c>
      <c r="AD76" s="5"/>
      <c r="AE76" s="5"/>
      <c r="AF76" s="5"/>
      <c r="AG76" s="5"/>
      <c r="AH76" s="5"/>
      <c r="AI76" s="5"/>
      <c r="AJ76" s="5">
        <f t="shared" si="174"/>
        <v>34400</v>
      </c>
      <c r="AL76" s="5">
        <f>1075*AL22</f>
        <v>107500</v>
      </c>
      <c r="AM76" s="5"/>
      <c r="AN76" s="5"/>
      <c r="AO76" s="5"/>
      <c r="AP76" s="5"/>
      <c r="AQ76" s="5"/>
      <c r="AR76" s="5"/>
      <c r="AS76" s="5">
        <f t="shared" si="175"/>
        <v>107500</v>
      </c>
      <c r="AU76" s="5">
        <f>1075*AU22</f>
        <v>0</v>
      </c>
      <c r="AV76" s="5"/>
      <c r="AW76" s="5"/>
      <c r="AX76" s="5"/>
      <c r="AY76" s="5"/>
      <c r="AZ76" s="5"/>
      <c r="BA76" s="5"/>
      <c r="BB76" s="5">
        <f t="shared" si="176"/>
        <v>0</v>
      </c>
      <c r="BD76" s="5">
        <f>1075*BD22</f>
        <v>0</v>
      </c>
      <c r="BE76" s="5"/>
      <c r="BF76" s="5"/>
      <c r="BG76" s="5"/>
      <c r="BH76" s="5"/>
      <c r="BI76" s="5"/>
      <c r="BJ76" s="5"/>
      <c r="BK76" s="5">
        <f t="shared" si="177"/>
        <v>0</v>
      </c>
      <c r="BM76" s="5">
        <f>1000*BM22</f>
        <v>0</v>
      </c>
      <c r="BN76" s="5"/>
      <c r="BO76" s="5"/>
      <c r="BP76" s="5"/>
      <c r="BQ76" s="5"/>
      <c r="BR76" s="5"/>
      <c r="BS76" s="5"/>
      <c r="BT76" s="5">
        <f t="shared" si="178"/>
        <v>0</v>
      </c>
      <c r="BV76" s="5">
        <f t="shared" si="186"/>
        <v>278425</v>
      </c>
      <c r="BW76" s="5">
        <f t="shared" si="187"/>
        <v>0</v>
      </c>
      <c r="BX76" s="5">
        <f t="shared" si="188"/>
        <v>0</v>
      </c>
      <c r="BY76" s="5">
        <f t="shared" si="189"/>
        <v>0</v>
      </c>
      <c r="BZ76" s="5">
        <f t="shared" si="190"/>
        <v>0</v>
      </c>
      <c r="CA76" s="5">
        <f t="shared" si="191"/>
        <v>0</v>
      </c>
      <c r="CB76" s="5"/>
      <c r="CC76" s="5">
        <f t="shared" si="185"/>
        <v>278425</v>
      </c>
    </row>
    <row r="77" spans="1:81">
      <c r="A77" s="29" t="s">
        <v>75</v>
      </c>
      <c r="B77" s="5"/>
      <c r="C77" s="5"/>
      <c r="D77" s="5"/>
      <c r="E77" s="5"/>
      <c r="F77" s="5"/>
      <c r="G77" s="5"/>
      <c r="H77" s="5"/>
      <c r="I77" s="5">
        <f t="shared" si="171"/>
        <v>0</v>
      </c>
      <c r="K77" s="5">
        <v>0</v>
      </c>
      <c r="L77" s="5"/>
      <c r="M77" s="5"/>
      <c r="N77" s="5"/>
      <c r="O77" s="5"/>
      <c r="P77" s="5"/>
      <c r="Q77" s="5"/>
      <c r="R77" s="5">
        <f t="shared" si="172"/>
        <v>0</v>
      </c>
      <c r="T77" s="5"/>
      <c r="U77" s="5"/>
      <c r="V77" s="5"/>
      <c r="W77" s="5"/>
      <c r="X77" s="5"/>
      <c r="Y77" s="5"/>
      <c r="Z77" s="5"/>
      <c r="AA77" s="5">
        <f t="shared" si="173"/>
        <v>0</v>
      </c>
      <c r="AC77" s="5">
        <v>318500</v>
      </c>
      <c r="AD77" s="5"/>
      <c r="AE77" s="5"/>
      <c r="AF77" s="5"/>
      <c r="AG77" s="5"/>
      <c r="AH77" s="5"/>
      <c r="AI77" s="5"/>
      <c r="AJ77" s="5">
        <f t="shared" si="174"/>
        <v>318500</v>
      </c>
      <c r="AL77" s="5">
        <v>318500</v>
      </c>
      <c r="AM77" s="5"/>
      <c r="AN77" s="5"/>
      <c r="AO77" s="5"/>
      <c r="AP77" s="5"/>
      <c r="AQ77" s="5"/>
      <c r="AR77" s="5"/>
      <c r="AS77" s="5">
        <f t="shared" si="175"/>
        <v>318500</v>
      </c>
      <c r="AU77" s="5">
        <v>0</v>
      </c>
      <c r="AV77" s="5"/>
      <c r="AW77" s="5"/>
      <c r="AX77" s="5"/>
      <c r="AY77" s="5"/>
      <c r="AZ77" s="5"/>
      <c r="BA77" s="5"/>
      <c r="BB77" s="5">
        <f t="shared" si="176"/>
        <v>0</v>
      </c>
      <c r="BD77" s="5">
        <f>3138*BD24</f>
        <v>0</v>
      </c>
      <c r="BE77" s="5"/>
      <c r="BF77" s="5"/>
      <c r="BG77" s="5"/>
      <c r="BH77" s="5"/>
      <c r="BI77" s="5"/>
      <c r="BJ77" s="5"/>
      <c r="BK77" s="5">
        <f t="shared" si="177"/>
        <v>0</v>
      </c>
      <c r="BM77" s="5">
        <f>2400*BM24</f>
        <v>0</v>
      </c>
      <c r="BN77" s="5"/>
      <c r="BO77" s="5"/>
      <c r="BP77" s="5"/>
      <c r="BQ77" s="5"/>
      <c r="BR77" s="5"/>
      <c r="BS77" s="5"/>
      <c r="BT77" s="5">
        <f t="shared" si="178"/>
        <v>0</v>
      </c>
      <c r="BV77" s="5">
        <f t="shared" si="186"/>
        <v>637000</v>
      </c>
      <c r="BW77" s="5">
        <f t="shared" si="187"/>
        <v>0</v>
      </c>
      <c r="BX77" s="5">
        <f t="shared" si="188"/>
        <v>0</v>
      </c>
      <c r="BY77" s="5">
        <f t="shared" si="189"/>
        <v>0</v>
      </c>
      <c r="BZ77" s="5">
        <f t="shared" si="190"/>
        <v>0</v>
      </c>
      <c r="CA77" s="5">
        <f t="shared" si="191"/>
        <v>0</v>
      </c>
      <c r="CB77" s="5"/>
      <c r="CC77" s="5">
        <f t="shared" si="185"/>
        <v>637000</v>
      </c>
    </row>
    <row r="78" spans="1:81">
      <c r="A78" s="29" t="s">
        <v>76</v>
      </c>
      <c r="B78" s="35">
        <v>0</v>
      </c>
      <c r="C78" s="35">
        <v>157805</v>
      </c>
      <c r="D78" s="35"/>
      <c r="E78" s="35"/>
      <c r="F78" s="35"/>
      <c r="G78" s="35"/>
      <c r="H78" s="35"/>
      <c r="I78" s="35">
        <f t="shared" si="171"/>
        <v>157805</v>
      </c>
      <c r="J78" s="53"/>
      <c r="K78" s="35">
        <v>0</v>
      </c>
      <c r="L78" s="35">
        <v>128410</v>
      </c>
      <c r="M78" s="35"/>
      <c r="N78" s="35"/>
      <c r="O78" s="35"/>
      <c r="P78" s="35"/>
      <c r="Q78" s="35"/>
      <c r="R78" s="35">
        <f t="shared" si="172"/>
        <v>128410</v>
      </c>
      <c r="T78" s="35">
        <v>0</v>
      </c>
      <c r="U78" s="35">
        <v>170182</v>
      </c>
      <c r="V78" s="35"/>
      <c r="W78" s="35"/>
      <c r="X78" s="35"/>
      <c r="Y78" s="35"/>
      <c r="Z78" s="35"/>
      <c r="AA78" s="35">
        <f t="shared" si="173"/>
        <v>170182</v>
      </c>
      <c r="AC78" s="35">
        <v>0</v>
      </c>
      <c r="AD78" s="35">
        <v>450210</v>
      </c>
      <c r="AE78" s="35"/>
      <c r="AF78" s="35"/>
      <c r="AG78" s="35"/>
      <c r="AH78" s="35"/>
      <c r="AI78" s="35"/>
      <c r="AJ78" s="35">
        <f t="shared" si="174"/>
        <v>450210</v>
      </c>
      <c r="AL78" s="35">
        <v>0</v>
      </c>
      <c r="AM78" s="35">
        <v>326441</v>
      </c>
      <c r="AN78" s="35"/>
      <c r="AO78" s="35"/>
      <c r="AP78" s="35"/>
      <c r="AQ78" s="35"/>
      <c r="AR78" s="35"/>
      <c r="AS78" s="35">
        <f t="shared" si="175"/>
        <v>326441</v>
      </c>
      <c r="AU78" s="35">
        <v>0</v>
      </c>
      <c r="AV78" s="35">
        <v>15471</v>
      </c>
      <c r="AW78" s="35"/>
      <c r="AX78" s="35"/>
      <c r="AY78" s="35"/>
      <c r="AZ78" s="35"/>
      <c r="BA78" s="35"/>
      <c r="BB78" s="35">
        <f t="shared" si="176"/>
        <v>15471</v>
      </c>
      <c r="BD78" s="35">
        <v>0</v>
      </c>
      <c r="BE78" s="35"/>
      <c r="BF78" s="35"/>
      <c r="BG78" s="35"/>
      <c r="BH78" s="35"/>
      <c r="BI78" s="35"/>
      <c r="BJ78" s="35"/>
      <c r="BK78" s="35">
        <f t="shared" si="177"/>
        <v>0</v>
      </c>
      <c r="BM78" s="35">
        <v>0</v>
      </c>
      <c r="BN78" s="35">
        <v>0</v>
      </c>
      <c r="BO78" s="35"/>
      <c r="BP78" s="35"/>
      <c r="BQ78" s="35"/>
      <c r="BR78" s="35"/>
      <c r="BS78" s="35"/>
      <c r="BT78" s="35">
        <f t="shared" si="178"/>
        <v>0</v>
      </c>
      <c r="BV78" s="5">
        <f t="shared" si="186"/>
        <v>0</v>
      </c>
      <c r="BW78" s="5">
        <f t="shared" si="187"/>
        <v>1248519</v>
      </c>
      <c r="BX78" s="5">
        <f t="shared" si="188"/>
        <v>0</v>
      </c>
      <c r="BY78" s="5">
        <f t="shared" si="189"/>
        <v>0</v>
      </c>
      <c r="BZ78" s="5">
        <f t="shared" si="190"/>
        <v>0</v>
      </c>
      <c r="CA78" s="5">
        <f t="shared" si="191"/>
        <v>0</v>
      </c>
      <c r="CB78" s="35"/>
      <c r="CC78" s="35">
        <f t="shared" si="185"/>
        <v>1248519</v>
      </c>
    </row>
    <row r="79" spans="1:81">
      <c r="A79" s="29" t="s">
        <v>77</v>
      </c>
      <c r="B79" s="35">
        <v>0</v>
      </c>
      <c r="C79" s="35">
        <f>3840*C20</f>
        <v>391680</v>
      </c>
      <c r="D79" s="35"/>
      <c r="E79" s="35"/>
      <c r="F79" s="35"/>
      <c r="G79" s="35"/>
      <c r="H79" s="35"/>
      <c r="I79" s="35">
        <f t="shared" si="171"/>
        <v>391680</v>
      </c>
      <c r="J79" s="53"/>
      <c r="K79" s="35">
        <v>0</v>
      </c>
      <c r="L79" s="35">
        <f>3840*L20</f>
        <v>318720</v>
      </c>
      <c r="M79" s="35"/>
      <c r="N79" s="35"/>
      <c r="O79" s="35"/>
      <c r="P79" s="35"/>
      <c r="Q79" s="35"/>
      <c r="R79" s="35">
        <f t="shared" si="172"/>
        <v>318720</v>
      </c>
      <c r="T79" s="35">
        <v>0</v>
      </c>
      <c r="U79" s="35">
        <f>3840*U20</f>
        <v>422400</v>
      </c>
      <c r="V79" s="35"/>
      <c r="W79" s="35"/>
      <c r="X79" s="35"/>
      <c r="Y79" s="35"/>
      <c r="Z79" s="35"/>
      <c r="AA79" s="35">
        <f t="shared" si="173"/>
        <v>422400</v>
      </c>
      <c r="AC79" s="35">
        <v>0</v>
      </c>
      <c r="AD79" s="35">
        <f>3840*AD20</f>
        <v>1117440</v>
      </c>
      <c r="AE79" s="35"/>
      <c r="AF79" s="35"/>
      <c r="AG79" s="35"/>
      <c r="AH79" s="35"/>
      <c r="AI79" s="35"/>
      <c r="AJ79" s="35">
        <f t="shared" si="174"/>
        <v>1117440</v>
      </c>
      <c r="AL79" s="35">
        <v>0</v>
      </c>
      <c r="AM79" s="35">
        <f>3840*AM20</f>
        <v>810240</v>
      </c>
      <c r="AN79" s="35"/>
      <c r="AO79" s="35"/>
      <c r="AP79" s="35"/>
      <c r="AQ79" s="35"/>
      <c r="AR79" s="35"/>
      <c r="AS79" s="35">
        <f t="shared" si="175"/>
        <v>810240</v>
      </c>
      <c r="AU79" s="35">
        <v>0</v>
      </c>
      <c r="AV79" s="35">
        <f>3840*AV20</f>
        <v>38400</v>
      </c>
      <c r="AW79" s="35"/>
      <c r="AX79" s="35"/>
      <c r="AY79" s="35"/>
      <c r="AZ79" s="35"/>
      <c r="BA79" s="35"/>
      <c r="BB79" s="35">
        <f t="shared" si="176"/>
        <v>38400</v>
      </c>
      <c r="BD79" s="35">
        <v>0</v>
      </c>
      <c r="BE79" s="35">
        <f>3840*BE20</f>
        <v>57600</v>
      </c>
      <c r="BF79" s="35"/>
      <c r="BG79" s="35"/>
      <c r="BH79" s="35"/>
      <c r="BI79" s="35"/>
      <c r="BJ79" s="35"/>
      <c r="BK79" s="35">
        <f t="shared" si="177"/>
        <v>57600</v>
      </c>
      <c r="BM79" s="35">
        <v>0</v>
      </c>
      <c r="BN79" s="35">
        <f>2500*BN20</f>
        <v>0</v>
      </c>
      <c r="BO79" s="35"/>
      <c r="BP79" s="35"/>
      <c r="BQ79" s="35"/>
      <c r="BR79" s="35"/>
      <c r="BS79" s="35"/>
      <c r="BT79" s="35">
        <f t="shared" si="178"/>
        <v>0</v>
      </c>
      <c r="BV79" s="5">
        <f t="shared" si="186"/>
        <v>0</v>
      </c>
      <c r="BW79" s="5">
        <f t="shared" si="187"/>
        <v>3156480</v>
      </c>
      <c r="BX79" s="5">
        <f t="shared" si="188"/>
        <v>0</v>
      </c>
      <c r="BY79" s="5">
        <f t="shared" si="189"/>
        <v>0</v>
      </c>
      <c r="BZ79" s="5">
        <f t="shared" si="190"/>
        <v>0</v>
      </c>
      <c r="CA79" s="5">
        <f t="shared" si="191"/>
        <v>0</v>
      </c>
      <c r="CB79" s="35"/>
      <c r="CC79" s="35">
        <f t="shared" si="185"/>
        <v>3156480</v>
      </c>
    </row>
    <row r="80" spans="1:81" ht="15">
      <c r="A80" s="54" t="s">
        <v>78</v>
      </c>
      <c r="B80" s="55">
        <f t="shared" ref="B80:I80" si="192">SUM(B74:B79)</f>
        <v>8300848</v>
      </c>
      <c r="C80" s="55">
        <f t="shared" si="192"/>
        <v>549485</v>
      </c>
      <c r="D80" s="55">
        <f t="shared" si="192"/>
        <v>0</v>
      </c>
      <c r="E80" s="55"/>
      <c r="F80" s="55">
        <f t="shared" si="192"/>
        <v>0</v>
      </c>
      <c r="G80" s="55">
        <f t="shared" si="192"/>
        <v>0</v>
      </c>
      <c r="H80" s="55">
        <f t="shared" si="192"/>
        <v>0</v>
      </c>
      <c r="I80" s="55">
        <f t="shared" si="192"/>
        <v>8850333</v>
      </c>
      <c r="J80" s="7"/>
      <c r="K80" s="55">
        <f t="shared" ref="K80:R80" si="193">SUM(K74:K79)</f>
        <v>9278864</v>
      </c>
      <c r="L80" s="55">
        <f t="shared" si="193"/>
        <v>447130</v>
      </c>
      <c r="M80" s="55">
        <f t="shared" si="193"/>
        <v>0</v>
      </c>
      <c r="N80" s="55"/>
      <c r="O80" s="55">
        <f t="shared" si="193"/>
        <v>0</v>
      </c>
      <c r="P80" s="55">
        <f t="shared" si="193"/>
        <v>0</v>
      </c>
      <c r="Q80" s="55">
        <f t="shared" si="193"/>
        <v>0</v>
      </c>
      <c r="R80" s="55">
        <f t="shared" si="193"/>
        <v>9725994</v>
      </c>
      <c r="T80" s="55">
        <f t="shared" ref="T80:AA80" si="194">SUM(T74:T79)</f>
        <v>10825215</v>
      </c>
      <c r="U80" s="55">
        <f t="shared" si="194"/>
        <v>592582</v>
      </c>
      <c r="V80" s="55">
        <f t="shared" si="194"/>
        <v>0</v>
      </c>
      <c r="W80" s="55"/>
      <c r="X80" s="55">
        <f t="shared" si="194"/>
        <v>0</v>
      </c>
      <c r="Y80" s="55">
        <f t="shared" si="194"/>
        <v>0</v>
      </c>
      <c r="Z80" s="55">
        <f t="shared" si="194"/>
        <v>0</v>
      </c>
      <c r="AA80" s="55">
        <f t="shared" si="194"/>
        <v>11417797</v>
      </c>
      <c r="AC80" s="55">
        <f t="shared" ref="AC80:AJ80" si="195">SUM(AC74:AC79)</f>
        <v>20841522</v>
      </c>
      <c r="AD80" s="55">
        <f t="shared" si="195"/>
        <v>1567650</v>
      </c>
      <c r="AE80" s="55">
        <f t="shared" si="195"/>
        <v>0</v>
      </c>
      <c r="AF80" s="55">
        <f t="shared" si="195"/>
        <v>0</v>
      </c>
      <c r="AG80" s="55">
        <f t="shared" si="195"/>
        <v>0</v>
      </c>
      <c r="AH80" s="55">
        <f t="shared" si="195"/>
        <v>0</v>
      </c>
      <c r="AI80" s="55">
        <f t="shared" si="195"/>
        <v>0</v>
      </c>
      <c r="AJ80" s="55">
        <f t="shared" si="195"/>
        <v>22409172</v>
      </c>
      <c r="AL80" s="55">
        <f t="shared" ref="AL80:AS80" si="196">SUM(AL74:AL79)</f>
        <v>20222900</v>
      </c>
      <c r="AM80" s="55">
        <f t="shared" si="196"/>
        <v>1136681</v>
      </c>
      <c r="AN80" s="55">
        <f t="shared" si="196"/>
        <v>0</v>
      </c>
      <c r="AO80" s="55"/>
      <c r="AP80" s="55">
        <f t="shared" si="196"/>
        <v>0</v>
      </c>
      <c r="AQ80" s="55">
        <f t="shared" si="196"/>
        <v>0</v>
      </c>
      <c r="AR80" s="55">
        <f t="shared" si="196"/>
        <v>0</v>
      </c>
      <c r="AS80" s="55">
        <f t="shared" si="196"/>
        <v>21359581</v>
      </c>
      <c r="AU80" s="55">
        <f t="shared" ref="AU80:BB80" si="197">SUM(AU74:AU79)</f>
        <v>1075920</v>
      </c>
      <c r="AV80" s="55">
        <f t="shared" si="197"/>
        <v>53871</v>
      </c>
      <c r="AW80" s="55">
        <f t="shared" si="197"/>
        <v>0</v>
      </c>
      <c r="AX80" s="55"/>
      <c r="AY80" s="55">
        <f t="shared" si="197"/>
        <v>0</v>
      </c>
      <c r="AZ80" s="55">
        <f t="shared" si="197"/>
        <v>0</v>
      </c>
      <c r="BA80" s="55">
        <f t="shared" si="197"/>
        <v>0</v>
      </c>
      <c r="BB80" s="55">
        <f t="shared" si="197"/>
        <v>1129791</v>
      </c>
      <c r="BD80" s="55">
        <f t="shared" ref="BD80:BK80" si="198">SUM(BD74:BD79)</f>
        <v>1649744</v>
      </c>
      <c r="BE80" s="55">
        <f t="shared" si="198"/>
        <v>57600</v>
      </c>
      <c r="BF80" s="55">
        <f t="shared" si="198"/>
        <v>0</v>
      </c>
      <c r="BG80" s="55"/>
      <c r="BH80" s="55">
        <f t="shared" si="198"/>
        <v>0</v>
      </c>
      <c r="BI80" s="55">
        <f t="shared" si="198"/>
        <v>0</v>
      </c>
      <c r="BJ80" s="55">
        <f t="shared" si="198"/>
        <v>0</v>
      </c>
      <c r="BK80" s="55">
        <f t="shared" si="198"/>
        <v>1707344</v>
      </c>
      <c r="BM80" s="55">
        <f t="shared" ref="BM80:BT80" si="199">SUM(BM74:BM79)</f>
        <v>0</v>
      </c>
      <c r="BN80" s="55">
        <f t="shared" si="199"/>
        <v>0</v>
      </c>
      <c r="BO80" s="55">
        <f t="shared" si="199"/>
        <v>0</v>
      </c>
      <c r="BP80" s="55"/>
      <c r="BQ80" s="55">
        <f t="shared" si="199"/>
        <v>0</v>
      </c>
      <c r="BR80" s="55">
        <f t="shared" si="199"/>
        <v>0</v>
      </c>
      <c r="BS80" s="55">
        <f t="shared" si="199"/>
        <v>0</v>
      </c>
      <c r="BT80" s="55">
        <f t="shared" si="199"/>
        <v>0</v>
      </c>
      <c r="BV80" s="55">
        <f t="shared" ref="BV80:BX80" si="200">SUM(BV74:BV79)</f>
        <v>72195013</v>
      </c>
      <c r="BW80" s="55">
        <f t="shared" si="200"/>
        <v>4404999</v>
      </c>
      <c r="BX80" s="55">
        <f t="shared" si="200"/>
        <v>0</v>
      </c>
      <c r="BY80" s="55"/>
      <c r="BZ80" s="55">
        <f t="shared" ref="BZ80:CC80" si="201">SUM(BZ74:BZ79)</f>
        <v>0</v>
      </c>
      <c r="CA80" s="55">
        <f t="shared" si="201"/>
        <v>0</v>
      </c>
      <c r="CB80" s="55">
        <f t="shared" si="201"/>
        <v>0</v>
      </c>
      <c r="CC80" s="55">
        <f t="shared" si="201"/>
        <v>76600012</v>
      </c>
    </row>
    <row r="81" spans="1:81" ht="15">
      <c r="A81" s="56" t="s">
        <v>79</v>
      </c>
      <c r="B81" s="49"/>
      <c r="C81" s="49"/>
      <c r="D81" s="49"/>
      <c r="E81" s="49"/>
      <c r="F81" s="49"/>
      <c r="G81" s="49"/>
      <c r="H81" s="49"/>
      <c r="I81" s="50"/>
      <c r="J81" s="7"/>
      <c r="K81" s="49"/>
      <c r="L81" s="49"/>
      <c r="M81" s="49"/>
      <c r="N81" s="49"/>
      <c r="O81" s="49"/>
      <c r="P81" s="49"/>
      <c r="Q81" s="49"/>
      <c r="R81" s="50"/>
      <c r="T81" s="49"/>
      <c r="U81" s="49"/>
      <c r="V81" s="49"/>
      <c r="W81" s="49"/>
      <c r="X81" s="49"/>
      <c r="Y81" s="49"/>
      <c r="Z81" s="49"/>
      <c r="AA81" s="50"/>
      <c r="AC81" s="49"/>
      <c r="AD81" s="49"/>
      <c r="AE81" s="49"/>
      <c r="AF81" s="49"/>
      <c r="AG81" s="49"/>
      <c r="AH81" s="49"/>
      <c r="AI81" s="49"/>
      <c r="AJ81" s="50"/>
      <c r="AL81" s="49"/>
      <c r="AM81" s="49"/>
      <c r="AN81" s="49"/>
      <c r="AO81" s="49"/>
      <c r="AP81" s="49"/>
      <c r="AQ81" s="49"/>
      <c r="AR81" s="49"/>
      <c r="AS81" s="50"/>
      <c r="AU81" s="49"/>
      <c r="AV81" s="49"/>
      <c r="AW81" s="49"/>
      <c r="AX81" s="49"/>
      <c r="AY81" s="49"/>
      <c r="AZ81" s="49"/>
      <c r="BA81" s="49"/>
      <c r="BB81" s="50"/>
      <c r="BD81" s="49"/>
      <c r="BE81" s="49"/>
      <c r="BF81" s="49"/>
      <c r="BG81" s="49"/>
      <c r="BH81" s="49"/>
      <c r="BI81" s="49"/>
      <c r="BJ81" s="49"/>
      <c r="BK81" s="50"/>
      <c r="BM81" s="49"/>
      <c r="BN81" s="49"/>
      <c r="BO81" s="49"/>
      <c r="BP81" s="49"/>
      <c r="BQ81" s="49"/>
      <c r="BR81" s="49"/>
      <c r="BS81" s="49"/>
      <c r="BT81" s="50"/>
      <c r="BV81" s="49"/>
      <c r="BW81" s="49"/>
      <c r="BX81" s="49"/>
      <c r="BY81" s="49"/>
      <c r="BZ81" s="49"/>
      <c r="CA81" s="49"/>
      <c r="CB81" s="49"/>
      <c r="CC81" s="50"/>
    </row>
    <row r="82" spans="1:81">
      <c r="A82" s="29" t="s">
        <v>80</v>
      </c>
      <c r="B82" s="5"/>
      <c r="C82" s="5">
        <v>132430</v>
      </c>
      <c r="D82" s="5"/>
      <c r="E82" s="5"/>
      <c r="F82" s="5"/>
      <c r="G82" s="5"/>
      <c r="H82" s="5"/>
      <c r="I82" s="5">
        <f t="shared" ref="I82:I88" si="202">SUM(B82:H82)</f>
        <v>132430</v>
      </c>
      <c r="J82" s="6"/>
      <c r="K82" s="5"/>
      <c r="L82" s="5">
        <v>107761</v>
      </c>
      <c r="M82" s="5"/>
      <c r="N82" s="5"/>
      <c r="O82" s="5"/>
      <c r="P82" s="5"/>
      <c r="Q82" s="5"/>
      <c r="R82" s="5">
        <f>SUM(K82:Q82)</f>
        <v>107761</v>
      </c>
      <c r="T82" s="5"/>
      <c r="U82" s="5">
        <v>142817</v>
      </c>
      <c r="V82" s="5"/>
      <c r="W82" s="5"/>
      <c r="X82" s="5"/>
      <c r="Y82" s="5"/>
      <c r="Z82" s="5"/>
      <c r="AA82" s="5">
        <f>SUM(T82:Z82)</f>
        <v>142817</v>
      </c>
      <c r="AC82" s="5"/>
      <c r="AD82" s="5">
        <v>377815</v>
      </c>
      <c r="AE82" s="5"/>
      <c r="AF82" s="5"/>
      <c r="AG82" s="5"/>
      <c r="AH82" s="5"/>
      <c r="AI82" s="5"/>
      <c r="AJ82" s="5">
        <f>SUM(AC82:AI82)</f>
        <v>377815</v>
      </c>
      <c r="AL82" s="5"/>
      <c r="AM82" s="5">
        <v>273949</v>
      </c>
      <c r="AN82" s="5"/>
      <c r="AO82" s="5"/>
      <c r="AP82" s="5"/>
      <c r="AQ82" s="5"/>
      <c r="AR82" s="5"/>
      <c r="AS82" s="5">
        <f>SUM(AL82:AR82)</f>
        <v>273949</v>
      </c>
      <c r="AU82" s="5"/>
      <c r="AV82" s="5">
        <v>9384</v>
      </c>
      <c r="AW82" s="5"/>
      <c r="AX82" s="5"/>
      <c r="AY82" s="5"/>
      <c r="AZ82" s="5"/>
      <c r="BA82" s="5"/>
      <c r="BB82" s="5">
        <f>SUM(AU82:BA82)</f>
        <v>9384</v>
      </c>
      <c r="BD82" s="5"/>
      <c r="BE82" s="5">
        <v>3599</v>
      </c>
      <c r="BF82" s="5"/>
      <c r="BG82" s="5"/>
      <c r="BH82" s="5"/>
      <c r="BI82" s="5"/>
      <c r="BJ82" s="5"/>
      <c r="BK82" s="5">
        <f>SUM(BD82:BJ82)</f>
        <v>3599</v>
      </c>
      <c r="BM82" s="5"/>
      <c r="BN82" s="5">
        <v>0</v>
      </c>
      <c r="BO82" s="5"/>
      <c r="BP82" s="5"/>
      <c r="BQ82" s="5"/>
      <c r="BR82" s="5"/>
      <c r="BS82" s="5"/>
      <c r="BT82" s="5">
        <f>SUM(BM82:BS82)</f>
        <v>0</v>
      </c>
      <c r="BV82" s="5">
        <f t="shared" ref="BV82" si="203">B82+K82+T82+AC82+AL82+AU82+BD82+BM82</f>
        <v>0</v>
      </c>
      <c r="BW82" s="5">
        <f t="shared" ref="BW82" si="204">C82+L82+U82+AD82+AM82+AV82+BE82+BN82</f>
        <v>1047755</v>
      </c>
      <c r="BX82" s="5">
        <f t="shared" ref="BX82" si="205">D82+M82+V82+AE82+AN82+AW82+BF82+BO82</f>
        <v>0</v>
      </c>
      <c r="BY82" s="5">
        <f t="shared" ref="BY82" si="206">E82+N82+W82+AF82+AO82+AX82+BG82+BP82</f>
        <v>0</v>
      </c>
      <c r="BZ82" s="5">
        <f t="shared" ref="BZ82" si="207">F82+O82+X82+AG82+AP82+AY82+BH82+BQ82</f>
        <v>0</v>
      </c>
      <c r="CA82" s="5">
        <f t="shared" ref="CA82" si="208">G82+P82+Y82+AH82+AQ82+AZ82+BI82+BR82</f>
        <v>0</v>
      </c>
      <c r="CB82" s="5"/>
      <c r="CC82" s="5">
        <f>SUM(BV82:CB82)</f>
        <v>1047755</v>
      </c>
    </row>
    <row r="83" spans="1:81">
      <c r="A83" s="29" t="s">
        <v>81</v>
      </c>
      <c r="B83" s="5"/>
      <c r="C83" s="5"/>
      <c r="D83" s="11"/>
      <c r="E83" s="11"/>
      <c r="F83" s="11"/>
      <c r="G83" s="11"/>
      <c r="H83" s="11"/>
      <c r="I83" s="5">
        <f t="shared" si="202"/>
        <v>0</v>
      </c>
      <c r="J83" s="57"/>
      <c r="K83" s="5"/>
      <c r="L83" s="5"/>
      <c r="M83" s="11">
        <v>0</v>
      </c>
      <c r="N83" s="11"/>
      <c r="O83" s="11"/>
      <c r="P83" s="11"/>
      <c r="Q83" s="11"/>
      <c r="R83" s="5">
        <f t="shared" ref="R83:R95" si="209">SUM(K83:Q83)</f>
        <v>0</v>
      </c>
      <c r="T83" s="5"/>
      <c r="U83" s="5"/>
      <c r="V83" s="11">
        <v>0</v>
      </c>
      <c r="W83" s="11"/>
      <c r="X83" s="11"/>
      <c r="Y83" s="11"/>
      <c r="Z83" s="11"/>
      <c r="AA83" s="5">
        <f t="shared" ref="AA83:AA95" si="210">SUM(T83:Z83)</f>
        <v>0</v>
      </c>
      <c r="AC83" s="5"/>
      <c r="AD83" s="5"/>
      <c r="AE83" s="11">
        <v>0</v>
      </c>
      <c r="AF83" s="11"/>
      <c r="AG83" s="11"/>
      <c r="AH83" s="11"/>
      <c r="AI83" s="11"/>
      <c r="AJ83" s="5">
        <f t="shared" ref="AJ83:AJ95" si="211">SUM(AC83:AI83)</f>
        <v>0</v>
      </c>
      <c r="AL83" s="5"/>
      <c r="AM83" s="5"/>
      <c r="AN83" s="11">
        <v>0</v>
      </c>
      <c r="AO83" s="11"/>
      <c r="AP83" s="11"/>
      <c r="AQ83" s="11"/>
      <c r="AR83" s="11"/>
      <c r="AS83" s="5">
        <f t="shared" ref="AS83:AS95" si="212">SUM(AL83:AR83)</f>
        <v>0</v>
      </c>
      <c r="AU83" s="5"/>
      <c r="AV83" s="5"/>
      <c r="AW83" s="11"/>
      <c r="AX83" s="11"/>
      <c r="AY83" s="11"/>
      <c r="AZ83" s="11"/>
      <c r="BA83" s="11"/>
      <c r="BB83" s="5">
        <f t="shared" ref="BB83:BB95" si="213">SUM(AU83:BA83)</f>
        <v>0</v>
      </c>
      <c r="BD83" s="5"/>
      <c r="BE83" s="5"/>
      <c r="BF83" s="11">
        <f>((BD17*0.93)*2.28*180)</f>
        <v>70227.648000000001</v>
      </c>
      <c r="BG83" s="11"/>
      <c r="BH83" s="11"/>
      <c r="BI83" s="11"/>
      <c r="BJ83" s="11"/>
      <c r="BK83" s="5">
        <f t="shared" ref="BK83:BK95" si="214">SUM(BD83:BJ83)</f>
        <v>70227.648000000001</v>
      </c>
      <c r="BM83" s="5"/>
      <c r="BN83" s="5"/>
      <c r="BO83" s="11"/>
      <c r="BP83" s="11"/>
      <c r="BQ83" s="11"/>
      <c r="BR83" s="11"/>
      <c r="BS83" s="11"/>
      <c r="BT83" s="5">
        <f t="shared" ref="BT83:BT95" si="215">SUM(BM83:BS83)</f>
        <v>0</v>
      </c>
      <c r="BV83" s="5">
        <f t="shared" ref="BV83:BV89" si="216">B83+K83+T83+AC83+AL83+AU83+BD83+BM83</f>
        <v>0</v>
      </c>
      <c r="BW83" s="5">
        <f t="shared" ref="BW83:BW89" si="217">C83+L83+U83+AD83+AM83+AV83+BE83+BN83</f>
        <v>0</v>
      </c>
      <c r="BX83" s="5">
        <f t="shared" ref="BX83:BX89" si="218">D83+M83+V83+AE83+AN83+AW83+BF83+BO83</f>
        <v>70227.648000000001</v>
      </c>
      <c r="BY83" s="5">
        <f t="shared" ref="BY83:BY89" si="219">E83+N83+W83+AF83+AO83+AX83+BG83+BP83</f>
        <v>0</v>
      </c>
      <c r="BZ83" s="5">
        <f t="shared" ref="BZ83:BZ89" si="220">F83+O83+X83+AG83+AP83+AY83+BH83+BQ83</f>
        <v>0</v>
      </c>
      <c r="CA83" s="5">
        <f t="shared" ref="CA83:CA89" si="221">G83+P83+Y83+AH83+AQ83+AZ83+BI83+BR83</f>
        <v>0</v>
      </c>
      <c r="CB83" s="11"/>
      <c r="CC83" s="5">
        <f t="shared" ref="CC83:CC88" si="222">SUM(BV83:CB83)</f>
        <v>70227.648000000001</v>
      </c>
    </row>
    <row r="84" spans="1:81">
      <c r="A84" s="29" t="s">
        <v>82</v>
      </c>
      <c r="B84" s="35"/>
      <c r="C84" s="35"/>
      <c r="D84" s="11">
        <f>((B17*0.61)*4.33*180)</f>
        <v>431694.07200000004</v>
      </c>
      <c r="E84" s="11"/>
      <c r="F84" s="11"/>
      <c r="G84" s="11"/>
      <c r="H84" s="11"/>
      <c r="I84" s="5">
        <f t="shared" si="202"/>
        <v>431694.07200000004</v>
      </c>
      <c r="J84" s="57"/>
      <c r="K84" s="35"/>
      <c r="L84" s="35"/>
      <c r="M84" s="11">
        <f>((K17*0.61)*4.33*180)</f>
        <v>485893.54799999995</v>
      </c>
      <c r="N84" s="11"/>
      <c r="O84" s="11"/>
      <c r="P84" s="11"/>
      <c r="Q84" s="11"/>
      <c r="R84" s="5">
        <f t="shared" si="209"/>
        <v>485893.54799999995</v>
      </c>
      <c r="T84" s="35"/>
      <c r="U84" s="35"/>
      <c r="V84" s="11">
        <f>((T17*0.41)*4.33*180)</f>
        <v>380269.26</v>
      </c>
      <c r="W84" s="11"/>
      <c r="X84" s="11"/>
      <c r="Y84" s="11"/>
      <c r="Z84" s="11"/>
      <c r="AA84" s="5">
        <f t="shared" si="210"/>
        <v>380269.26</v>
      </c>
      <c r="AC84" s="35"/>
      <c r="AD84" s="35"/>
      <c r="AE84" s="11">
        <f>((AC17*0.61)*4.33*180)</f>
        <v>1066873.8959999999</v>
      </c>
      <c r="AF84" s="11"/>
      <c r="AG84" s="11"/>
      <c r="AH84" s="11"/>
      <c r="AI84" s="11"/>
      <c r="AJ84" s="5">
        <f t="shared" si="211"/>
        <v>1066873.8959999999</v>
      </c>
      <c r="AL84" s="35"/>
      <c r="AM84" s="35"/>
      <c r="AN84" s="11">
        <f>((AL17*0.41)*4.33*180)</f>
        <v>699823.26</v>
      </c>
      <c r="AO84" s="11"/>
      <c r="AP84" s="11"/>
      <c r="AQ84" s="11"/>
      <c r="AR84" s="11"/>
      <c r="AS84" s="5">
        <f t="shared" si="212"/>
        <v>699823.26</v>
      </c>
      <c r="AU84" s="35"/>
      <c r="AV84" s="35"/>
      <c r="AW84" s="11">
        <f>((AU17*0.25)*4.33*180)</f>
        <v>23382</v>
      </c>
      <c r="AX84" s="11"/>
      <c r="AY84" s="11"/>
      <c r="AZ84" s="11"/>
      <c r="BA84" s="11"/>
      <c r="BB84" s="5">
        <f t="shared" si="213"/>
        <v>23382</v>
      </c>
      <c r="BD84" s="35"/>
      <c r="BE84" s="35"/>
      <c r="BF84" s="11">
        <f>((BD17*0.97)*4.33*180)</f>
        <v>139107.31200000001</v>
      </c>
      <c r="BG84" s="11"/>
      <c r="BH84" s="11"/>
      <c r="BI84" s="11"/>
      <c r="BJ84" s="11"/>
      <c r="BK84" s="5">
        <f t="shared" si="214"/>
        <v>139107.31200000001</v>
      </c>
      <c r="BM84" s="35"/>
      <c r="BN84" s="35"/>
      <c r="BO84" s="11">
        <f>((BM17*0.25)*4*180)</f>
        <v>0</v>
      </c>
      <c r="BP84" s="11"/>
      <c r="BQ84" s="11"/>
      <c r="BR84" s="11"/>
      <c r="BS84" s="11"/>
      <c r="BT84" s="5">
        <f t="shared" si="215"/>
        <v>0</v>
      </c>
      <c r="BV84" s="5">
        <f t="shared" si="216"/>
        <v>0</v>
      </c>
      <c r="BW84" s="5">
        <f t="shared" si="217"/>
        <v>0</v>
      </c>
      <c r="BX84" s="5">
        <f t="shared" si="218"/>
        <v>3227043.3479999993</v>
      </c>
      <c r="BY84" s="5">
        <f t="shared" si="219"/>
        <v>0</v>
      </c>
      <c r="BZ84" s="5">
        <f t="shared" si="220"/>
        <v>0</v>
      </c>
      <c r="CA84" s="5">
        <f t="shared" si="221"/>
        <v>0</v>
      </c>
      <c r="CB84" s="11"/>
      <c r="CC84" s="5">
        <f t="shared" si="222"/>
        <v>3227043.3479999993</v>
      </c>
    </row>
    <row r="85" spans="1:81">
      <c r="A85" s="29" t="s">
        <v>4</v>
      </c>
      <c r="B85" s="35"/>
      <c r="C85" s="35"/>
      <c r="D85" s="35"/>
      <c r="E85" s="35"/>
      <c r="F85" s="35"/>
      <c r="G85" s="35"/>
      <c r="H85" s="35"/>
      <c r="I85" s="5">
        <f t="shared" si="202"/>
        <v>0</v>
      </c>
      <c r="J85" s="6"/>
      <c r="K85" s="35"/>
      <c r="L85" s="35"/>
      <c r="M85" s="67"/>
      <c r="N85" s="35"/>
      <c r="O85" s="35"/>
      <c r="P85" s="35"/>
      <c r="Q85" s="35"/>
      <c r="R85" s="5">
        <f t="shared" si="209"/>
        <v>0</v>
      </c>
      <c r="T85" s="35"/>
      <c r="U85" s="35"/>
      <c r="V85" s="35"/>
      <c r="W85" s="35"/>
      <c r="X85" s="35"/>
      <c r="Y85" s="35"/>
      <c r="Z85" s="35"/>
      <c r="AA85" s="5">
        <f t="shared" si="210"/>
        <v>0</v>
      </c>
      <c r="AC85" s="35"/>
      <c r="AD85" s="35"/>
      <c r="AE85" s="35"/>
      <c r="AF85" s="35"/>
      <c r="AG85" s="35"/>
      <c r="AH85" s="35"/>
      <c r="AI85" s="35"/>
      <c r="AJ85" s="5">
        <f t="shared" si="211"/>
        <v>0</v>
      </c>
      <c r="AL85" s="35"/>
      <c r="AM85" s="35"/>
      <c r="AN85" s="35"/>
      <c r="AO85" s="35"/>
      <c r="AP85" s="35"/>
      <c r="AQ85" s="35"/>
      <c r="AR85" s="35"/>
      <c r="AS85" s="5">
        <f t="shared" si="212"/>
        <v>0</v>
      </c>
      <c r="AU85" s="35"/>
      <c r="AV85" s="35"/>
      <c r="AW85" s="35"/>
      <c r="AX85" s="35"/>
      <c r="AY85" s="35"/>
      <c r="AZ85" s="35"/>
      <c r="BA85" s="35"/>
      <c r="BB85" s="5">
        <f t="shared" si="213"/>
        <v>0</v>
      </c>
      <c r="BD85" s="35"/>
      <c r="BE85" s="35"/>
      <c r="BF85" s="67"/>
      <c r="BG85" s="35"/>
      <c r="BH85" s="35">
        <v>46193</v>
      </c>
      <c r="BI85" s="35"/>
      <c r="BJ85" s="35"/>
      <c r="BK85" s="5">
        <f t="shared" si="214"/>
        <v>46193</v>
      </c>
      <c r="BM85" s="35"/>
      <c r="BN85" s="35"/>
      <c r="BO85" s="35"/>
      <c r="BP85" s="35"/>
      <c r="BQ85" s="35"/>
      <c r="BR85" s="35"/>
      <c r="BS85" s="35"/>
      <c r="BT85" s="5">
        <f t="shared" si="215"/>
        <v>0</v>
      </c>
      <c r="BV85" s="5">
        <f t="shared" si="216"/>
        <v>0</v>
      </c>
      <c r="BW85" s="5">
        <f t="shared" si="217"/>
        <v>0</v>
      </c>
      <c r="BX85" s="5">
        <f t="shared" si="218"/>
        <v>0</v>
      </c>
      <c r="BY85" s="5">
        <f t="shared" si="219"/>
        <v>0</v>
      </c>
      <c r="BZ85" s="5">
        <f t="shared" si="220"/>
        <v>46193</v>
      </c>
      <c r="CA85" s="5">
        <f t="shared" si="221"/>
        <v>0</v>
      </c>
      <c r="CB85" s="35"/>
      <c r="CC85" s="5">
        <f t="shared" si="222"/>
        <v>46193</v>
      </c>
    </row>
    <row r="86" spans="1:81">
      <c r="A86" s="29" t="s">
        <v>83</v>
      </c>
      <c r="B86" s="35"/>
      <c r="C86" s="35"/>
      <c r="D86" s="35"/>
      <c r="E86" s="35"/>
      <c r="F86" s="35"/>
      <c r="G86" s="35"/>
      <c r="H86" s="35"/>
      <c r="I86" s="5">
        <f t="shared" si="202"/>
        <v>0</v>
      </c>
      <c r="J86" s="6"/>
      <c r="K86" s="35"/>
      <c r="L86" s="35"/>
      <c r="M86" s="67"/>
      <c r="N86" s="35"/>
      <c r="O86" s="35"/>
      <c r="P86" s="35"/>
      <c r="Q86" s="35"/>
      <c r="R86" s="5">
        <f t="shared" si="209"/>
        <v>0</v>
      </c>
      <c r="T86" s="35"/>
      <c r="U86" s="35"/>
      <c r="V86" s="35"/>
      <c r="W86" s="35"/>
      <c r="X86" s="35"/>
      <c r="Y86" s="35"/>
      <c r="Z86" s="35"/>
      <c r="AA86" s="5">
        <f t="shared" si="210"/>
        <v>0</v>
      </c>
      <c r="AC86" s="35"/>
      <c r="AD86" s="35"/>
      <c r="AE86" s="35"/>
      <c r="AF86" s="35"/>
      <c r="AG86" s="35"/>
      <c r="AH86" s="35"/>
      <c r="AI86" s="35"/>
      <c r="AJ86" s="5">
        <f t="shared" si="211"/>
        <v>0</v>
      </c>
      <c r="AL86" s="35"/>
      <c r="AM86" s="35"/>
      <c r="AN86" s="35"/>
      <c r="AO86" s="35"/>
      <c r="AP86" s="35"/>
      <c r="AQ86" s="35"/>
      <c r="AR86" s="35"/>
      <c r="AS86" s="5">
        <f t="shared" si="212"/>
        <v>0</v>
      </c>
      <c r="AU86" s="35"/>
      <c r="AV86" s="35"/>
      <c r="AW86" s="35"/>
      <c r="AX86" s="35"/>
      <c r="AY86" s="35"/>
      <c r="AZ86" s="35"/>
      <c r="BA86" s="35"/>
      <c r="BB86" s="5">
        <f t="shared" si="213"/>
        <v>0</v>
      </c>
      <c r="BD86" s="35"/>
      <c r="BE86" s="35"/>
      <c r="BF86" s="67"/>
      <c r="BG86" s="35"/>
      <c r="BH86" s="35"/>
      <c r="BI86" s="35"/>
      <c r="BJ86" s="35"/>
      <c r="BK86" s="5">
        <f t="shared" si="214"/>
        <v>0</v>
      </c>
      <c r="BM86" s="35"/>
      <c r="BN86" s="35"/>
      <c r="BO86" s="35"/>
      <c r="BP86" s="35"/>
      <c r="BQ86" s="35"/>
      <c r="BR86" s="35"/>
      <c r="BS86" s="35"/>
      <c r="BT86" s="5">
        <f t="shared" si="215"/>
        <v>0</v>
      </c>
      <c r="BV86" s="5">
        <f t="shared" si="216"/>
        <v>0</v>
      </c>
      <c r="BW86" s="5">
        <f t="shared" si="217"/>
        <v>0</v>
      </c>
      <c r="BX86" s="5">
        <f t="shared" si="218"/>
        <v>0</v>
      </c>
      <c r="BY86" s="5">
        <f t="shared" si="219"/>
        <v>0</v>
      </c>
      <c r="BZ86" s="5">
        <f t="shared" si="220"/>
        <v>0</v>
      </c>
      <c r="CA86" s="5">
        <f t="shared" si="221"/>
        <v>0</v>
      </c>
      <c r="CB86" s="35"/>
      <c r="CC86" s="5">
        <f t="shared" si="222"/>
        <v>0</v>
      </c>
    </row>
    <row r="87" spans="1:81">
      <c r="A87" s="29" t="s">
        <v>6</v>
      </c>
      <c r="B87" s="35"/>
      <c r="C87" s="35"/>
      <c r="D87" s="35"/>
      <c r="E87" s="35"/>
      <c r="F87" s="35"/>
      <c r="G87" s="35"/>
      <c r="H87" s="35"/>
      <c r="I87" s="5">
        <f t="shared" si="202"/>
        <v>0</v>
      </c>
      <c r="J87" s="6"/>
      <c r="K87" s="35"/>
      <c r="L87" s="35"/>
      <c r="M87" s="67"/>
      <c r="N87" s="35"/>
      <c r="O87" s="35"/>
      <c r="P87" s="35"/>
      <c r="Q87" s="35"/>
      <c r="R87" s="5">
        <f t="shared" si="209"/>
        <v>0</v>
      </c>
      <c r="T87" s="35"/>
      <c r="U87" s="35"/>
      <c r="V87" s="35"/>
      <c r="W87" s="35"/>
      <c r="X87" s="35"/>
      <c r="Y87" s="35"/>
      <c r="Z87" s="35"/>
      <c r="AA87" s="5">
        <f t="shared" si="210"/>
        <v>0</v>
      </c>
      <c r="AC87" s="35"/>
      <c r="AD87" s="35"/>
      <c r="AE87" s="35"/>
      <c r="AF87" s="35"/>
      <c r="AG87" s="35"/>
      <c r="AH87" s="35"/>
      <c r="AI87" s="35"/>
      <c r="AJ87" s="5">
        <f t="shared" si="211"/>
        <v>0</v>
      </c>
      <c r="AL87" s="35"/>
      <c r="AM87" s="35"/>
      <c r="AN87" s="35"/>
      <c r="AO87" s="35"/>
      <c r="AP87" s="35"/>
      <c r="AQ87" s="35"/>
      <c r="AR87" s="35"/>
      <c r="AS87" s="5">
        <f t="shared" si="212"/>
        <v>0</v>
      </c>
      <c r="AU87" s="35"/>
      <c r="AV87" s="35"/>
      <c r="AW87" s="35"/>
      <c r="AX87" s="35"/>
      <c r="AY87" s="35"/>
      <c r="AZ87" s="35"/>
      <c r="BA87" s="35"/>
      <c r="BB87" s="5">
        <f t="shared" si="213"/>
        <v>0</v>
      </c>
      <c r="BD87" s="35"/>
      <c r="BE87" s="35"/>
      <c r="BF87" s="67"/>
      <c r="BG87" s="35"/>
      <c r="BH87" s="35"/>
      <c r="BI87" s="35"/>
      <c r="BJ87" s="35"/>
      <c r="BK87" s="5">
        <f t="shared" si="214"/>
        <v>0</v>
      </c>
      <c r="BM87" s="35"/>
      <c r="BN87" s="35"/>
      <c r="BO87" s="35"/>
      <c r="BP87" s="35"/>
      <c r="BQ87" s="35"/>
      <c r="BR87" s="35"/>
      <c r="BS87" s="35"/>
      <c r="BT87" s="5">
        <f t="shared" si="215"/>
        <v>0</v>
      </c>
      <c r="BV87" s="5">
        <f t="shared" si="216"/>
        <v>0</v>
      </c>
      <c r="BW87" s="5">
        <f t="shared" si="217"/>
        <v>0</v>
      </c>
      <c r="BX87" s="5">
        <f t="shared" si="218"/>
        <v>0</v>
      </c>
      <c r="BY87" s="5">
        <f t="shared" si="219"/>
        <v>0</v>
      </c>
      <c r="BZ87" s="5">
        <f t="shared" si="220"/>
        <v>0</v>
      </c>
      <c r="CA87" s="5">
        <f t="shared" si="221"/>
        <v>0</v>
      </c>
      <c r="CB87" s="35"/>
      <c r="CC87" s="5">
        <f t="shared" si="222"/>
        <v>0</v>
      </c>
    </row>
    <row r="88" spans="1:81">
      <c r="A88" s="29" t="s">
        <v>84</v>
      </c>
      <c r="B88" s="35"/>
      <c r="C88" s="35"/>
      <c r="D88" s="35"/>
      <c r="E88" s="35"/>
      <c r="F88" s="35"/>
      <c r="G88" s="35"/>
      <c r="H88" s="35"/>
      <c r="I88" s="5">
        <f t="shared" si="202"/>
        <v>0</v>
      </c>
      <c r="J88" s="6"/>
      <c r="K88" s="35"/>
      <c r="L88" s="35"/>
      <c r="M88" s="35"/>
      <c r="N88" s="35"/>
      <c r="O88" s="35"/>
      <c r="P88" s="35"/>
      <c r="Q88" s="35"/>
      <c r="R88" s="5">
        <f t="shared" si="209"/>
        <v>0</v>
      </c>
      <c r="T88" s="35"/>
      <c r="U88" s="35"/>
      <c r="V88" s="35"/>
      <c r="W88" s="35"/>
      <c r="X88" s="35"/>
      <c r="Y88" s="35"/>
      <c r="Z88" s="35"/>
      <c r="AA88" s="5">
        <f t="shared" si="210"/>
        <v>0</v>
      </c>
      <c r="AC88" s="35"/>
      <c r="AD88" s="35"/>
      <c r="AE88" s="35"/>
      <c r="AF88" s="35"/>
      <c r="AG88" s="35"/>
      <c r="AH88" s="35"/>
      <c r="AI88" s="35"/>
      <c r="AJ88" s="5">
        <f t="shared" si="211"/>
        <v>0</v>
      </c>
      <c r="AL88" s="35"/>
      <c r="AM88" s="35"/>
      <c r="AN88" s="35"/>
      <c r="AO88" s="35"/>
      <c r="AP88" s="35"/>
      <c r="AQ88" s="35"/>
      <c r="AR88" s="35"/>
      <c r="AS88" s="5">
        <f t="shared" si="212"/>
        <v>0</v>
      </c>
      <c r="AU88" s="35"/>
      <c r="AV88" s="35"/>
      <c r="AW88" s="35"/>
      <c r="AX88" s="35"/>
      <c r="AY88" s="35"/>
      <c r="AZ88" s="35"/>
      <c r="BA88" s="35"/>
      <c r="BB88" s="5">
        <f t="shared" si="213"/>
        <v>0</v>
      </c>
      <c r="BD88" s="35"/>
      <c r="BE88" s="35"/>
      <c r="BF88" s="35"/>
      <c r="BG88" s="35"/>
      <c r="BH88" s="35"/>
      <c r="BI88" s="35"/>
      <c r="BJ88" s="35"/>
      <c r="BK88" s="5">
        <f t="shared" si="214"/>
        <v>0</v>
      </c>
      <c r="BM88" s="35"/>
      <c r="BN88" s="35"/>
      <c r="BO88" s="35"/>
      <c r="BP88" s="35"/>
      <c r="BQ88" s="35"/>
      <c r="BR88" s="35"/>
      <c r="BS88" s="35"/>
      <c r="BT88" s="5">
        <f t="shared" si="215"/>
        <v>0</v>
      </c>
      <c r="BV88" s="5">
        <f t="shared" si="216"/>
        <v>0</v>
      </c>
      <c r="BW88" s="5">
        <f t="shared" si="217"/>
        <v>0</v>
      </c>
      <c r="BX88" s="5">
        <f t="shared" si="218"/>
        <v>0</v>
      </c>
      <c r="BY88" s="5">
        <f t="shared" si="219"/>
        <v>0</v>
      </c>
      <c r="BZ88" s="5">
        <f t="shared" si="220"/>
        <v>0</v>
      </c>
      <c r="CA88" s="5">
        <f t="shared" si="221"/>
        <v>0</v>
      </c>
      <c r="CB88" s="35"/>
      <c r="CC88" s="5">
        <f t="shared" si="222"/>
        <v>0</v>
      </c>
    </row>
    <row r="89" spans="1:81">
      <c r="A89" s="29" t="s">
        <v>85</v>
      </c>
      <c r="B89" s="35"/>
      <c r="C89" s="35"/>
      <c r="D89" s="35"/>
      <c r="E89" s="35"/>
      <c r="F89" s="35"/>
      <c r="G89" s="35"/>
      <c r="H89" s="35"/>
      <c r="I89" s="5"/>
      <c r="J89" s="6"/>
      <c r="K89" s="35"/>
      <c r="L89" s="35"/>
      <c r="M89" s="35"/>
      <c r="N89" s="35"/>
      <c r="O89" s="35"/>
      <c r="P89" s="35"/>
      <c r="Q89" s="35"/>
      <c r="R89" s="5"/>
      <c r="T89" s="35"/>
      <c r="U89" s="35"/>
      <c r="V89" s="35"/>
      <c r="W89" s="35"/>
      <c r="X89" s="35"/>
      <c r="Y89" s="35"/>
      <c r="Z89" s="35"/>
      <c r="AA89" s="5"/>
      <c r="AC89" s="35"/>
      <c r="AD89" s="35"/>
      <c r="AE89" s="35"/>
      <c r="AF89" s="35"/>
      <c r="AG89" s="35"/>
      <c r="AH89" s="35"/>
      <c r="AI89" s="35"/>
      <c r="AJ89" s="5"/>
      <c r="AL89" s="35"/>
      <c r="AM89" s="35"/>
      <c r="AN89" s="35"/>
      <c r="AO89" s="35"/>
      <c r="AP89" s="35"/>
      <c r="AQ89" s="35"/>
      <c r="AR89" s="35"/>
      <c r="AS89" s="5"/>
      <c r="AU89" s="35"/>
      <c r="AV89" s="35"/>
      <c r="AW89" s="35"/>
      <c r="AX89" s="35"/>
      <c r="AY89" s="35"/>
      <c r="AZ89" s="35"/>
      <c r="BA89" s="35"/>
      <c r="BB89" s="5"/>
      <c r="BD89" s="35"/>
      <c r="BE89" s="35"/>
      <c r="BF89" s="35"/>
      <c r="BG89" s="35"/>
      <c r="BH89" s="35"/>
      <c r="BI89" s="35"/>
      <c r="BJ89" s="35"/>
      <c r="BK89" s="5"/>
      <c r="BM89" s="35"/>
      <c r="BN89" s="35"/>
      <c r="BO89" s="35"/>
      <c r="BP89" s="35"/>
      <c r="BQ89" s="35"/>
      <c r="BR89" s="35"/>
      <c r="BS89" s="35"/>
      <c r="BT89" s="5"/>
      <c r="BV89" s="5">
        <f t="shared" si="216"/>
        <v>0</v>
      </c>
      <c r="BW89" s="5">
        <f t="shared" si="217"/>
        <v>0</v>
      </c>
      <c r="BX89" s="5">
        <f t="shared" si="218"/>
        <v>0</v>
      </c>
      <c r="BY89" s="5">
        <f t="shared" si="219"/>
        <v>0</v>
      </c>
      <c r="BZ89" s="5">
        <f t="shared" si="220"/>
        <v>0</v>
      </c>
      <c r="CA89" s="5">
        <f t="shared" si="221"/>
        <v>0</v>
      </c>
      <c r="CB89" s="35"/>
      <c r="CC89" s="5"/>
    </row>
    <row r="90" spans="1:81" ht="15">
      <c r="A90" s="54" t="s">
        <v>86</v>
      </c>
      <c r="B90" s="55">
        <f>SUM(B82:B88)</f>
        <v>0</v>
      </c>
      <c r="C90" s="55">
        <f t="shared" ref="C90:I90" si="223">SUM(C82:C88)</f>
        <v>132430</v>
      </c>
      <c r="D90" s="55">
        <f t="shared" si="223"/>
        <v>431694.07200000004</v>
      </c>
      <c r="E90" s="55"/>
      <c r="F90" s="55">
        <f t="shared" si="223"/>
        <v>0</v>
      </c>
      <c r="G90" s="55">
        <f t="shared" si="223"/>
        <v>0</v>
      </c>
      <c r="H90" s="55">
        <f t="shared" si="223"/>
        <v>0</v>
      </c>
      <c r="I90" s="55">
        <f t="shared" si="223"/>
        <v>564124.07200000004</v>
      </c>
      <c r="J90" s="7"/>
      <c r="K90" s="55">
        <f>SUM(K82:K88)</f>
        <v>0</v>
      </c>
      <c r="L90" s="55">
        <f t="shared" ref="L90:R90" si="224">SUM(L82:L88)</f>
        <v>107761</v>
      </c>
      <c r="M90" s="55">
        <f t="shared" si="224"/>
        <v>485893.54799999995</v>
      </c>
      <c r="N90" s="55"/>
      <c r="O90" s="55">
        <f t="shared" si="224"/>
        <v>0</v>
      </c>
      <c r="P90" s="55">
        <f t="shared" si="224"/>
        <v>0</v>
      </c>
      <c r="Q90" s="55">
        <f t="shared" si="224"/>
        <v>0</v>
      </c>
      <c r="R90" s="55">
        <f t="shared" si="224"/>
        <v>593654.54799999995</v>
      </c>
      <c r="T90" s="55">
        <f>SUM(T82:T88)</f>
        <v>0</v>
      </c>
      <c r="U90" s="55">
        <f t="shared" ref="U90:AA90" si="225">SUM(U82:U88)</f>
        <v>142817</v>
      </c>
      <c r="V90" s="55">
        <f t="shared" si="225"/>
        <v>380269.26</v>
      </c>
      <c r="W90" s="55"/>
      <c r="X90" s="55">
        <f t="shared" si="225"/>
        <v>0</v>
      </c>
      <c r="Y90" s="55">
        <f t="shared" si="225"/>
        <v>0</v>
      </c>
      <c r="Z90" s="55">
        <f t="shared" si="225"/>
        <v>0</v>
      </c>
      <c r="AA90" s="55">
        <f t="shared" si="225"/>
        <v>523086.26</v>
      </c>
      <c r="AC90" s="55">
        <f>SUM(AC82:AC88)</f>
        <v>0</v>
      </c>
      <c r="AD90" s="55">
        <f t="shared" ref="AD90:AJ90" si="226">SUM(AD82:AD88)</f>
        <v>377815</v>
      </c>
      <c r="AE90" s="55">
        <f t="shared" si="226"/>
        <v>1066873.8959999999</v>
      </c>
      <c r="AF90" s="55">
        <f t="shared" si="226"/>
        <v>0</v>
      </c>
      <c r="AG90" s="55">
        <f t="shared" si="226"/>
        <v>0</v>
      </c>
      <c r="AH90" s="55">
        <f t="shared" si="226"/>
        <v>0</v>
      </c>
      <c r="AI90" s="55">
        <f t="shared" si="226"/>
        <v>0</v>
      </c>
      <c r="AJ90" s="55">
        <f t="shared" si="226"/>
        <v>1444688.8959999999</v>
      </c>
      <c r="AL90" s="55">
        <f>SUM(AL82:AL88)</f>
        <v>0</v>
      </c>
      <c r="AM90" s="55">
        <f t="shared" ref="AM90:AS90" si="227">SUM(AM82:AM88)</f>
        <v>273949</v>
      </c>
      <c r="AN90" s="55">
        <f t="shared" si="227"/>
        <v>699823.26</v>
      </c>
      <c r="AO90" s="55"/>
      <c r="AP90" s="55">
        <f t="shared" si="227"/>
        <v>0</v>
      </c>
      <c r="AQ90" s="55">
        <f t="shared" si="227"/>
        <v>0</v>
      </c>
      <c r="AR90" s="55">
        <f t="shared" si="227"/>
        <v>0</v>
      </c>
      <c r="AS90" s="55">
        <f t="shared" si="227"/>
        <v>973772.26</v>
      </c>
      <c r="AU90" s="55">
        <f>SUM(AU82:AU88)</f>
        <v>0</v>
      </c>
      <c r="AV90" s="55">
        <f t="shared" ref="AV90:BB90" si="228">SUM(AV82:AV88)</f>
        <v>9384</v>
      </c>
      <c r="AW90" s="55">
        <f t="shared" si="228"/>
        <v>23382</v>
      </c>
      <c r="AX90" s="55"/>
      <c r="AY90" s="55">
        <f t="shared" si="228"/>
        <v>0</v>
      </c>
      <c r="AZ90" s="55">
        <f t="shared" si="228"/>
        <v>0</v>
      </c>
      <c r="BA90" s="55">
        <f t="shared" si="228"/>
        <v>0</v>
      </c>
      <c r="BB90" s="55">
        <f t="shared" si="228"/>
        <v>32766</v>
      </c>
      <c r="BD90" s="55">
        <f>SUM(BD82:BD88)</f>
        <v>0</v>
      </c>
      <c r="BE90" s="55">
        <f t="shared" ref="BE90:BK90" si="229">SUM(BE82:BE88)</f>
        <v>3599</v>
      </c>
      <c r="BF90" s="55">
        <f t="shared" si="229"/>
        <v>209334.96000000002</v>
      </c>
      <c r="BG90" s="55"/>
      <c r="BH90" s="55">
        <f t="shared" si="229"/>
        <v>46193</v>
      </c>
      <c r="BI90" s="55">
        <f t="shared" si="229"/>
        <v>0</v>
      </c>
      <c r="BJ90" s="55">
        <f t="shared" si="229"/>
        <v>0</v>
      </c>
      <c r="BK90" s="55">
        <f t="shared" si="229"/>
        <v>259126.96000000002</v>
      </c>
      <c r="BM90" s="55">
        <f>SUM(BM82:BM88)</f>
        <v>0</v>
      </c>
      <c r="BN90" s="55">
        <f t="shared" ref="BN90:BT90" si="230">SUM(BN82:BN88)</f>
        <v>0</v>
      </c>
      <c r="BO90" s="55">
        <f t="shared" si="230"/>
        <v>0</v>
      </c>
      <c r="BP90" s="55"/>
      <c r="BQ90" s="55">
        <f t="shared" si="230"/>
        <v>0</v>
      </c>
      <c r="BR90" s="55">
        <f t="shared" si="230"/>
        <v>0</v>
      </c>
      <c r="BS90" s="55">
        <f t="shared" si="230"/>
        <v>0</v>
      </c>
      <c r="BT90" s="55">
        <f t="shared" si="230"/>
        <v>0</v>
      </c>
      <c r="BV90" s="55">
        <f>SUM(BV82:BV88)</f>
        <v>0</v>
      </c>
      <c r="BW90" s="55">
        <f t="shared" ref="BW90:BX90" si="231">SUM(BW82:BW88)</f>
        <v>1047755</v>
      </c>
      <c r="BX90" s="55">
        <f t="shared" si="231"/>
        <v>3297270.9959999993</v>
      </c>
      <c r="BY90" s="55"/>
      <c r="BZ90" s="55">
        <f t="shared" ref="BZ90:CC90" si="232">SUM(BZ82:BZ88)</f>
        <v>46193</v>
      </c>
      <c r="CA90" s="55">
        <f t="shared" si="232"/>
        <v>0</v>
      </c>
      <c r="CB90" s="55">
        <f t="shared" si="232"/>
        <v>0</v>
      </c>
      <c r="CC90" s="55">
        <f t="shared" si="232"/>
        <v>4391218.9959999993</v>
      </c>
    </row>
    <row r="91" spans="1:81" ht="15">
      <c r="A91" s="56" t="s">
        <v>87</v>
      </c>
      <c r="B91" s="49"/>
      <c r="C91" s="49"/>
      <c r="D91" s="49"/>
      <c r="E91" s="49"/>
      <c r="F91" s="49"/>
      <c r="G91" s="49"/>
      <c r="H91" s="49"/>
      <c r="I91" s="50"/>
      <c r="J91" s="7"/>
      <c r="K91" s="49"/>
      <c r="L91" s="49"/>
      <c r="M91" s="49"/>
      <c r="N91" s="49"/>
      <c r="O91" s="49"/>
      <c r="P91" s="49"/>
      <c r="Q91" s="49"/>
      <c r="R91" s="50"/>
      <c r="T91" s="49"/>
      <c r="U91" s="49"/>
      <c r="V91" s="49"/>
      <c r="W91" s="49"/>
      <c r="X91" s="49"/>
      <c r="Y91" s="49"/>
      <c r="Z91" s="49"/>
      <c r="AA91" s="50"/>
      <c r="AC91" s="49"/>
      <c r="AD91" s="49"/>
      <c r="AE91" s="49"/>
      <c r="AF91" s="49"/>
      <c r="AG91" s="49"/>
      <c r="AH91" s="49"/>
      <c r="AI91" s="49"/>
      <c r="AJ91" s="50"/>
      <c r="AL91" s="49"/>
      <c r="AM91" s="49"/>
      <c r="AN91" s="49"/>
      <c r="AO91" s="49"/>
      <c r="AP91" s="49"/>
      <c r="AQ91" s="49"/>
      <c r="AR91" s="49"/>
      <c r="AS91" s="50"/>
      <c r="AU91" s="49"/>
      <c r="AV91" s="49"/>
      <c r="AW91" s="49"/>
      <c r="AX91" s="49"/>
      <c r="AY91" s="49"/>
      <c r="AZ91" s="49"/>
      <c r="BA91" s="49"/>
      <c r="BB91" s="50"/>
      <c r="BD91" s="49"/>
      <c r="BE91" s="49"/>
      <c r="BF91" s="49"/>
      <c r="BG91" s="49"/>
      <c r="BH91" s="49"/>
      <c r="BI91" s="49"/>
      <c r="BJ91" s="49"/>
      <c r="BK91" s="50"/>
      <c r="BM91" s="49"/>
      <c r="BN91" s="49"/>
      <c r="BO91" s="49"/>
      <c r="BP91" s="49"/>
      <c r="BQ91" s="49"/>
      <c r="BR91" s="49"/>
      <c r="BS91" s="49"/>
      <c r="BT91" s="50"/>
      <c r="BV91" s="49"/>
      <c r="BW91" s="49"/>
      <c r="BX91" s="49"/>
      <c r="BY91" s="49"/>
      <c r="BZ91" s="49"/>
      <c r="CA91" s="49"/>
      <c r="CB91" s="49"/>
      <c r="CC91" s="50"/>
    </row>
    <row r="92" spans="1:81">
      <c r="A92" s="29" t="s">
        <v>88</v>
      </c>
      <c r="B92" s="5">
        <v>0</v>
      </c>
      <c r="C92" s="5"/>
      <c r="D92" s="5"/>
      <c r="E92" s="5"/>
      <c r="F92" s="5"/>
      <c r="G92" s="5"/>
      <c r="H92" s="5"/>
      <c r="I92" s="5">
        <f>SUM(B92:H92)</f>
        <v>0</v>
      </c>
      <c r="K92" s="5">
        <v>0</v>
      </c>
      <c r="L92" s="5"/>
      <c r="M92" s="5"/>
      <c r="N92" s="5"/>
      <c r="O92" s="5"/>
      <c r="P92" s="5"/>
      <c r="Q92" s="5"/>
      <c r="R92" s="5">
        <f t="shared" si="209"/>
        <v>0</v>
      </c>
      <c r="T92" s="5">
        <v>0</v>
      </c>
      <c r="U92" s="5"/>
      <c r="V92" s="5"/>
      <c r="W92" s="5"/>
      <c r="X92" s="5"/>
      <c r="Y92" s="5"/>
      <c r="Z92" s="5"/>
      <c r="AA92" s="5">
        <f t="shared" si="210"/>
        <v>0</v>
      </c>
      <c r="AC92" s="5">
        <v>0</v>
      </c>
      <c r="AD92" s="5"/>
      <c r="AE92" s="5"/>
      <c r="AF92" s="5"/>
      <c r="AG92" s="5"/>
      <c r="AH92" s="5"/>
      <c r="AI92" s="5"/>
      <c r="AJ92" s="5">
        <f t="shared" si="211"/>
        <v>0</v>
      </c>
      <c r="AL92" s="5">
        <v>0</v>
      </c>
      <c r="AM92" s="5"/>
      <c r="AN92" s="5"/>
      <c r="AO92" s="5"/>
      <c r="AP92" s="5"/>
      <c r="AQ92" s="5"/>
      <c r="AR92" s="5"/>
      <c r="AS92" s="5">
        <f t="shared" si="212"/>
        <v>0</v>
      </c>
      <c r="AU92" s="5">
        <v>0</v>
      </c>
      <c r="AV92" s="5"/>
      <c r="AW92" s="5"/>
      <c r="AX92" s="5"/>
      <c r="AY92" s="5"/>
      <c r="AZ92" s="5"/>
      <c r="BA92" s="5"/>
      <c r="BB92" s="5">
        <f t="shared" si="213"/>
        <v>0</v>
      </c>
      <c r="BD92" s="5">
        <v>0</v>
      </c>
      <c r="BE92" s="5"/>
      <c r="BF92" s="5"/>
      <c r="BG92" s="5"/>
      <c r="BH92" s="5"/>
      <c r="BI92" s="5"/>
      <c r="BJ92" s="5"/>
      <c r="BK92" s="5">
        <f t="shared" si="214"/>
        <v>0</v>
      </c>
      <c r="BM92" s="5">
        <v>0</v>
      </c>
      <c r="BN92" s="5"/>
      <c r="BO92" s="5"/>
      <c r="BP92" s="5"/>
      <c r="BQ92" s="5"/>
      <c r="BR92" s="5"/>
      <c r="BS92" s="5"/>
      <c r="BT92" s="5">
        <f t="shared" si="215"/>
        <v>0</v>
      </c>
      <c r="BV92" s="5">
        <f t="shared" ref="BV92" si="233">B92+K92+T92+AC92+AL92+AU92+BD92+BM92</f>
        <v>0</v>
      </c>
      <c r="BW92" s="5">
        <f t="shared" ref="BW92" si="234">C92+L92+U92+AD92+AM92+AV92+BE92+BN92</f>
        <v>0</v>
      </c>
      <c r="BX92" s="5">
        <f t="shared" ref="BX92" si="235">D92+M92+V92+AE92+AN92+AW92+BF92+BO92</f>
        <v>0</v>
      </c>
      <c r="BY92" s="5">
        <f t="shared" ref="BY92" si="236">E92+N92+W92+AF92+AO92+AX92+BG92+BP92</f>
        <v>0</v>
      </c>
      <c r="BZ92" s="5">
        <f t="shared" ref="BZ92" si="237">F92+O92+X92+AG92+AP92+AY92+BH92+BQ92</f>
        <v>0</v>
      </c>
      <c r="CA92" s="5">
        <f t="shared" ref="CA92" si="238">G92+P92+Y92+AH92+AQ92+AZ92+BI92+BR92</f>
        <v>0</v>
      </c>
      <c r="CB92" s="5"/>
      <c r="CC92" s="5">
        <f t="shared" ref="CC92:CC95" si="239">SUM(BV92:CB92)</f>
        <v>0</v>
      </c>
    </row>
    <row r="93" spans="1:81">
      <c r="A93" s="29" t="s">
        <v>89</v>
      </c>
      <c r="B93" s="11"/>
      <c r="C93" s="11"/>
      <c r="D93" s="11"/>
      <c r="E93" s="11"/>
      <c r="F93" s="11">
        <f t="shared" ref="F93:H93" si="240">F161</f>
        <v>0</v>
      </c>
      <c r="G93" s="11">
        <v>255000</v>
      </c>
      <c r="H93" s="11">
        <f t="shared" si="240"/>
        <v>0</v>
      </c>
      <c r="I93" s="5">
        <f>SUM(B93:H93)</f>
        <v>255000</v>
      </c>
      <c r="K93" s="11"/>
      <c r="L93" s="11"/>
      <c r="M93" s="11"/>
      <c r="N93" s="11"/>
      <c r="O93" s="11">
        <f t="shared" ref="O93:Q93" si="241">O161</f>
        <v>0</v>
      </c>
      <c r="P93" s="11">
        <v>650000</v>
      </c>
      <c r="Q93" s="11">
        <f t="shared" si="241"/>
        <v>0</v>
      </c>
      <c r="R93" s="5">
        <f t="shared" si="209"/>
        <v>650000</v>
      </c>
      <c r="T93" s="11"/>
      <c r="U93" s="11"/>
      <c r="V93" s="11"/>
      <c r="W93" s="11"/>
      <c r="X93" s="11">
        <f t="shared" ref="X93:Z93" si="242">X161</f>
        <v>0</v>
      </c>
      <c r="Y93" s="11">
        <v>550000</v>
      </c>
      <c r="Z93" s="11">
        <f t="shared" si="242"/>
        <v>0</v>
      </c>
      <c r="AA93" s="5">
        <f t="shared" si="210"/>
        <v>550000</v>
      </c>
      <c r="AC93" s="11"/>
      <c r="AD93" s="11"/>
      <c r="AE93" s="11"/>
      <c r="AF93" s="11"/>
      <c r="AG93" s="11">
        <f t="shared" ref="AG93:AI93" si="243">AG161</f>
        <v>0</v>
      </c>
      <c r="AH93" s="11">
        <v>1250000</v>
      </c>
      <c r="AI93" s="11">
        <f t="shared" si="243"/>
        <v>0</v>
      </c>
      <c r="AJ93" s="5">
        <f t="shared" si="211"/>
        <v>1250000</v>
      </c>
      <c r="AL93" s="11"/>
      <c r="AM93" s="11"/>
      <c r="AN93" s="11"/>
      <c r="AO93" s="11"/>
      <c r="AP93" s="11">
        <f t="shared" ref="AP93:AR93" si="244">AP161</f>
        <v>0</v>
      </c>
      <c r="AQ93" s="11">
        <v>1600000</v>
      </c>
      <c r="AR93" s="11">
        <f t="shared" si="244"/>
        <v>0</v>
      </c>
      <c r="AS93" s="5">
        <f t="shared" si="212"/>
        <v>1600000</v>
      </c>
      <c r="AU93" s="11"/>
      <c r="AV93" s="11"/>
      <c r="AW93" s="11"/>
      <c r="AX93" s="11"/>
      <c r="AY93" s="11">
        <f t="shared" ref="AY93:BA93" si="245">AY161</f>
        <v>0</v>
      </c>
      <c r="AZ93" s="11">
        <f t="shared" si="245"/>
        <v>0</v>
      </c>
      <c r="BA93" s="11">
        <f t="shared" si="245"/>
        <v>0</v>
      </c>
      <c r="BB93" s="5">
        <f t="shared" si="213"/>
        <v>0</v>
      </c>
      <c r="BD93" s="11"/>
      <c r="BE93" s="11"/>
      <c r="BF93" s="11"/>
      <c r="BG93" s="11"/>
      <c r="BH93" s="11">
        <v>0</v>
      </c>
      <c r="BI93" s="11">
        <v>25000</v>
      </c>
      <c r="BJ93" s="11">
        <f t="shared" ref="BJ93" si="246">BJ161</f>
        <v>0</v>
      </c>
      <c r="BK93" s="5">
        <f t="shared" si="214"/>
        <v>25000</v>
      </c>
      <c r="BM93" s="11"/>
      <c r="BN93" s="11"/>
      <c r="BO93" s="11"/>
      <c r="BP93" s="11"/>
      <c r="BQ93" s="11">
        <f t="shared" ref="BQ93:BS93" si="247">BQ161</f>
        <v>0</v>
      </c>
      <c r="BR93" s="11">
        <f t="shared" si="247"/>
        <v>0</v>
      </c>
      <c r="BS93" s="11">
        <f t="shared" si="247"/>
        <v>0</v>
      </c>
      <c r="BT93" s="5">
        <f t="shared" si="215"/>
        <v>0</v>
      </c>
      <c r="BV93" s="5">
        <f t="shared" ref="BV93:BV95" si="248">B93+K93+T93+AC93+AL93+AU93+BD93+BM93</f>
        <v>0</v>
      </c>
      <c r="BW93" s="5">
        <f t="shared" ref="BW93:BW95" si="249">C93+L93+U93+AD93+AM93+AV93+BE93+BN93</f>
        <v>0</v>
      </c>
      <c r="BX93" s="5">
        <f t="shared" ref="BX93:BX95" si="250">D93+M93+V93+AE93+AN93+AW93+BF93+BO93</f>
        <v>0</v>
      </c>
      <c r="BY93" s="5">
        <f t="shared" ref="BY93:BY95" si="251">E93+N93+W93+AF93+AO93+AX93+BG93+BP93</f>
        <v>0</v>
      </c>
      <c r="BZ93" s="5">
        <f t="shared" ref="BZ93:BZ95" si="252">F93+O93+X93+AG93+AP93+AY93+BH93+BQ93</f>
        <v>0</v>
      </c>
      <c r="CA93" s="5">
        <f t="shared" ref="CA93:CA95" si="253">G93+P93+Y93+AH93+AQ93+AZ93+BI93+BR93</f>
        <v>4330000</v>
      </c>
      <c r="CB93" s="11">
        <f t="shared" ref="CB93" si="254">CB161</f>
        <v>0</v>
      </c>
      <c r="CC93" s="5">
        <f t="shared" si="239"/>
        <v>4330000</v>
      </c>
    </row>
    <row r="94" spans="1:81">
      <c r="A94" s="29" t="s">
        <v>90</v>
      </c>
      <c r="B94" s="35"/>
      <c r="C94" s="35"/>
      <c r="D94" s="35"/>
      <c r="E94" s="35"/>
      <c r="F94" s="35"/>
      <c r="G94" s="35"/>
      <c r="H94" s="35"/>
      <c r="I94" s="35">
        <f>SUM(B94:H94)</f>
        <v>0</v>
      </c>
      <c r="K94" s="35"/>
      <c r="L94" s="35"/>
      <c r="M94" s="35"/>
      <c r="N94" s="35"/>
      <c r="O94" s="35"/>
      <c r="P94" s="35"/>
      <c r="Q94" s="35"/>
      <c r="R94" s="35">
        <f t="shared" si="209"/>
        <v>0</v>
      </c>
      <c r="T94" s="35"/>
      <c r="U94" s="35"/>
      <c r="V94" s="35"/>
      <c r="W94" s="35"/>
      <c r="X94" s="35"/>
      <c r="Y94" s="35"/>
      <c r="Z94" s="35"/>
      <c r="AA94" s="35">
        <f t="shared" si="210"/>
        <v>0</v>
      </c>
      <c r="AC94" s="97">
        <f>'[1]07'!AC159</f>
        <v>0</v>
      </c>
      <c r="AD94" s="35"/>
      <c r="AE94" s="35"/>
      <c r="AF94" s="35"/>
      <c r="AG94" s="35"/>
      <c r="AH94" s="35"/>
      <c r="AI94" s="35"/>
      <c r="AJ94" s="35">
        <f t="shared" si="211"/>
        <v>0</v>
      </c>
      <c r="AL94" s="67"/>
      <c r="AM94" s="35"/>
      <c r="AN94" s="35"/>
      <c r="AO94" s="35"/>
      <c r="AP94" s="35"/>
      <c r="AQ94" s="35"/>
      <c r="AR94" s="35"/>
      <c r="AS94" s="35">
        <f t="shared" si="212"/>
        <v>0</v>
      </c>
      <c r="AU94" s="35"/>
      <c r="AV94" s="35"/>
      <c r="AW94" s="35"/>
      <c r="AX94" s="35"/>
      <c r="AY94" s="35"/>
      <c r="AZ94" s="35"/>
      <c r="BA94" s="35"/>
      <c r="BB94" s="35">
        <f t="shared" si="213"/>
        <v>0</v>
      </c>
      <c r="BD94" s="35"/>
      <c r="BE94" s="35"/>
      <c r="BF94" s="35"/>
      <c r="BG94" s="35"/>
      <c r="BH94" s="35"/>
      <c r="BI94" s="35"/>
      <c r="BJ94" s="35"/>
      <c r="BK94" s="35">
        <f t="shared" si="214"/>
        <v>0</v>
      </c>
      <c r="BM94" s="35"/>
      <c r="BN94" s="35"/>
      <c r="BO94" s="35"/>
      <c r="BP94" s="35"/>
      <c r="BQ94" s="35"/>
      <c r="BR94" s="35"/>
      <c r="BS94" s="35"/>
      <c r="BT94" s="35">
        <f t="shared" si="215"/>
        <v>0</v>
      </c>
      <c r="BV94" s="5">
        <f t="shared" si="248"/>
        <v>0</v>
      </c>
      <c r="BW94" s="5">
        <f t="shared" si="249"/>
        <v>0</v>
      </c>
      <c r="BX94" s="5">
        <f t="shared" si="250"/>
        <v>0</v>
      </c>
      <c r="BY94" s="5">
        <f t="shared" si="251"/>
        <v>0</v>
      </c>
      <c r="BZ94" s="5">
        <f t="shared" si="252"/>
        <v>0</v>
      </c>
      <c r="CA94" s="5">
        <f t="shared" si="253"/>
        <v>0</v>
      </c>
      <c r="CB94" s="35"/>
      <c r="CC94" s="35">
        <f t="shared" si="239"/>
        <v>0</v>
      </c>
    </row>
    <row r="95" spans="1:81">
      <c r="A95" s="29" t="s">
        <v>91</v>
      </c>
      <c r="B95" s="35">
        <v>70295</v>
      </c>
      <c r="C95" s="35"/>
      <c r="D95" s="35"/>
      <c r="E95" s="35"/>
      <c r="F95" s="35"/>
      <c r="G95" s="35"/>
      <c r="H95" s="35"/>
      <c r="I95" s="35">
        <f>SUM(B95:H95)</f>
        <v>70295</v>
      </c>
      <c r="K95" s="35">
        <v>79850</v>
      </c>
      <c r="L95" s="35"/>
      <c r="M95" s="35"/>
      <c r="N95" s="35"/>
      <c r="O95" s="35"/>
      <c r="P95" s="35"/>
      <c r="Q95" s="35"/>
      <c r="R95" s="35">
        <f t="shared" si="209"/>
        <v>79850</v>
      </c>
      <c r="T95" s="35">
        <v>92739</v>
      </c>
      <c r="U95" s="35"/>
      <c r="V95" s="35"/>
      <c r="W95" s="35"/>
      <c r="X95" s="35"/>
      <c r="Y95" s="35"/>
      <c r="Z95" s="35"/>
      <c r="AA95" s="35">
        <f t="shared" si="210"/>
        <v>92739</v>
      </c>
      <c r="AC95" s="35">
        <v>178620</v>
      </c>
      <c r="AD95" s="35"/>
      <c r="AE95" s="35"/>
      <c r="AF95" s="35"/>
      <c r="AG95" s="35"/>
      <c r="AH95" s="35"/>
      <c r="AI95" s="35"/>
      <c r="AJ95" s="35">
        <f t="shared" si="211"/>
        <v>178620</v>
      </c>
      <c r="AL95" s="35">
        <v>170749</v>
      </c>
      <c r="AM95" s="35"/>
      <c r="AN95" s="35"/>
      <c r="AO95" s="35"/>
      <c r="AP95" s="35"/>
      <c r="AQ95" s="35"/>
      <c r="AR95" s="35"/>
      <c r="AS95" s="35">
        <f t="shared" si="212"/>
        <v>170749</v>
      </c>
      <c r="AU95" s="35">
        <v>0</v>
      </c>
      <c r="AV95" s="35"/>
      <c r="AW95" s="35"/>
      <c r="AX95" s="35"/>
      <c r="AY95" s="35"/>
      <c r="AZ95" s="35"/>
      <c r="BA95" s="35"/>
      <c r="BB95" s="35">
        <f t="shared" si="213"/>
        <v>0</v>
      </c>
      <c r="BD95" s="35"/>
      <c r="BE95" s="35"/>
      <c r="BF95" s="35"/>
      <c r="BG95" s="35"/>
      <c r="BH95" s="35"/>
      <c r="BI95" s="35"/>
      <c r="BJ95" s="35"/>
      <c r="BK95" s="35">
        <f t="shared" si="214"/>
        <v>0</v>
      </c>
      <c r="BM95" s="35">
        <v>0</v>
      </c>
      <c r="BN95" s="35"/>
      <c r="BO95" s="35"/>
      <c r="BP95" s="35"/>
      <c r="BQ95" s="35"/>
      <c r="BR95" s="35"/>
      <c r="BS95" s="35"/>
      <c r="BT95" s="35">
        <f t="shared" si="215"/>
        <v>0</v>
      </c>
      <c r="BV95" s="5">
        <f t="shared" si="248"/>
        <v>592253</v>
      </c>
      <c r="BW95" s="5">
        <f t="shared" si="249"/>
        <v>0</v>
      </c>
      <c r="BX95" s="5">
        <f t="shared" si="250"/>
        <v>0</v>
      </c>
      <c r="BY95" s="5">
        <f t="shared" si="251"/>
        <v>0</v>
      </c>
      <c r="BZ95" s="5">
        <f t="shared" si="252"/>
        <v>0</v>
      </c>
      <c r="CA95" s="5">
        <f t="shared" si="253"/>
        <v>0</v>
      </c>
      <c r="CB95" s="35"/>
      <c r="CC95" s="35">
        <f t="shared" si="239"/>
        <v>592253</v>
      </c>
    </row>
    <row r="96" spans="1:81" ht="15">
      <c r="A96" s="54" t="s">
        <v>92</v>
      </c>
      <c r="B96" s="55">
        <f>SUM(B92:B95)</f>
        <v>70295</v>
      </c>
      <c r="C96" s="55">
        <f t="shared" ref="C96:H96" si="255">SUM(C92:C95)</f>
        <v>0</v>
      </c>
      <c r="D96" s="55">
        <f t="shared" si="255"/>
        <v>0</v>
      </c>
      <c r="E96" s="55"/>
      <c r="F96" s="55">
        <f t="shared" si="255"/>
        <v>0</v>
      </c>
      <c r="G96" s="55">
        <f t="shared" si="255"/>
        <v>255000</v>
      </c>
      <c r="H96" s="55">
        <f t="shared" si="255"/>
        <v>0</v>
      </c>
      <c r="I96" s="55">
        <f>SUM(I92:I95)</f>
        <v>325295</v>
      </c>
      <c r="J96" s="7"/>
      <c r="K96" s="55">
        <f>SUM(K92:K95)</f>
        <v>79850</v>
      </c>
      <c r="L96" s="55">
        <f t="shared" ref="L96:Q96" si="256">SUM(L92:L95)</f>
        <v>0</v>
      </c>
      <c r="M96" s="55">
        <f t="shared" si="256"/>
        <v>0</v>
      </c>
      <c r="N96" s="55"/>
      <c r="O96" s="55">
        <f t="shared" si="256"/>
        <v>0</v>
      </c>
      <c r="P96" s="55">
        <f t="shared" si="256"/>
        <v>650000</v>
      </c>
      <c r="Q96" s="55">
        <f t="shared" si="256"/>
        <v>0</v>
      </c>
      <c r="R96" s="55">
        <f>SUM(R92:R95)</f>
        <v>729850</v>
      </c>
      <c r="T96" s="55">
        <f>SUM(T92:T95)</f>
        <v>92739</v>
      </c>
      <c r="U96" s="55">
        <f t="shared" ref="U96:Z96" si="257">SUM(U92:U95)</f>
        <v>0</v>
      </c>
      <c r="V96" s="55">
        <f t="shared" si="257"/>
        <v>0</v>
      </c>
      <c r="W96" s="55"/>
      <c r="X96" s="55">
        <f t="shared" si="257"/>
        <v>0</v>
      </c>
      <c r="Y96" s="55">
        <f t="shared" si="257"/>
        <v>550000</v>
      </c>
      <c r="Z96" s="55">
        <f t="shared" si="257"/>
        <v>0</v>
      </c>
      <c r="AA96" s="55">
        <f>SUM(AA92:AA95)</f>
        <v>642739</v>
      </c>
      <c r="AC96" s="55">
        <f>SUM(AC92:AC95)</f>
        <v>178620</v>
      </c>
      <c r="AD96" s="55">
        <f t="shared" ref="AD96:AI96" si="258">SUM(AD92:AD95)</f>
        <v>0</v>
      </c>
      <c r="AE96" s="55">
        <f t="shared" si="258"/>
        <v>0</v>
      </c>
      <c r="AF96" s="55">
        <f t="shared" si="258"/>
        <v>0</v>
      </c>
      <c r="AG96" s="55">
        <f t="shared" si="258"/>
        <v>0</v>
      </c>
      <c r="AH96" s="55">
        <f t="shared" si="258"/>
        <v>1250000</v>
      </c>
      <c r="AI96" s="55">
        <f t="shared" si="258"/>
        <v>0</v>
      </c>
      <c r="AJ96" s="55">
        <f>SUM(AJ92:AJ95)</f>
        <v>1428620</v>
      </c>
      <c r="AL96" s="55">
        <f>SUM(AL92:AL95)</f>
        <v>170749</v>
      </c>
      <c r="AM96" s="55">
        <f t="shared" ref="AM96:AR96" si="259">SUM(AM92:AM95)</f>
        <v>0</v>
      </c>
      <c r="AN96" s="55">
        <f t="shared" si="259"/>
        <v>0</v>
      </c>
      <c r="AO96" s="55"/>
      <c r="AP96" s="55">
        <f t="shared" si="259"/>
        <v>0</v>
      </c>
      <c r="AQ96" s="55">
        <f t="shared" si="259"/>
        <v>1600000</v>
      </c>
      <c r="AR96" s="55">
        <f t="shared" si="259"/>
        <v>0</v>
      </c>
      <c r="AS96" s="55">
        <f>SUM(AS92:AS95)</f>
        <v>1770749</v>
      </c>
      <c r="AU96" s="55">
        <f>SUM(AU92:AU95)</f>
        <v>0</v>
      </c>
      <c r="AV96" s="55">
        <f t="shared" ref="AV96:BA96" si="260">SUM(AV92:AV95)</f>
        <v>0</v>
      </c>
      <c r="AW96" s="55">
        <f t="shared" si="260"/>
        <v>0</v>
      </c>
      <c r="AX96" s="55"/>
      <c r="AY96" s="55">
        <f t="shared" si="260"/>
        <v>0</v>
      </c>
      <c r="AZ96" s="55">
        <f t="shared" si="260"/>
        <v>0</v>
      </c>
      <c r="BA96" s="55">
        <f t="shared" si="260"/>
        <v>0</v>
      </c>
      <c r="BB96" s="55">
        <f>SUM(BB92:BB95)</f>
        <v>0</v>
      </c>
      <c r="BD96" s="55">
        <f>SUM(BD92:BD95)</f>
        <v>0</v>
      </c>
      <c r="BE96" s="55">
        <f t="shared" ref="BE96:BJ96" si="261">SUM(BE92:BE95)</f>
        <v>0</v>
      </c>
      <c r="BF96" s="55">
        <f t="shared" si="261"/>
        <v>0</v>
      </c>
      <c r="BG96" s="55"/>
      <c r="BH96" s="55">
        <f t="shared" si="261"/>
        <v>0</v>
      </c>
      <c r="BI96" s="55">
        <f t="shared" si="261"/>
        <v>25000</v>
      </c>
      <c r="BJ96" s="55">
        <f t="shared" si="261"/>
        <v>0</v>
      </c>
      <c r="BK96" s="55">
        <f>SUM(BK92:BK95)</f>
        <v>25000</v>
      </c>
      <c r="BM96" s="55">
        <f>SUM(BM92:BM95)</f>
        <v>0</v>
      </c>
      <c r="BN96" s="55">
        <f t="shared" ref="BN96:BS96" si="262">SUM(BN92:BN95)</f>
        <v>0</v>
      </c>
      <c r="BO96" s="55">
        <f t="shared" si="262"/>
        <v>0</v>
      </c>
      <c r="BP96" s="55"/>
      <c r="BQ96" s="55">
        <f t="shared" si="262"/>
        <v>0</v>
      </c>
      <c r="BR96" s="55">
        <f t="shared" si="262"/>
        <v>0</v>
      </c>
      <c r="BS96" s="55">
        <f t="shared" si="262"/>
        <v>0</v>
      </c>
      <c r="BT96" s="55">
        <f>SUM(BT92:BT95)</f>
        <v>0</v>
      </c>
      <c r="BV96" s="55">
        <f>SUM(BV92:BV95)</f>
        <v>592253</v>
      </c>
      <c r="BW96" s="55">
        <f t="shared" ref="BW96:BX96" si="263">SUM(BW92:BW95)</f>
        <v>0</v>
      </c>
      <c r="BX96" s="55">
        <f t="shared" si="263"/>
        <v>0</v>
      </c>
      <c r="BY96" s="55"/>
      <c r="BZ96" s="55">
        <f t="shared" ref="BZ96:CB96" si="264">SUM(BZ92:BZ95)</f>
        <v>0</v>
      </c>
      <c r="CA96" s="55">
        <f t="shared" si="264"/>
        <v>4330000</v>
      </c>
      <c r="CB96" s="55">
        <f t="shared" si="264"/>
        <v>0</v>
      </c>
      <c r="CC96" s="55">
        <f>SUM(CC92:CC95)</f>
        <v>4922253</v>
      </c>
    </row>
    <row r="97" spans="1:81" ht="15">
      <c r="A97" s="58" t="s">
        <v>93</v>
      </c>
      <c r="B97" s="59">
        <f>B80+B90+B96</f>
        <v>8371143</v>
      </c>
      <c r="C97" s="59">
        <f t="shared" ref="C97:H97" si="265">C80+C90+C96</f>
        <v>681915</v>
      </c>
      <c r="D97" s="59">
        <f t="shared" si="265"/>
        <v>431694.07200000004</v>
      </c>
      <c r="E97" s="59"/>
      <c r="F97" s="59">
        <f t="shared" si="265"/>
        <v>0</v>
      </c>
      <c r="G97" s="59">
        <f t="shared" si="265"/>
        <v>255000</v>
      </c>
      <c r="H97" s="59">
        <f t="shared" si="265"/>
        <v>0</v>
      </c>
      <c r="I97" s="59">
        <f>I80+I90+I96</f>
        <v>9739752.0720000006</v>
      </c>
      <c r="J97" s="7"/>
      <c r="K97" s="59">
        <f>K80+K90+K96</f>
        <v>9358714</v>
      </c>
      <c r="L97" s="59">
        <f t="shared" ref="L97:Q97" si="266">L80+L90+L96</f>
        <v>554891</v>
      </c>
      <c r="M97" s="59">
        <f t="shared" si="266"/>
        <v>485893.54799999995</v>
      </c>
      <c r="N97" s="59"/>
      <c r="O97" s="59">
        <f t="shared" si="266"/>
        <v>0</v>
      </c>
      <c r="P97" s="59">
        <f t="shared" si="266"/>
        <v>650000</v>
      </c>
      <c r="Q97" s="59">
        <f t="shared" si="266"/>
        <v>0</v>
      </c>
      <c r="R97" s="59">
        <f>R80+R90+R96</f>
        <v>11049498.548</v>
      </c>
      <c r="T97" s="59">
        <f>T80+T90+T96</f>
        <v>10917954</v>
      </c>
      <c r="U97" s="59">
        <f t="shared" ref="U97:Z97" si="267">U80+U90+U96</f>
        <v>735399</v>
      </c>
      <c r="V97" s="59">
        <f t="shared" si="267"/>
        <v>380269.26</v>
      </c>
      <c r="W97" s="59"/>
      <c r="X97" s="59">
        <f t="shared" si="267"/>
        <v>0</v>
      </c>
      <c r="Y97" s="59">
        <f t="shared" si="267"/>
        <v>550000</v>
      </c>
      <c r="Z97" s="59">
        <f t="shared" si="267"/>
        <v>0</v>
      </c>
      <c r="AA97" s="59">
        <f>AA80+AA90+AA96</f>
        <v>12583622.26</v>
      </c>
      <c r="AC97" s="59">
        <f>AC80+AC90+AC96</f>
        <v>21020142</v>
      </c>
      <c r="AD97" s="59">
        <f t="shared" ref="AD97:AI97" si="268">AD80+AD90+AD96</f>
        <v>1945465</v>
      </c>
      <c r="AE97" s="59">
        <f t="shared" si="268"/>
        <v>1066873.8959999999</v>
      </c>
      <c r="AF97" s="59">
        <f t="shared" si="268"/>
        <v>0</v>
      </c>
      <c r="AG97" s="59">
        <f t="shared" si="268"/>
        <v>0</v>
      </c>
      <c r="AH97" s="59">
        <f t="shared" si="268"/>
        <v>1250000</v>
      </c>
      <c r="AI97" s="59">
        <f t="shared" si="268"/>
        <v>0</v>
      </c>
      <c r="AJ97" s="59">
        <f>AJ80+AJ90+AJ96</f>
        <v>25282480.896000002</v>
      </c>
      <c r="AL97" s="59">
        <f>AL80+AL90+AL96</f>
        <v>20393649</v>
      </c>
      <c r="AM97" s="59">
        <f t="shared" ref="AM97:AR97" si="269">AM80+AM90+AM96</f>
        <v>1410630</v>
      </c>
      <c r="AN97" s="59">
        <f t="shared" si="269"/>
        <v>699823.26</v>
      </c>
      <c r="AO97" s="59"/>
      <c r="AP97" s="59">
        <f t="shared" si="269"/>
        <v>0</v>
      </c>
      <c r="AQ97" s="59">
        <f t="shared" si="269"/>
        <v>1600000</v>
      </c>
      <c r="AR97" s="59">
        <f t="shared" si="269"/>
        <v>0</v>
      </c>
      <c r="AS97" s="59">
        <f>AS80+AS90+AS96</f>
        <v>24104102.260000002</v>
      </c>
      <c r="AU97" s="59">
        <f>AU80+AU90+AU96</f>
        <v>1075920</v>
      </c>
      <c r="AV97" s="59">
        <f t="shared" ref="AV97:BA97" si="270">AV80+AV90+AV96</f>
        <v>63255</v>
      </c>
      <c r="AW97" s="59">
        <f t="shared" si="270"/>
        <v>23382</v>
      </c>
      <c r="AX97" s="59"/>
      <c r="AY97" s="59">
        <f t="shared" si="270"/>
        <v>0</v>
      </c>
      <c r="AZ97" s="59">
        <f t="shared" si="270"/>
        <v>0</v>
      </c>
      <c r="BA97" s="59">
        <f t="shared" si="270"/>
        <v>0</v>
      </c>
      <c r="BB97" s="59">
        <f>BB80+BB90+BB96</f>
        <v>1162557</v>
      </c>
      <c r="BD97" s="59">
        <f>BD80+BD90+BD96</f>
        <v>1649744</v>
      </c>
      <c r="BE97" s="59">
        <f t="shared" ref="BE97:BJ97" si="271">BE80+BE90+BE96</f>
        <v>61199</v>
      </c>
      <c r="BF97" s="59">
        <f t="shared" si="271"/>
        <v>209334.96000000002</v>
      </c>
      <c r="BG97" s="59"/>
      <c r="BH97" s="59">
        <f t="shared" si="271"/>
        <v>46193</v>
      </c>
      <c r="BI97" s="59">
        <f t="shared" si="271"/>
        <v>25000</v>
      </c>
      <c r="BJ97" s="59">
        <f t="shared" si="271"/>
        <v>0</v>
      </c>
      <c r="BK97" s="59">
        <f>BK80+BK90+BK96</f>
        <v>1991470.96</v>
      </c>
      <c r="BM97" s="59">
        <f>BM80+BM90+BM96</f>
        <v>0</v>
      </c>
      <c r="BN97" s="59">
        <f t="shared" ref="BN97:BS97" si="272">BN80+BN90+BN96</f>
        <v>0</v>
      </c>
      <c r="BO97" s="59">
        <f t="shared" si="272"/>
        <v>0</v>
      </c>
      <c r="BP97" s="59"/>
      <c r="BQ97" s="59">
        <f t="shared" si="272"/>
        <v>0</v>
      </c>
      <c r="BR97" s="59">
        <f t="shared" si="272"/>
        <v>0</v>
      </c>
      <c r="BS97" s="59">
        <f t="shared" si="272"/>
        <v>0</v>
      </c>
      <c r="BT97" s="59">
        <f>BT80+BT90+BT96</f>
        <v>0</v>
      </c>
      <c r="BV97" s="59">
        <f>BV80+BV90+BV96</f>
        <v>72787266</v>
      </c>
      <c r="BW97" s="59">
        <f t="shared" ref="BW97:BX97" si="273">BW80+BW90+BW96</f>
        <v>5452754</v>
      </c>
      <c r="BX97" s="59">
        <f t="shared" si="273"/>
        <v>3297270.9959999993</v>
      </c>
      <c r="BY97" s="59"/>
      <c r="BZ97" s="59">
        <f t="shared" ref="BZ97:CB97" si="274">BZ80+BZ90+BZ96</f>
        <v>46193</v>
      </c>
      <c r="CA97" s="59">
        <f t="shared" si="274"/>
        <v>4330000</v>
      </c>
      <c r="CB97" s="59">
        <f t="shared" si="274"/>
        <v>0</v>
      </c>
      <c r="CC97" s="59">
        <f>CC80+CC90+CC96</f>
        <v>85913483.995999992</v>
      </c>
    </row>
    <row r="98" spans="1:81" ht="15">
      <c r="A98" s="56" t="s">
        <v>94</v>
      </c>
      <c r="B98" s="49"/>
      <c r="C98" s="49"/>
      <c r="D98" s="49"/>
      <c r="E98" s="49"/>
      <c r="F98" s="49"/>
      <c r="G98" s="49"/>
      <c r="H98" s="49"/>
      <c r="I98" s="50"/>
      <c r="J98" s="7"/>
      <c r="K98" s="49"/>
      <c r="L98" s="49"/>
      <c r="M98" s="49"/>
      <c r="N98" s="49"/>
      <c r="O98" s="49"/>
      <c r="P98" s="49"/>
      <c r="Q98" s="49"/>
      <c r="R98" s="50"/>
      <c r="T98" s="49"/>
      <c r="U98" s="49"/>
      <c r="V98" s="49"/>
      <c r="W98" s="49"/>
      <c r="X98" s="49"/>
      <c r="Y98" s="49"/>
      <c r="Z98" s="49"/>
      <c r="AA98" s="50"/>
      <c r="AC98" s="49"/>
      <c r="AD98" s="49"/>
      <c r="AE98" s="49"/>
      <c r="AF98" s="49"/>
      <c r="AG98" s="49"/>
      <c r="AH98" s="49"/>
      <c r="AI98" s="49"/>
      <c r="AJ98" s="50"/>
      <c r="AL98" s="49"/>
      <c r="AM98" s="49"/>
      <c r="AN98" s="49"/>
      <c r="AO98" s="49"/>
      <c r="AP98" s="49"/>
      <c r="AQ98" s="49"/>
      <c r="AR98" s="49"/>
      <c r="AS98" s="50"/>
      <c r="AU98" s="49"/>
      <c r="AV98" s="49"/>
      <c r="AW98" s="49"/>
      <c r="AX98" s="49"/>
      <c r="AY98" s="49"/>
      <c r="AZ98" s="49"/>
      <c r="BA98" s="49"/>
      <c r="BB98" s="50"/>
      <c r="BD98" s="49"/>
      <c r="BE98" s="49"/>
      <c r="BF98" s="49"/>
      <c r="BG98" s="49"/>
      <c r="BH98" s="49"/>
      <c r="BI98" s="49"/>
      <c r="BJ98" s="49"/>
      <c r="BK98" s="50"/>
      <c r="BM98" s="49"/>
      <c r="BN98" s="49"/>
      <c r="BO98" s="49"/>
      <c r="BP98" s="49"/>
      <c r="BQ98" s="49"/>
      <c r="BR98" s="49"/>
      <c r="BS98" s="49"/>
      <c r="BT98" s="50"/>
      <c r="BV98" s="49"/>
      <c r="BW98" s="49"/>
      <c r="BX98" s="49"/>
      <c r="BY98" s="49"/>
      <c r="BZ98" s="49"/>
      <c r="CA98" s="49"/>
      <c r="CB98" s="49"/>
      <c r="CC98" s="50"/>
    </row>
    <row r="99" spans="1:81">
      <c r="A99" s="29" t="s">
        <v>95</v>
      </c>
      <c r="B99" s="5">
        <v>0</v>
      </c>
      <c r="C99" s="5"/>
      <c r="D99" s="5"/>
      <c r="E99" s="5"/>
      <c r="F99" s="5"/>
      <c r="G99" s="5"/>
      <c r="H99" s="5"/>
      <c r="I99" s="5">
        <f>SUM(B99:H99)</f>
        <v>0</v>
      </c>
      <c r="J99" s="7"/>
      <c r="K99" s="5">
        <v>0</v>
      </c>
      <c r="L99" s="5"/>
      <c r="M99" s="5"/>
      <c r="N99" s="5"/>
      <c r="O99" s="5"/>
      <c r="P99" s="5"/>
      <c r="Q99" s="5"/>
      <c r="R99" s="5">
        <f>SUM(K99:Q99)</f>
        <v>0</v>
      </c>
      <c r="T99" s="5">
        <v>0</v>
      </c>
      <c r="U99" s="5"/>
      <c r="V99" s="5"/>
      <c r="W99" s="5"/>
      <c r="X99" s="5"/>
      <c r="Y99" s="5"/>
      <c r="Z99" s="5"/>
      <c r="AA99" s="5">
        <f>SUM(T99:Z99)</f>
        <v>0</v>
      </c>
      <c r="AC99" s="5">
        <v>0</v>
      </c>
      <c r="AD99" s="5"/>
      <c r="AE99" s="5"/>
      <c r="AF99" s="5"/>
      <c r="AG99" s="5"/>
      <c r="AH99" s="5"/>
      <c r="AI99" s="5"/>
      <c r="AJ99" s="5">
        <f>SUM(AC99:AI99)</f>
        <v>0</v>
      </c>
      <c r="AL99" s="5">
        <v>0</v>
      </c>
      <c r="AM99" s="5"/>
      <c r="AN99" s="5"/>
      <c r="AO99" s="5"/>
      <c r="AP99" s="5"/>
      <c r="AQ99" s="5"/>
      <c r="AR99" s="5"/>
      <c r="AS99" s="5">
        <f>SUM(AL99:AR99)</f>
        <v>0</v>
      </c>
      <c r="AU99" s="5">
        <v>0</v>
      </c>
      <c r="AV99" s="5"/>
      <c r="AW99" s="5"/>
      <c r="AX99" s="5"/>
      <c r="AY99" s="5"/>
      <c r="AZ99" s="5"/>
      <c r="BA99" s="5"/>
      <c r="BB99" s="5">
        <f>SUM(AU99:BA99)</f>
        <v>0</v>
      </c>
      <c r="BD99" s="5">
        <v>0</v>
      </c>
      <c r="BE99" s="5"/>
      <c r="BF99" s="5"/>
      <c r="BG99" s="5">
        <v>425000</v>
      </c>
      <c r="BH99" s="5"/>
      <c r="BI99" s="5"/>
      <c r="BJ99" s="5"/>
      <c r="BK99" s="5">
        <f>SUM(BD99:BJ99)</f>
        <v>425000</v>
      </c>
      <c r="BM99" s="5">
        <v>0</v>
      </c>
      <c r="BN99" s="5"/>
      <c r="BO99" s="5"/>
      <c r="BP99" s="5">
        <v>365000</v>
      </c>
      <c r="BQ99" s="5"/>
      <c r="BR99" s="5"/>
      <c r="BS99" s="5"/>
      <c r="BT99" s="5">
        <f>SUM(BM99:BS99)</f>
        <v>365000</v>
      </c>
      <c r="BV99" s="5">
        <f t="shared" ref="BV99" si="275">B99+K99+T99+AC99+AL99+AU99+BD99+BM99</f>
        <v>0</v>
      </c>
      <c r="BW99" s="5">
        <f t="shared" ref="BW99" si="276">C99+L99+U99+AD99+AM99+AV99+BE99+BN99</f>
        <v>0</v>
      </c>
      <c r="BX99" s="5">
        <f t="shared" ref="BX99" si="277">D99+M99+V99+AE99+AN99+AW99+BF99+BO99</f>
        <v>0</v>
      </c>
      <c r="BY99" s="5">
        <f t="shared" ref="BY99" si="278">E99+N99+W99+AF99+AO99+AX99+BG99+BP99</f>
        <v>790000</v>
      </c>
      <c r="BZ99" s="5">
        <f t="shared" ref="BZ99" si="279">F99+O99+X99+AG99+AP99+AY99+BH99+BQ99</f>
        <v>0</v>
      </c>
      <c r="CA99" s="5">
        <f t="shared" ref="CA99" si="280">G99+P99+Y99+AH99+AQ99+AZ99+BI99+BR99</f>
        <v>0</v>
      </c>
      <c r="CB99" s="5"/>
      <c r="CC99" s="5">
        <f>SUM(BV99:CB99)</f>
        <v>790000</v>
      </c>
    </row>
    <row r="100" spans="1:81">
      <c r="A100" s="29" t="s">
        <v>96</v>
      </c>
      <c r="B100" s="11">
        <v>0</v>
      </c>
      <c r="C100" s="11">
        <v>0</v>
      </c>
      <c r="D100" s="11">
        <v>0</v>
      </c>
      <c r="E100" s="11"/>
      <c r="F100" s="11">
        <f t="shared" ref="F100:H100" si="281">F168</f>
        <v>0</v>
      </c>
      <c r="G100" s="11">
        <f t="shared" si="281"/>
        <v>0</v>
      </c>
      <c r="H100" s="11">
        <f t="shared" si="281"/>
        <v>0</v>
      </c>
      <c r="I100" s="5">
        <f>SUM(B100:H100)</f>
        <v>0</v>
      </c>
      <c r="J100" s="7"/>
      <c r="K100" s="11">
        <v>0</v>
      </c>
      <c r="L100" s="11">
        <v>0</v>
      </c>
      <c r="M100" s="11">
        <v>0</v>
      </c>
      <c r="N100" s="11"/>
      <c r="O100" s="11">
        <f t="shared" ref="O100:Q100" si="282">O168</f>
        <v>0</v>
      </c>
      <c r="P100" s="11">
        <f t="shared" si="282"/>
        <v>0</v>
      </c>
      <c r="Q100" s="11">
        <f t="shared" si="282"/>
        <v>0</v>
      </c>
      <c r="R100" s="5">
        <f t="shared" ref="R100:R102" si="283">SUM(K100:Q100)</f>
        <v>0</v>
      </c>
      <c r="T100" s="11">
        <v>0</v>
      </c>
      <c r="U100" s="11">
        <v>0</v>
      </c>
      <c r="V100" s="11">
        <v>0</v>
      </c>
      <c r="W100" s="11"/>
      <c r="X100" s="11">
        <f t="shared" ref="X100:Z100" si="284">X168</f>
        <v>0</v>
      </c>
      <c r="Y100" s="11">
        <f t="shared" si="284"/>
        <v>0</v>
      </c>
      <c r="Z100" s="11">
        <f t="shared" si="284"/>
        <v>0</v>
      </c>
      <c r="AA100" s="5">
        <f t="shared" ref="AA100:AA102" si="285">SUM(T100:Z100)</f>
        <v>0</v>
      </c>
      <c r="AC100" s="11">
        <v>0</v>
      </c>
      <c r="AD100" s="11">
        <v>0</v>
      </c>
      <c r="AE100" s="11">
        <v>0</v>
      </c>
      <c r="AF100" s="11"/>
      <c r="AG100" s="11">
        <f t="shared" ref="AG100:AI100" si="286">AG168</f>
        <v>0</v>
      </c>
      <c r="AH100" s="11">
        <f t="shared" si="286"/>
        <v>0</v>
      </c>
      <c r="AI100" s="11">
        <f t="shared" si="286"/>
        <v>0</v>
      </c>
      <c r="AJ100" s="5">
        <f t="shared" ref="AJ100:AJ102" si="287">SUM(AC100:AI100)</f>
        <v>0</v>
      </c>
      <c r="AL100" s="11">
        <v>0</v>
      </c>
      <c r="AM100" s="11">
        <v>0</v>
      </c>
      <c r="AN100" s="11">
        <v>0</v>
      </c>
      <c r="AO100" s="11"/>
      <c r="AP100" s="11">
        <f t="shared" ref="AP100:AR100" si="288">AP168</f>
        <v>0</v>
      </c>
      <c r="AQ100" s="11">
        <f t="shared" si="288"/>
        <v>0</v>
      </c>
      <c r="AR100" s="11">
        <f t="shared" si="288"/>
        <v>0</v>
      </c>
      <c r="AS100" s="5">
        <f t="shared" ref="AS100:AS102" si="289">SUM(AL100:AR100)</f>
        <v>0</v>
      </c>
      <c r="AU100" s="11">
        <v>0</v>
      </c>
      <c r="AV100" s="11">
        <v>0</v>
      </c>
      <c r="AW100" s="11">
        <v>0</v>
      </c>
      <c r="AX100" s="11"/>
      <c r="AY100" s="11">
        <f t="shared" ref="AY100:BA100" si="290">AY168</f>
        <v>0</v>
      </c>
      <c r="AZ100" s="11">
        <f t="shared" si="290"/>
        <v>0</v>
      </c>
      <c r="BA100" s="11">
        <f t="shared" si="290"/>
        <v>0</v>
      </c>
      <c r="BB100" s="5">
        <f t="shared" ref="BB100:BB102" si="291">SUM(AU100:BA100)</f>
        <v>0</v>
      </c>
      <c r="BD100" s="11">
        <v>0</v>
      </c>
      <c r="BE100" s="11">
        <v>0</v>
      </c>
      <c r="BF100" s="11">
        <v>0</v>
      </c>
      <c r="BG100" s="11"/>
      <c r="BH100" s="11">
        <f t="shared" ref="BH100:BJ100" si="292">BH168</f>
        <v>0</v>
      </c>
      <c r="BI100" s="11">
        <f t="shared" si="292"/>
        <v>0</v>
      </c>
      <c r="BJ100" s="11">
        <f t="shared" si="292"/>
        <v>0</v>
      </c>
      <c r="BK100" s="5">
        <f t="shared" ref="BK100:BK102" si="293">SUM(BD100:BJ100)</f>
        <v>0</v>
      </c>
      <c r="BM100" s="11">
        <v>0</v>
      </c>
      <c r="BN100" s="11">
        <v>0</v>
      </c>
      <c r="BO100" s="11">
        <v>0</v>
      </c>
      <c r="BP100" s="11"/>
      <c r="BQ100" s="11">
        <f t="shared" ref="BQ100:BS100" si="294">BQ168</f>
        <v>0</v>
      </c>
      <c r="BR100" s="11">
        <f t="shared" si="294"/>
        <v>0</v>
      </c>
      <c r="BS100" s="11">
        <f t="shared" si="294"/>
        <v>0</v>
      </c>
      <c r="BT100" s="5">
        <f t="shared" ref="BT100:BT102" si="295">SUM(BM100:BS100)</f>
        <v>0</v>
      </c>
      <c r="BV100" s="5">
        <f t="shared" ref="BV100:BV102" si="296">B100+K100+T100+AC100+AL100+AU100+BD100+BM100</f>
        <v>0</v>
      </c>
      <c r="BW100" s="5">
        <f t="shared" ref="BW100:BW102" si="297">C100+L100+U100+AD100+AM100+AV100+BE100+BN100</f>
        <v>0</v>
      </c>
      <c r="BX100" s="5">
        <f t="shared" ref="BX100:BX102" si="298">D100+M100+V100+AE100+AN100+AW100+BF100+BO100</f>
        <v>0</v>
      </c>
      <c r="BY100" s="5">
        <f t="shared" ref="BY100:BY102" si="299">E100+N100+W100+AF100+AO100+AX100+BG100+BP100</f>
        <v>0</v>
      </c>
      <c r="BZ100" s="5">
        <f t="shared" ref="BZ100:BZ102" si="300">F100+O100+X100+AG100+AP100+AY100+BH100+BQ100</f>
        <v>0</v>
      </c>
      <c r="CA100" s="5">
        <f t="shared" ref="CA100:CA102" si="301">G100+P100+Y100+AH100+AQ100+AZ100+BI100+BR100</f>
        <v>0</v>
      </c>
      <c r="CB100" s="11">
        <f t="shared" ref="CB100" si="302">CB168</f>
        <v>0</v>
      </c>
      <c r="CC100" s="5">
        <f t="shared" ref="CC100:CC102" si="303">SUM(BV100:CB100)</f>
        <v>0</v>
      </c>
    </row>
    <row r="101" spans="1:81">
      <c r="A101" s="29" t="s">
        <v>264</v>
      </c>
      <c r="B101" s="35"/>
      <c r="C101" s="35"/>
      <c r="D101" s="35"/>
      <c r="E101" s="35"/>
      <c r="F101" s="35"/>
      <c r="G101" s="35"/>
      <c r="H101" s="35"/>
      <c r="I101" s="5">
        <f>SUM(B101:H101)</f>
        <v>0</v>
      </c>
      <c r="J101" s="7"/>
      <c r="K101" s="35"/>
      <c r="L101" s="35"/>
      <c r="M101" s="35"/>
      <c r="N101" s="35"/>
      <c r="O101" s="35"/>
      <c r="P101" s="35"/>
      <c r="Q101" s="35"/>
      <c r="R101" s="5">
        <f t="shared" si="283"/>
        <v>0</v>
      </c>
      <c r="T101" s="35"/>
      <c r="U101" s="35"/>
      <c r="V101" s="35"/>
      <c r="W101" s="35"/>
      <c r="X101" s="35"/>
      <c r="Y101" s="35"/>
      <c r="Z101" s="35"/>
      <c r="AA101" s="5">
        <f t="shared" si="285"/>
        <v>0</v>
      </c>
      <c r="AC101" s="35"/>
      <c r="AD101" s="35"/>
      <c r="AE101" s="35"/>
      <c r="AF101" s="35">
        <v>120000</v>
      </c>
      <c r="AG101" s="35"/>
      <c r="AH101" s="35"/>
      <c r="AI101" s="35"/>
      <c r="AJ101" s="5">
        <f t="shared" si="287"/>
        <v>120000</v>
      </c>
      <c r="AL101" s="35"/>
      <c r="AM101" s="35"/>
      <c r="AN101" s="35"/>
      <c r="AO101" s="35">
        <v>425869</v>
      </c>
      <c r="AP101" s="35"/>
      <c r="AQ101" s="35"/>
      <c r="AR101" s="35"/>
      <c r="AS101" s="5">
        <f t="shared" si="289"/>
        <v>425869</v>
      </c>
      <c r="AU101" s="35"/>
      <c r="AV101" s="35"/>
      <c r="AW101" s="35"/>
      <c r="AX101" s="35"/>
      <c r="AY101" s="35"/>
      <c r="AZ101" s="35"/>
      <c r="BA101" s="35"/>
      <c r="BB101" s="5">
        <f t="shared" si="291"/>
        <v>0</v>
      </c>
      <c r="BD101" s="35"/>
      <c r="BE101" s="35"/>
      <c r="BF101" s="35"/>
      <c r="BG101" s="35"/>
      <c r="BH101" s="35"/>
      <c r="BI101" s="35"/>
      <c r="BJ101" s="35"/>
      <c r="BK101" s="5">
        <f t="shared" si="293"/>
        <v>0</v>
      </c>
      <c r="BM101" s="35"/>
      <c r="BN101" s="35"/>
      <c r="BO101" s="35"/>
      <c r="BP101" s="35"/>
      <c r="BQ101" s="35"/>
      <c r="BR101" s="35"/>
      <c r="BS101" s="35"/>
      <c r="BT101" s="5">
        <f t="shared" si="295"/>
        <v>0</v>
      </c>
      <c r="BV101" s="5">
        <f t="shared" si="296"/>
        <v>0</v>
      </c>
      <c r="BW101" s="5">
        <f t="shared" si="297"/>
        <v>0</v>
      </c>
      <c r="BX101" s="5">
        <f t="shared" si="298"/>
        <v>0</v>
      </c>
      <c r="BY101" s="5">
        <f t="shared" si="299"/>
        <v>545869</v>
      </c>
      <c r="BZ101" s="5">
        <f t="shared" si="300"/>
        <v>0</v>
      </c>
      <c r="CA101" s="5">
        <f t="shared" si="301"/>
        <v>0</v>
      </c>
      <c r="CB101" s="35"/>
      <c r="CC101" s="5">
        <f t="shared" si="303"/>
        <v>545869</v>
      </c>
    </row>
    <row r="102" spans="1:81">
      <c r="A102" s="29"/>
      <c r="B102" s="35"/>
      <c r="C102" s="35"/>
      <c r="D102" s="35"/>
      <c r="E102" s="35"/>
      <c r="F102" s="35"/>
      <c r="G102" s="35"/>
      <c r="H102" s="35"/>
      <c r="I102" s="5">
        <f>SUM(B102:H102)</f>
        <v>0</v>
      </c>
      <c r="J102" s="7"/>
      <c r="K102" s="35"/>
      <c r="L102" s="35"/>
      <c r="M102" s="35"/>
      <c r="N102" s="35"/>
      <c r="O102" s="35"/>
      <c r="P102" s="35"/>
      <c r="Q102" s="35"/>
      <c r="R102" s="5">
        <f t="shared" si="283"/>
        <v>0</v>
      </c>
      <c r="T102" s="35"/>
      <c r="U102" s="35"/>
      <c r="V102" s="35"/>
      <c r="W102" s="35"/>
      <c r="X102" s="35"/>
      <c r="Y102" s="35"/>
      <c r="Z102" s="35"/>
      <c r="AA102" s="5">
        <f t="shared" si="285"/>
        <v>0</v>
      </c>
      <c r="AC102" s="35"/>
      <c r="AD102" s="35"/>
      <c r="AE102" s="35"/>
      <c r="AF102" s="35"/>
      <c r="AG102" s="35"/>
      <c r="AH102" s="35"/>
      <c r="AI102" s="35"/>
      <c r="AJ102" s="5">
        <f t="shared" si="287"/>
        <v>0</v>
      </c>
      <c r="AL102" s="35"/>
      <c r="AM102" s="35"/>
      <c r="AN102" s="35"/>
      <c r="AO102" s="35"/>
      <c r="AP102" s="35"/>
      <c r="AQ102" s="35"/>
      <c r="AR102" s="35"/>
      <c r="AS102" s="5">
        <f t="shared" si="289"/>
        <v>0</v>
      </c>
      <c r="AU102" s="35"/>
      <c r="AV102" s="35"/>
      <c r="AW102" s="35"/>
      <c r="AX102" s="35"/>
      <c r="AY102" s="35"/>
      <c r="AZ102" s="35"/>
      <c r="BA102" s="35"/>
      <c r="BB102" s="5">
        <f t="shared" si="291"/>
        <v>0</v>
      </c>
      <c r="BD102" s="35"/>
      <c r="BE102" s="35"/>
      <c r="BF102" s="35"/>
      <c r="BG102" s="35"/>
      <c r="BH102" s="35"/>
      <c r="BI102" s="35"/>
      <c r="BJ102" s="35"/>
      <c r="BK102" s="5">
        <f t="shared" si="293"/>
        <v>0</v>
      </c>
      <c r="BM102" s="35"/>
      <c r="BN102" s="35"/>
      <c r="BO102" s="35"/>
      <c r="BP102" s="35"/>
      <c r="BQ102" s="35"/>
      <c r="BR102" s="35"/>
      <c r="BS102" s="35"/>
      <c r="BT102" s="5">
        <f t="shared" si="295"/>
        <v>0</v>
      </c>
      <c r="BV102" s="5">
        <f t="shared" si="296"/>
        <v>0</v>
      </c>
      <c r="BW102" s="5">
        <f t="shared" si="297"/>
        <v>0</v>
      </c>
      <c r="BX102" s="5">
        <f t="shared" si="298"/>
        <v>0</v>
      </c>
      <c r="BY102" s="5">
        <f t="shared" si="299"/>
        <v>0</v>
      </c>
      <c r="BZ102" s="5">
        <f t="shared" si="300"/>
        <v>0</v>
      </c>
      <c r="CA102" s="5">
        <f t="shared" si="301"/>
        <v>0</v>
      </c>
      <c r="CB102" s="35"/>
      <c r="CC102" s="5">
        <f t="shared" si="303"/>
        <v>0</v>
      </c>
    </row>
    <row r="103" spans="1:81" ht="15">
      <c r="A103" s="54" t="s">
        <v>97</v>
      </c>
      <c r="B103" s="55">
        <f>SUM(B99:B102)</f>
        <v>0</v>
      </c>
      <c r="C103" s="55">
        <f t="shared" ref="C103:I103" si="304">SUM(C99:C102)</f>
        <v>0</v>
      </c>
      <c r="D103" s="55">
        <f t="shared" si="304"/>
        <v>0</v>
      </c>
      <c r="E103" s="55">
        <f t="shared" si="304"/>
        <v>0</v>
      </c>
      <c r="F103" s="55">
        <f t="shared" si="304"/>
        <v>0</v>
      </c>
      <c r="G103" s="55">
        <f t="shared" si="304"/>
        <v>0</v>
      </c>
      <c r="H103" s="55">
        <f t="shared" si="304"/>
        <v>0</v>
      </c>
      <c r="I103" s="55">
        <f t="shared" si="304"/>
        <v>0</v>
      </c>
      <c r="J103" s="7"/>
      <c r="K103" s="55">
        <f>SUM(K99:K102)</f>
        <v>0</v>
      </c>
      <c r="L103" s="55">
        <f t="shared" ref="L103:R103" si="305">SUM(L99:L102)</f>
        <v>0</v>
      </c>
      <c r="M103" s="55">
        <f t="shared" si="305"/>
        <v>0</v>
      </c>
      <c r="N103" s="55">
        <f t="shared" si="305"/>
        <v>0</v>
      </c>
      <c r="O103" s="55">
        <f t="shared" si="305"/>
        <v>0</v>
      </c>
      <c r="P103" s="55">
        <f t="shared" si="305"/>
        <v>0</v>
      </c>
      <c r="Q103" s="55">
        <f t="shared" si="305"/>
        <v>0</v>
      </c>
      <c r="R103" s="55">
        <f t="shared" si="305"/>
        <v>0</v>
      </c>
      <c r="T103" s="55">
        <f>SUM(T99:T102)</f>
        <v>0</v>
      </c>
      <c r="U103" s="55">
        <f t="shared" ref="U103:AA103" si="306">SUM(U99:U102)</f>
        <v>0</v>
      </c>
      <c r="V103" s="55">
        <f t="shared" si="306"/>
        <v>0</v>
      </c>
      <c r="W103" s="55">
        <f t="shared" si="306"/>
        <v>0</v>
      </c>
      <c r="X103" s="55">
        <f t="shared" si="306"/>
        <v>0</v>
      </c>
      <c r="Y103" s="55">
        <f t="shared" si="306"/>
        <v>0</v>
      </c>
      <c r="Z103" s="55">
        <f t="shared" si="306"/>
        <v>0</v>
      </c>
      <c r="AA103" s="55">
        <f t="shared" si="306"/>
        <v>0</v>
      </c>
      <c r="AC103" s="55">
        <f>SUM(AC99:AC102)</f>
        <v>0</v>
      </c>
      <c r="AD103" s="55">
        <f t="shared" ref="AD103:AJ103" si="307">SUM(AD99:AD102)</f>
        <v>0</v>
      </c>
      <c r="AE103" s="55">
        <f t="shared" si="307"/>
        <v>0</v>
      </c>
      <c r="AF103" s="55">
        <f t="shared" si="307"/>
        <v>120000</v>
      </c>
      <c r="AG103" s="55">
        <f t="shared" si="307"/>
        <v>0</v>
      </c>
      <c r="AH103" s="55">
        <f t="shared" si="307"/>
        <v>0</v>
      </c>
      <c r="AI103" s="55">
        <f t="shared" si="307"/>
        <v>0</v>
      </c>
      <c r="AJ103" s="55">
        <f t="shared" si="307"/>
        <v>120000</v>
      </c>
      <c r="AL103" s="55">
        <f>SUM(AL99:AL102)</f>
        <v>0</v>
      </c>
      <c r="AM103" s="55">
        <f t="shared" ref="AM103:AS103" si="308">SUM(AM99:AM102)</f>
        <v>0</v>
      </c>
      <c r="AN103" s="55">
        <f t="shared" si="308"/>
        <v>0</v>
      </c>
      <c r="AO103" s="55">
        <f t="shared" si="308"/>
        <v>425869</v>
      </c>
      <c r="AP103" s="55">
        <f t="shared" si="308"/>
        <v>0</v>
      </c>
      <c r="AQ103" s="55">
        <f t="shared" si="308"/>
        <v>0</v>
      </c>
      <c r="AR103" s="55">
        <f t="shared" si="308"/>
        <v>0</v>
      </c>
      <c r="AS103" s="55">
        <f t="shared" si="308"/>
        <v>425869</v>
      </c>
      <c r="AU103" s="55">
        <f>SUM(AU99:AU102)</f>
        <v>0</v>
      </c>
      <c r="AV103" s="55">
        <f t="shared" ref="AV103:BB103" si="309">SUM(AV99:AV102)</f>
        <v>0</v>
      </c>
      <c r="AW103" s="55">
        <f t="shared" si="309"/>
        <v>0</v>
      </c>
      <c r="AX103" s="55">
        <f t="shared" si="309"/>
        <v>0</v>
      </c>
      <c r="AY103" s="55">
        <f t="shared" si="309"/>
        <v>0</v>
      </c>
      <c r="AZ103" s="55">
        <f t="shared" si="309"/>
        <v>0</v>
      </c>
      <c r="BA103" s="55">
        <f t="shared" si="309"/>
        <v>0</v>
      </c>
      <c r="BB103" s="55">
        <f t="shared" si="309"/>
        <v>0</v>
      </c>
      <c r="BD103" s="55">
        <f>SUM(BD99:BD102)</f>
        <v>0</v>
      </c>
      <c r="BE103" s="55">
        <f t="shared" ref="BE103:BK103" si="310">SUM(BE99:BE102)</f>
        <v>0</v>
      </c>
      <c r="BF103" s="55">
        <f t="shared" si="310"/>
        <v>0</v>
      </c>
      <c r="BG103" s="55">
        <f t="shared" si="310"/>
        <v>425000</v>
      </c>
      <c r="BH103" s="55">
        <f t="shared" si="310"/>
        <v>0</v>
      </c>
      <c r="BI103" s="55">
        <f t="shared" si="310"/>
        <v>0</v>
      </c>
      <c r="BJ103" s="55">
        <f t="shared" si="310"/>
        <v>0</v>
      </c>
      <c r="BK103" s="55">
        <f t="shared" si="310"/>
        <v>425000</v>
      </c>
      <c r="BM103" s="55">
        <f>SUM(BM99:BM102)</f>
        <v>0</v>
      </c>
      <c r="BN103" s="55">
        <f t="shared" ref="BN103:BT103" si="311">SUM(BN99:BN102)</f>
        <v>0</v>
      </c>
      <c r="BO103" s="55">
        <f t="shared" si="311"/>
        <v>0</v>
      </c>
      <c r="BP103" s="55">
        <f t="shared" si="311"/>
        <v>365000</v>
      </c>
      <c r="BQ103" s="55">
        <f t="shared" si="311"/>
        <v>0</v>
      </c>
      <c r="BR103" s="55">
        <f t="shared" si="311"/>
        <v>0</v>
      </c>
      <c r="BS103" s="55">
        <f t="shared" si="311"/>
        <v>0</v>
      </c>
      <c r="BT103" s="55">
        <f t="shared" si="311"/>
        <v>365000</v>
      </c>
      <c r="BV103" s="55">
        <f>SUM(BV99:BV102)</f>
        <v>0</v>
      </c>
      <c r="BW103" s="55">
        <f t="shared" ref="BW103:CC103" si="312">SUM(BW99:BW102)</f>
        <v>0</v>
      </c>
      <c r="BX103" s="55">
        <f t="shared" si="312"/>
        <v>0</v>
      </c>
      <c r="BY103" s="55">
        <f t="shared" si="312"/>
        <v>1335869</v>
      </c>
      <c r="BZ103" s="55">
        <f t="shared" si="312"/>
        <v>0</v>
      </c>
      <c r="CA103" s="55">
        <f t="shared" si="312"/>
        <v>0</v>
      </c>
      <c r="CB103" s="55">
        <f t="shared" si="312"/>
        <v>0</v>
      </c>
      <c r="CC103" s="55">
        <f t="shared" si="312"/>
        <v>1335869</v>
      </c>
    </row>
    <row r="104" spans="1:81" ht="15" thickBot="1">
      <c r="A104" s="29"/>
      <c r="B104" s="42"/>
      <c r="C104" s="42"/>
      <c r="D104" s="42"/>
      <c r="E104" s="42"/>
      <c r="F104" s="42"/>
      <c r="G104" s="42"/>
      <c r="H104" s="42"/>
      <c r="I104" s="42"/>
      <c r="J104" s="7"/>
      <c r="K104" s="42"/>
      <c r="L104" s="42"/>
      <c r="M104" s="42"/>
      <c r="N104" s="42"/>
      <c r="O104" s="42"/>
      <c r="P104" s="42"/>
      <c r="Q104" s="42"/>
      <c r="R104" s="42"/>
      <c r="T104" s="42"/>
      <c r="U104" s="42"/>
      <c r="V104" s="42"/>
      <c r="W104" s="42"/>
      <c r="X104" s="42"/>
      <c r="Y104" s="42"/>
      <c r="Z104" s="42"/>
      <c r="AA104" s="42"/>
      <c r="AC104" s="42"/>
      <c r="AD104" s="42"/>
      <c r="AE104" s="42"/>
      <c r="AF104" s="42"/>
      <c r="AG104" s="42"/>
      <c r="AH104" s="42"/>
      <c r="AI104" s="42"/>
      <c r="AJ104" s="42"/>
      <c r="AL104" s="42"/>
      <c r="AM104" s="42"/>
      <c r="AN104" s="42"/>
      <c r="AO104" s="42"/>
      <c r="AP104" s="42"/>
      <c r="AQ104" s="42"/>
      <c r="AR104" s="42"/>
      <c r="AS104" s="42"/>
      <c r="AU104" s="42"/>
      <c r="AV104" s="42"/>
      <c r="AW104" s="42"/>
      <c r="AX104" s="42"/>
      <c r="AY104" s="42"/>
      <c r="AZ104" s="42"/>
      <c r="BA104" s="42"/>
      <c r="BB104" s="42"/>
      <c r="BD104" s="42"/>
      <c r="BE104" s="42"/>
      <c r="BF104" s="42"/>
      <c r="BG104" s="42"/>
      <c r="BH104" s="42"/>
      <c r="BI104" s="42"/>
      <c r="BJ104" s="42"/>
      <c r="BK104" s="42"/>
      <c r="BM104" s="42"/>
      <c r="BN104" s="42"/>
      <c r="BO104" s="42"/>
      <c r="BP104" s="42"/>
      <c r="BQ104" s="42"/>
      <c r="BR104" s="42"/>
      <c r="BS104" s="42"/>
      <c r="BT104" s="42"/>
      <c r="BV104" s="42"/>
      <c r="BW104" s="42"/>
      <c r="BX104" s="42"/>
      <c r="BY104" s="42"/>
      <c r="BZ104" s="42"/>
      <c r="CA104" s="42"/>
      <c r="CB104" s="42"/>
      <c r="CC104" s="42"/>
    </row>
    <row r="105" spans="1:81" ht="15.75" thickBot="1">
      <c r="A105" s="60" t="s">
        <v>98</v>
      </c>
      <c r="B105" s="61" t="str">
        <f t="shared" ref="B105:I105" si="313">B1</f>
        <v>Operating</v>
      </c>
      <c r="C105" s="61" t="str">
        <f t="shared" si="313"/>
        <v>SPED</v>
      </c>
      <c r="D105" s="61" t="str">
        <f t="shared" si="313"/>
        <v>NSLP</v>
      </c>
      <c r="E105" s="61" t="str">
        <f t="shared" si="313"/>
        <v>Other</v>
      </c>
      <c r="F105" s="61" t="str">
        <f t="shared" si="313"/>
        <v>Title I</v>
      </c>
      <c r="G105" s="61" t="str">
        <f t="shared" si="313"/>
        <v>SGF</v>
      </c>
      <c r="H105" s="61" t="str">
        <f t="shared" si="313"/>
        <v>Title III</v>
      </c>
      <c r="I105" s="61" t="str">
        <f t="shared" si="313"/>
        <v>Horizon</v>
      </c>
      <c r="J105" s="7"/>
      <c r="K105" s="61" t="str">
        <f t="shared" ref="K105:R105" si="314">K1</f>
        <v>Operating</v>
      </c>
      <c r="L105" s="61" t="str">
        <f t="shared" si="314"/>
        <v>SPED</v>
      </c>
      <c r="M105" s="61" t="str">
        <f t="shared" si="314"/>
        <v>NSLP</v>
      </c>
      <c r="N105" s="61" t="str">
        <f t="shared" si="314"/>
        <v>Other</v>
      </c>
      <c r="O105" s="61" t="str">
        <f t="shared" si="314"/>
        <v>Title I</v>
      </c>
      <c r="P105" s="61" t="str">
        <f t="shared" si="314"/>
        <v>SGF</v>
      </c>
      <c r="Q105" s="61" t="str">
        <f t="shared" si="314"/>
        <v>Title III</v>
      </c>
      <c r="R105" s="61" t="str">
        <f t="shared" si="314"/>
        <v>St. Rose</v>
      </c>
      <c r="T105" s="61" t="str">
        <f t="shared" ref="T105:AA105" si="315">T1</f>
        <v>Operating</v>
      </c>
      <c r="U105" s="61" t="str">
        <f t="shared" si="315"/>
        <v>SPED</v>
      </c>
      <c r="V105" s="61" t="str">
        <f t="shared" si="315"/>
        <v>NSLP</v>
      </c>
      <c r="W105" s="61" t="str">
        <f t="shared" si="315"/>
        <v>Other</v>
      </c>
      <c r="X105" s="61" t="str">
        <f t="shared" si="315"/>
        <v>Title I</v>
      </c>
      <c r="Y105" s="61" t="str">
        <f t="shared" si="315"/>
        <v>SGF</v>
      </c>
      <c r="Z105" s="61" t="str">
        <f t="shared" si="315"/>
        <v>Title III</v>
      </c>
      <c r="AA105" s="61" t="str">
        <f t="shared" si="315"/>
        <v>Inspirada</v>
      </c>
      <c r="AC105" s="61" t="str">
        <f t="shared" ref="AC105:AJ105" si="316">AC1</f>
        <v>Operating</v>
      </c>
      <c r="AD105" s="61" t="str">
        <f t="shared" si="316"/>
        <v>SPED</v>
      </c>
      <c r="AE105" s="61" t="str">
        <f t="shared" si="316"/>
        <v>NSLP</v>
      </c>
      <c r="AF105" s="61" t="str">
        <f t="shared" si="316"/>
        <v>Other</v>
      </c>
      <c r="AG105" s="61" t="str">
        <f t="shared" si="316"/>
        <v>Title I</v>
      </c>
      <c r="AH105" s="61" t="str">
        <f t="shared" si="316"/>
        <v>SGF</v>
      </c>
      <c r="AI105" s="61" t="str">
        <f t="shared" si="316"/>
        <v>Title III</v>
      </c>
      <c r="AJ105" s="61" t="str">
        <f t="shared" si="316"/>
        <v>Cadence</v>
      </c>
      <c r="AL105" s="61" t="str">
        <f t="shared" ref="AL105:AS105" si="317">AL1</f>
        <v>Operating</v>
      </c>
      <c r="AM105" s="61" t="str">
        <f t="shared" si="317"/>
        <v>SPED</v>
      </c>
      <c r="AN105" s="61" t="str">
        <f t="shared" si="317"/>
        <v>NSLP</v>
      </c>
      <c r="AO105" s="61" t="str">
        <f t="shared" si="317"/>
        <v>Other</v>
      </c>
      <c r="AP105" s="61" t="str">
        <f t="shared" si="317"/>
        <v>Title I</v>
      </c>
      <c r="AQ105" s="61" t="str">
        <f t="shared" si="317"/>
        <v>SGF</v>
      </c>
      <c r="AR105" s="61" t="str">
        <f t="shared" si="317"/>
        <v>Title III</v>
      </c>
      <c r="AS105" s="61" t="str">
        <f t="shared" si="317"/>
        <v>Sloan</v>
      </c>
      <c r="AU105" s="61" t="str">
        <f t="shared" ref="AU105:BB105" si="318">AU1</f>
        <v>Operating</v>
      </c>
      <c r="AV105" s="61" t="str">
        <f t="shared" si="318"/>
        <v>SPED</v>
      </c>
      <c r="AW105" s="61" t="str">
        <f t="shared" si="318"/>
        <v>NSLP</v>
      </c>
      <c r="AX105" s="61" t="str">
        <f t="shared" si="318"/>
        <v>Other</v>
      </c>
      <c r="AY105" s="61" t="str">
        <f t="shared" si="318"/>
        <v>Title I</v>
      </c>
      <c r="AZ105" s="61" t="str">
        <f t="shared" si="318"/>
        <v>SGF</v>
      </c>
      <c r="BA105" s="61" t="str">
        <f t="shared" si="318"/>
        <v>Title III</v>
      </c>
      <c r="BB105" s="61" t="str">
        <f t="shared" si="318"/>
        <v>Virtual</v>
      </c>
      <c r="BD105" s="61" t="str">
        <f t="shared" ref="BD105:BK105" si="319">BD1</f>
        <v>Operating</v>
      </c>
      <c r="BE105" s="61" t="str">
        <f t="shared" si="319"/>
        <v>SPED</v>
      </c>
      <c r="BF105" s="61" t="str">
        <f t="shared" si="319"/>
        <v>NSLP</v>
      </c>
      <c r="BG105" s="61" t="str">
        <f t="shared" si="319"/>
        <v>Other</v>
      </c>
      <c r="BH105" s="61" t="str">
        <f t="shared" si="319"/>
        <v>Title I</v>
      </c>
      <c r="BI105" s="61" t="str">
        <f t="shared" si="319"/>
        <v>SGF</v>
      </c>
      <c r="BJ105" s="61" t="str">
        <f t="shared" si="319"/>
        <v>Title III</v>
      </c>
      <c r="BK105" s="61" t="str">
        <f t="shared" si="319"/>
        <v>Springs</v>
      </c>
      <c r="BM105" s="61" t="str">
        <f t="shared" ref="BM105:BT105" si="320">BM1</f>
        <v>Operating</v>
      </c>
      <c r="BN105" s="61" t="str">
        <f t="shared" si="320"/>
        <v>SPED</v>
      </c>
      <c r="BO105" s="61" t="str">
        <f t="shared" si="320"/>
        <v>NSLP</v>
      </c>
      <c r="BP105" s="61" t="str">
        <f t="shared" si="320"/>
        <v>Other</v>
      </c>
      <c r="BQ105" s="61" t="str">
        <f t="shared" si="320"/>
        <v>Title I</v>
      </c>
      <c r="BR105" s="61" t="str">
        <f t="shared" si="320"/>
        <v>SGF</v>
      </c>
      <c r="BS105" s="61" t="str">
        <f t="shared" si="320"/>
        <v>Title III</v>
      </c>
      <c r="BT105" s="61" t="str">
        <f t="shared" si="320"/>
        <v>Exec. Office</v>
      </c>
      <c r="BV105" s="61" t="str">
        <f t="shared" ref="BV105:CC105" si="321">BV1</f>
        <v>Operating</v>
      </c>
      <c r="BW105" s="61" t="str">
        <f t="shared" si="321"/>
        <v>SPED</v>
      </c>
      <c r="BX105" s="61" t="str">
        <f t="shared" si="321"/>
        <v>NSLP</v>
      </c>
      <c r="BY105" s="61" t="str">
        <f t="shared" si="321"/>
        <v>Other</v>
      </c>
      <c r="BZ105" s="61" t="str">
        <f t="shared" si="321"/>
        <v>Title I</v>
      </c>
      <c r="CA105" s="61" t="str">
        <f t="shared" si="321"/>
        <v>SGF</v>
      </c>
      <c r="CB105" s="61" t="str">
        <f t="shared" si="321"/>
        <v>Title III</v>
      </c>
      <c r="CC105" s="61" t="str">
        <f t="shared" si="321"/>
        <v>Systemwide</v>
      </c>
    </row>
    <row r="106" spans="1:81" ht="15">
      <c r="A106" s="48" t="s">
        <v>99</v>
      </c>
      <c r="B106" s="49"/>
      <c r="C106" s="49"/>
      <c r="D106" s="49"/>
      <c r="E106" s="49"/>
      <c r="F106" s="49"/>
      <c r="G106" s="49"/>
      <c r="H106" s="49"/>
      <c r="I106" s="50"/>
      <c r="J106" s="7"/>
      <c r="K106" s="49"/>
      <c r="L106" s="49"/>
      <c r="M106" s="49"/>
      <c r="N106" s="49"/>
      <c r="O106" s="49"/>
      <c r="P106" s="49"/>
      <c r="Q106" s="49"/>
      <c r="R106" s="50"/>
      <c r="T106" s="49"/>
      <c r="U106" s="49"/>
      <c r="V106" s="49"/>
      <c r="W106" s="49"/>
      <c r="X106" s="49"/>
      <c r="Y106" s="49"/>
      <c r="Z106" s="49"/>
      <c r="AA106" s="50"/>
      <c r="AC106" s="49"/>
      <c r="AD106" s="49"/>
      <c r="AE106" s="49"/>
      <c r="AF106" s="49"/>
      <c r="AG106" s="49"/>
      <c r="AH106" s="49"/>
      <c r="AI106" s="49"/>
      <c r="AJ106" s="50"/>
      <c r="AL106" s="49"/>
      <c r="AM106" s="49"/>
      <c r="AN106" s="49"/>
      <c r="AO106" s="49"/>
      <c r="AP106" s="49"/>
      <c r="AQ106" s="49"/>
      <c r="AR106" s="49"/>
      <c r="AS106" s="50"/>
      <c r="AU106" s="49"/>
      <c r="AV106" s="49"/>
      <c r="AW106" s="49"/>
      <c r="AX106" s="49"/>
      <c r="AY106" s="49"/>
      <c r="AZ106" s="49"/>
      <c r="BA106" s="49"/>
      <c r="BB106" s="50"/>
      <c r="BD106" s="49"/>
      <c r="BE106" s="49"/>
      <c r="BF106" s="49"/>
      <c r="BG106" s="49"/>
      <c r="BH106" s="49"/>
      <c r="BI106" s="49"/>
      <c r="BJ106" s="49"/>
      <c r="BK106" s="50"/>
      <c r="BM106" s="49"/>
      <c r="BN106" s="49"/>
      <c r="BO106" s="49"/>
      <c r="BP106" s="49"/>
      <c r="BQ106" s="49"/>
      <c r="BR106" s="49"/>
      <c r="BS106" s="49"/>
      <c r="BT106" s="50"/>
      <c r="BV106" s="49"/>
      <c r="BW106" s="49"/>
      <c r="BX106" s="49"/>
      <c r="BY106" s="49"/>
      <c r="BZ106" s="49"/>
      <c r="CA106" s="49"/>
      <c r="CB106" s="49"/>
      <c r="CC106" s="50"/>
    </row>
    <row r="107" spans="1:81">
      <c r="A107" s="29" t="s">
        <v>40</v>
      </c>
      <c r="B107" s="62">
        <f>118450*1.15</f>
        <v>136217.5</v>
      </c>
      <c r="C107" s="11"/>
      <c r="D107" s="5"/>
      <c r="E107" s="5"/>
      <c r="F107" s="5"/>
      <c r="G107" s="5"/>
      <c r="H107" s="5"/>
      <c r="I107" s="5">
        <f t="shared" ref="I107:I120" si="322">SUM(B107:H107)</f>
        <v>136217.5</v>
      </c>
      <c r="K107" s="62">
        <f>115360*1.15</f>
        <v>132664</v>
      </c>
      <c r="L107" s="11"/>
      <c r="M107" s="5"/>
      <c r="N107" s="5"/>
      <c r="O107" s="5"/>
      <c r="P107" s="5"/>
      <c r="Q107" s="5"/>
      <c r="R107" s="5">
        <f t="shared" ref="R107:R120" si="323">SUM(K107:Q107)</f>
        <v>132664</v>
      </c>
      <c r="T107" s="11">
        <f>142000*1.15</f>
        <v>163300</v>
      </c>
      <c r="U107" s="5"/>
      <c r="V107" s="5"/>
      <c r="W107" s="5"/>
      <c r="X107" s="5"/>
      <c r="Y107" s="5"/>
      <c r="Z107" s="5"/>
      <c r="AA107" s="5">
        <f t="shared" ref="AA107:AA120" si="324">SUM(T107:Z107)</f>
        <v>163300</v>
      </c>
      <c r="AC107" s="62">
        <f>120000*1.15</f>
        <v>138000</v>
      </c>
      <c r="AD107" s="11"/>
      <c r="AE107" s="5"/>
      <c r="AF107" s="5"/>
      <c r="AG107" s="5"/>
      <c r="AH107" s="5"/>
      <c r="AI107" s="5"/>
      <c r="AJ107" s="5">
        <f t="shared" ref="AJ107:AJ120" si="325">SUM(AC107:AI107)</f>
        <v>138000</v>
      </c>
      <c r="AL107" s="62">
        <f>138500*1.15</f>
        <v>159275</v>
      </c>
      <c r="AM107" s="11"/>
      <c r="AN107" s="5"/>
      <c r="AO107" s="5"/>
      <c r="AP107" s="5"/>
      <c r="AQ107" s="5"/>
      <c r="AR107" s="5"/>
      <c r="AS107" s="5">
        <f t="shared" ref="AS107:AS120" si="326">SUM(AL107:AR107)</f>
        <v>159275</v>
      </c>
      <c r="AU107" s="62"/>
      <c r="AV107" s="11"/>
      <c r="AW107" s="5"/>
      <c r="AX107" s="5"/>
      <c r="AY107" s="5"/>
      <c r="AZ107" s="5"/>
      <c r="BA107" s="5"/>
      <c r="BB107" s="5">
        <f t="shared" ref="BB107:BB120" si="327">SUM(AU107:BA107)</f>
        <v>0</v>
      </c>
      <c r="BD107" s="62">
        <v>0</v>
      </c>
      <c r="BE107" s="11"/>
      <c r="BF107" s="5"/>
      <c r="BG107" s="5"/>
      <c r="BH107" s="5"/>
      <c r="BI107" s="5"/>
      <c r="BJ107" s="5"/>
      <c r="BK107" s="5">
        <f t="shared" ref="BK107:BK120" si="328">SUM(BD107:BJ107)</f>
        <v>0</v>
      </c>
      <c r="BM107" s="62">
        <v>0</v>
      </c>
      <c r="BN107" s="11"/>
      <c r="BO107" s="5"/>
      <c r="BP107" s="5"/>
      <c r="BQ107" s="5"/>
      <c r="BR107" s="5"/>
      <c r="BS107" s="5"/>
      <c r="BT107" s="5">
        <f t="shared" ref="BT107:BT120" si="329">SUM(BM107:BS107)</f>
        <v>0</v>
      </c>
      <c r="BV107" s="5">
        <f t="shared" ref="BV107" si="330">B107+K107+T107+AC107+AL107+AU107+BD107+BM107</f>
        <v>729456.5</v>
      </c>
      <c r="BW107" s="5">
        <f t="shared" ref="BW107" si="331">C107+L107+U107+AD107+AM107+AV107+BE107+BN107</f>
        <v>0</v>
      </c>
      <c r="BX107" s="5">
        <f t="shared" ref="BX107" si="332">D107+M107+V107+AE107+AN107+AW107+BF107+BO107</f>
        <v>0</v>
      </c>
      <c r="BY107" s="5">
        <f t="shared" ref="BY107" si="333">E107+N107+W107+AF107+AO107+AX107+BG107+BP107</f>
        <v>0</v>
      </c>
      <c r="BZ107" s="5">
        <f t="shared" ref="BZ107" si="334">F107+O107+X107+AG107+AP107+AY107+BH107+BQ107</f>
        <v>0</v>
      </c>
      <c r="CA107" s="5">
        <f t="shared" ref="CA107" si="335">G107+P107+Y107+AH107+AQ107+AZ107+BI107+BR107</f>
        <v>0</v>
      </c>
      <c r="CB107" s="5"/>
      <c r="CC107" s="5">
        <f t="shared" ref="CC107:CC120" si="336">SUM(BV107:CB107)</f>
        <v>729456.5</v>
      </c>
    </row>
    <row r="108" spans="1:81">
      <c r="A108" s="29" t="s">
        <v>100</v>
      </c>
      <c r="B108" s="62">
        <f>(90000+90000+80500)*1.2</f>
        <v>312600</v>
      </c>
      <c r="C108" s="11"/>
      <c r="D108" s="5"/>
      <c r="E108" s="5"/>
      <c r="F108" s="5"/>
      <c r="G108" s="5"/>
      <c r="H108" s="5"/>
      <c r="I108" s="5">
        <f t="shared" si="322"/>
        <v>312600</v>
      </c>
      <c r="K108" s="5">
        <f>(90000+90000+90000)*1.2</f>
        <v>324000</v>
      </c>
      <c r="L108" s="11"/>
      <c r="M108" s="5"/>
      <c r="N108" s="5"/>
      <c r="O108" s="5"/>
      <c r="P108" s="5"/>
      <c r="Q108" s="5"/>
      <c r="R108" s="5">
        <f t="shared" si="323"/>
        <v>324000</v>
      </c>
      <c r="T108" s="5">
        <f>(100000+90000+85000)*1.2</f>
        <v>330000</v>
      </c>
      <c r="U108" s="5"/>
      <c r="V108" s="5"/>
      <c r="W108" s="5"/>
      <c r="X108" s="5"/>
      <c r="Y108" s="5"/>
      <c r="Z108" s="5"/>
      <c r="AA108" s="5">
        <f t="shared" si="324"/>
        <v>330000</v>
      </c>
      <c r="AC108" s="5">
        <f>(87000+90000+87000+90000+90000)*1.2</f>
        <v>532800</v>
      </c>
      <c r="AD108" s="11"/>
      <c r="AE108" s="5"/>
      <c r="AF108" s="5"/>
      <c r="AG108" s="5"/>
      <c r="AH108" s="5"/>
      <c r="AI108" s="5"/>
      <c r="AJ108" s="5">
        <f t="shared" si="325"/>
        <v>532800</v>
      </c>
      <c r="AL108" s="5">
        <f>(105000+90000+90500+90000)*1.2</f>
        <v>450600</v>
      </c>
      <c r="AM108" s="11"/>
      <c r="AN108" s="5"/>
      <c r="AO108" s="5"/>
      <c r="AP108" s="5"/>
      <c r="AQ108" s="5"/>
      <c r="AR108" s="5"/>
      <c r="AS108" s="5">
        <f t="shared" si="326"/>
        <v>450600</v>
      </c>
      <c r="AU108" s="62"/>
      <c r="AV108" s="11"/>
      <c r="AW108" s="5"/>
      <c r="AX108" s="5"/>
      <c r="AY108" s="5"/>
      <c r="AZ108" s="5"/>
      <c r="BA108" s="5"/>
      <c r="BB108" s="5">
        <f t="shared" si="327"/>
        <v>0</v>
      </c>
      <c r="BD108" s="5">
        <f>100000*1.1</f>
        <v>110000.00000000001</v>
      </c>
      <c r="BE108" s="11"/>
      <c r="BF108" s="5"/>
      <c r="BG108" s="5"/>
      <c r="BH108" s="5"/>
      <c r="BI108" s="5"/>
      <c r="BJ108" s="5"/>
      <c r="BK108" s="5">
        <f t="shared" si="328"/>
        <v>110000.00000000001</v>
      </c>
      <c r="BM108" s="62">
        <v>0</v>
      </c>
      <c r="BN108" s="11"/>
      <c r="BO108" s="5"/>
      <c r="BP108" s="5"/>
      <c r="BQ108" s="5"/>
      <c r="BR108" s="5"/>
      <c r="BS108" s="5"/>
      <c r="BT108" s="5">
        <f t="shared" si="329"/>
        <v>0</v>
      </c>
      <c r="BV108" s="5">
        <f t="shared" ref="BV108:BV120" si="337">B108+K108+T108+AC108+AL108+AU108+BD108+BM108</f>
        <v>2060000</v>
      </c>
      <c r="BW108" s="5">
        <f t="shared" ref="BW108:BW120" si="338">C108+L108+U108+AD108+AM108+AV108+BE108+BN108</f>
        <v>0</v>
      </c>
      <c r="BX108" s="5">
        <f t="shared" ref="BX108:BX120" si="339">D108+M108+V108+AE108+AN108+AW108+BF108+BO108</f>
        <v>0</v>
      </c>
      <c r="BY108" s="5">
        <f t="shared" ref="BY108:BY120" si="340">E108+N108+W108+AF108+AO108+AX108+BG108+BP108</f>
        <v>0</v>
      </c>
      <c r="BZ108" s="5">
        <f t="shared" ref="BZ108:BZ120" si="341">F108+O108+X108+AG108+AP108+AY108+BH108+BQ108</f>
        <v>0</v>
      </c>
      <c r="CA108" s="5">
        <f t="shared" ref="CA108:CA120" si="342">G108+P108+Y108+AH108+AQ108+AZ108+BI108+BR108</f>
        <v>0</v>
      </c>
      <c r="CB108" s="5"/>
      <c r="CC108" s="5">
        <f t="shared" si="336"/>
        <v>2060000</v>
      </c>
    </row>
    <row r="109" spans="1:81">
      <c r="A109" s="29" t="s">
        <v>42</v>
      </c>
      <c r="B109" s="62">
        <v>0</v>
      </c>
      <c r="C109" s="11"/>
      <c r="D109" s="5"/>
      <c r="E109" s="5"/>
      <c r="F109" s="5"/>
      <c r="G109" s="5"/>
      <c r="H109" s="5"/>
      <c r="I109" s="5">
        <f t="shared" si="322"/>
        <v>0</v>
      </c>
      <c r="K109" s="62">
        <v>0</v>
      </c>
      <c r="L109" s="11"/>
      <c r="M109" s="5"/>
      <c r="N109" s="5"/>
      <c r="O109" s="5"/>
      <c r="P109" s="5"/>
      <c r="Q109" s="5"/>
      <c r="R109" s="5">
        <f t="shared" si="323"/>
        <v>0</v>
      </c>
      <c r="T109" s="5">
        <v>0</v>
      </c>
      <c r="U109" s="5"/>
      <c r="V109" s="5"/>
      <c r="W109" s="5"/>
      <c r="X109" s="5"/>
      <c r="Y109" s="5"/>
      <c r="Z109" s="5"/>
      <c r="AA109" s="5">
        <f t="shared" si="324"/>
        <v>0</v>
      </c>
      <c r="AC109" s="62">
        <v>0</v>
      </c>
      <c r="AD109" s="11"/>
      <c r="AE109" s="5"/>
      <c r="AF109" s="5"/>
      <c r="AG109" s="5"/>
      <c r="AH109" s="5"/>
      <c r="AI109" s="5"/>
      <c r="AJ109" s="5">
        <f t="shared" si="325"/>
        <v>0</v>
      </c>
      <c r="AL109" s="62">
        <v>0</v>
      </c>
      <c r="AM109" s="11"/>
      <c r="AN109" s="5"/>
      <c r="AO109" s="5"/>
      <c r="AP109" s="5"/>
      <c r="AQ109" s="5"/>
      <c r="AR109" s="5"/>
      <c r="AS109" s="5">
        <f t="shared" si="326"/>
        <v>0</v>
      </c>
      <c r="AU109" s="62"/>
      <c r="AV109" s="11"/>
      <c r="AW109" s="5"/>
      <c r="AX109" s="5"/>
      <c r="AY109" s="5"/>
      <c r="AZ109" s="5"/>
      <c r="BA109" s="5"/>
      <c r="BB109" s="5">
        <f t="shared" si="327"/>
        <v>0</v>
      </c>
      <c r="BD109" s="62">
        <v>70000</v>
      </c>
      <c r="BE109" s="11"/>
      <c r="BF109" s="5"/>
      <c r="BG109" s="5">
        <v>0</v>
      </c>
      <c r="BH109" s="5"/>
      <c r="BI109" s="5"/>
      <c r="BJ109" s="5"/>
      <c r="BK109" s="5">
        <f t="shared" si="328"/>
        <v>70000</v>
      </c>
      <c r="BM109" s="62">
        <v>0</v>
      </c>
      <c r="BN109" s="11"/>
      <c r="BO109" s="5"/>
      <c r="BP109" s="5"/>
      <c r="BQ109" s="5"/>
      <c r="BR109" s="5"/>
      <c r="BS109" s="5"/>
      <c r="BT109" s="5">
        <f t="shared" si="329"/>
        <v>0</v>
      </c>
      <c r="BV109" s="5">
        <f t="shared" si="337"/>
        <v>70000</v>
      </c>
      <c r="BW109" s="5">
        <f t="shared" si="338"/>
        <v>0</v>
      </c>
      <c r="BX109" s="5">
        <f t="shared" si="339"/>
        <v>0</v>
      </c>
      <c r="BY109" s="5">
        <f t="shared" si="340"/>
        <v>0</v>
      </c>
      <c r="BZ109" s="5">
        <f t="shared" si="341"/>
        <v>0</v>
      </c>
      <c r="CA109" s="5">
        <f t="shared" si="342"/>
        <v>0</v>
      </c>
      <c r="CB109" s="5"/>
      <c r="CC109" s="5">
        <f t="shared" si="336"/>
        <v>70000</v>
      </c>
    </row>
    <row r="110" spans="1:81">
      <c r="A110" s="32" t="s">
        <v>43</v>
      </c>
      <c r="B110" s="62"/>
      <c r="C110" s="11"/>
      <c r="D110" s="5"/>
      <c r="E110" s="5"/>
      <c r="F110" s="5"/>
      <c r="G110" s="5"/>
      <c r="H110" s="5"/>
      <c r="I110" s="5">
        <f t="shared" si="322"/>
        <v>0</v>
      </c>
      <c r="K110" s="62"/>
      <c r="L110" s="11"/>
      <c r="M110" s="5"/>
      <c r="N110" s="5"/>
      <c r="O110" s="5"/>
      <c r="P110" s="5"/>
      <c r="Q110" s="5"/>
      <c r="R110" s="5">
        <f t="shared" si="323"/>
        <v>0</v>
      </c>
      <c r="T110" s="5">
        <v>0</v>
      </c>
      <c r="U110" s="5"/>
      <c r="V110" s="5"/>
      <c r="W110" s="5"/>
      <c r="X110" s="5"/>
      <c r="Y110" s="5"/>
      <c r="Z110" s="5"/>
      <c r="AA110" s="5">
        <f t="shared" si="324"/>
        <v>0</v>
      </c>
      <c r="AC110" s="62">
        <f>78000*AC42</f>
        <v>234000</v>
      </c>
      <c r="AD110" s="11"/>
      <c r="AE110" s="5"/>
      <c r="AF110" s="5"/>
      <c r="AG110" s="5"/>
      <c r="AH110" s="5"/>
      <c r="AI110" s="5"/>
      <c r="AJ110" s="5">
        <f t="shared" si="325"/>
        <v>234000</v>
      </c>
      <c r="AL110" s="62">
        <f>(60000*AL42)*1.2</f>
        <v>216000</v>
      </c>
      <c r="AM110" s="11"/>
      <c r="AN110" s="5"/>
      <c r="AO110" s="5"/>
      <c r="AP110" s="5"/>
      <c r="AQ110" s="5"/>
      <c r="AR110" s="5"/>
      <c r="AS110" s="5">
        <f t="shared" si="326"/>
        <v>216000</v>
      </c>
      <c r="AU110" s="62"/>
      <c r="AV110" s="11"/>
      <c r="AW110" s="5"/>
      <c r="AX110" s="5"/>
      <c r="AY110" s="5"/>
      <c r="AZ110" s="5"/>
      <c r="BA110" s="5"/>
      <c r="BB110" s="5">
        <f t="shared" si="327"/>
        <v>0</v>
      </c>
      <c r="BD110" s="62"/>
      <c r="BE110" s="11"/>
      <c r="BF110" s="5"/>
      <c r="BG110" s="5"/>
      <c r="BH110" s="5"/>
      <c r="BI110" s="5"/>
      <c r="BJ110" s="5"/>
      <c r="BK110" s="5">
        <f t="shared" si="328"/>
        <v>0</v>
      </c>
      <c r="BM110" s="62"/>
      <c r="BN110" s="11"/>
      <c r="BO110" s="5"/>
      <c r="BP110" s="5"/>
      <c r="BQ110" s="5"/>
      <c r="BR110" s="5"/>
      <c r="BS110" s="5"/>
      <c r="BT110" s="5">
        <f t="shared" si="329"/>
        <v>0</v>
      </c>
      <c r="BV110" s="5">
        <f t="shared" si="337"/>
        <v>450000</v>
      </c>
      <c r="BW110" s="5">
        <f t="shared" si="338"/>
        <v>0</v>
      </c>
      <c r="BX110" s="5">
        <f t="shared" si="339"/>
        <v>0</v>
      </c>
      <c r="BY110" s="5">
        <f t="shared" si="340"/>
        <v>0</v>
      </c>
      <c r="BZ110" s="5">
        <f t="shared" si="341"/>
        <v>0</v>
      </c>
      <c r="CA110" s="5">
        <f t="shared" si="342"/>
        <v>0</v>
      </c>
      <c r="CB110" s="5"/>
      <c r="CC110" s="5">
        <f t="shared" si="336"/>
        <v>450000</v>
      </c>
    </row>
    <row r="111" spans="1:81">
      <c r="A111" s="32" t="s">
        <v>44</v>
      </c>
      <c r="B111" s="5">
        <f>67000*1.2+100</f>
        <v>80500</v>
      </c>
      <c r="C111" s="11"/>
      <c r="D111" s="5"/>
      <c r="E111" s="5"/>
      <c r="F111" s="5"/>
      <c r="G111" s="5"/>
      <c r="H111" s="5"/>
      <c r="I111" s="5">
        <f t="shared" si="322"/>
        <v>80500</v>
      </c>
      <c r="K111" s="5">
        <v>80000</v>
      </c>
      <c r="L111" s="11"/>
      <c r="M111" s="5"/>
      <c r="N111" s="5"/>
      <c r="O111" s="5"/>
      <c r="P111" s="5"/>
      <c r="Q111" s="5"/>
      <c r="R111" s="5">
        <f t="shared" si="323"/>
        <v>80000</v>
      </c>
      <c r="T111" s="11">
        <v>80000</v>
      </c>
      <c r="U111" s="5"/>
      <c r="V111" s="5"/>
      <c r="W111" s="5"/>
      <c r="X111" s="5"/>
      <c r="Y111" s="5"/>
      <c r="Z111" s="5"/>
      <c r="AA111" s="5">
        <f t="shared" si="324"/>
        <v>80000</v>
      </c>
      <c r="AC111" s="11">
        <f>(65000+65000)*1.2</f>
        <v>156000</v>
      </c>
      <c r="AD111" s="11"/>
      <c r="AE111" s="5"/>
      <c r="AF111" s="5"/>
      <c r="AG111" s="5"/>
      <c r="AH111" s="5"/>
      <c r="AI111" s="5"/>
      <c r="AJ111" s="5">
        <f t="shared" si="325"/>
        <v>156000</v>
      </c>
      <c r="AL111" s="5">
        <f>(76000+60000)*1.2</f>
        <v>163200</v>
      </c>
      <c r="AM111" s="11"/>
      <c r="AN111" s="5"/>
      <c r="AO111" s="5"/>
      <c r="AP111" s="5"/>
      <c r="AQ111" s="5"/>
      <c r="AR111" s="5"/>
      <c r="AS111" s="5">
        <f t="shared" si="326"/>
        <v>163200</v>
      </c>
      <c r="AU111" s="5">
        <v>85000</v>
      </c>
      <c r="AV111" s="11"/>
      <c r="AW111" s="5"/>
      <c r="AX111" s="5"/>
      <c r="AY111" s="5"/>
      <c r="AZ111" s="5"/>
      <c r="BA111" s="5"/>
      <c r="BB111" s="5">
        <f t="shared" si="327"/>
        <v>85000</v>
      </c>
      <c r="BD111" s="5">
        <v>0</v>
      </c>
      <c r="BE111" s="11"/>
      <c r="BF111" s="5"/>
      <c r="BG111" s="5"/>
      <c r="BH111" s="5"/>
      <c r="BI111" s="5"/>
      <c r="BJ111" s="5"/>
      <c r="BK111" s="5">
        <f t="shared" si="328"/>
        <v>0</v>
      </c>
      <c r="BM111" s="5">
        <f>75000*1.2</f>
        <v>90000</v>
      </c>
      <c r="BN111" s="11"/>
      <c r="BO111" s="5"/>
      <c r="BP111" s="5"/>
      <c r="BQ111" s="5"/>
      <c r="BR111" s="5"/>
      <c r="BS111" s="5"/>
      <c r="BT111" s="5">
        <f t="shared" si="329"/>
        <v>90000</v>
      </c>
      <c r="BV111" s="5">
        <f t="shared" si="337"/>
        <v>734700</v>
      </c>
      <c r="BW111" s="5">
        <f t="shared" si="338"/>
        <v>0</v>
      </c>
      <c r="BX111" s="5">
        <f t="shared" si="339"/>
        <v>0</v>
      </c>
      <c r="BY111" s="5">
        <f t="shared" si="340"/>
        <v>0</v>
      </c>
      <c r="BZ111" s="5">
        <f t="shared" si="341"/>
        <v>0</v>
      </c>
      <c r="CA111" s="5">
        <f t="shared" si="342"/>
        <v>0</v>
      </c>
      <c r="CB111" s="5"/>
      <c r="CC111" s="5">
        <f t="shared" si="336"/>
        <v>734700</v>
      </c>
    </row>
    <row r="112" spans="1:81">
      <c r="A112" s="29" t="s">
        <v>101</v>
      </c>
      <c r="B112" s="5">
        <v>0</v>
      </c>
      <c r="C112" s="11"/>
      <c r="D112" s="5"/>
      <c r="E112" s="5"/>
      <c r="F112" s="5"/>
      <c r="G112" s="5"/>
      <c r="H112" s="5"/>
      <c r="I112" s="5">
        <f t="shared" si="322"/>
        <v>0</v>
      </c>
      <c r="K112" s="5">
        <v>80000</v>
      </c>
      <c r="L112" s="11"/>
      <c r="M112" s="5"/>
      <c r="N112" s="5"/>
      <c r="O112" s="5"/>
      <c r="P112" s="5"/>
      <c r="Q112" s="5"/>
      <c r="R112" s="5">
        <f t="shared" si="323"/>
        <v>80000</v>
      </c>
      <c r="T112" s="5">
        <v>80000</v>
      </c>
      <c r="U112" s="5"/>
      <c r="V112" s="5"/>
      <c r="W112" s="5"/>
      <c r="X112" s="5"/>
      <c r="Y112" s="5"/>
      <c r="Z112" s="5"/>
      <c r="AA112" s="5">
        <f t="shared" si="324"/>
        <v>80000</v>
      </c>
      <c r="AC112" s="11">
        <f>(65000*AC44)*1.2</f>
        <v>234000</v>
      </c>
      <c r="AD112" s="11"/>
      <c r="AE112" s="5"/>
      <c r="AF112" s="5"/>
      <c r="AG112" s="5"/>
      <c r="AH112" s="5"/>
      <c r="AI112" s="5"/>
      <c r="AJ112" s="5">
        <f t="shared" si="325"/>
        <v>234000</v>
      </c>
      <c r="AL112" s="11">
        <f>(64000*AL44)*1.2</f>
        <v>230400</v>
      </c>
      <c r="AM112" s="11"/>
      <c r="AN112" s="5"/>
      <c r="AO112" s="5"/>
      <c r="AP112" s="5"/>
      <c r="AQ112" s="5"/>
      <c r="AR112" s="5"/>
      <c r="AS112" s="5">
        <f t="shared" si="326"/>
        <v>230400</v>
      </c>
      <c r="AU112" s="5"/>
      <c r="AV112" s="11"/>
      <c r="AW112" s="5"/>
      <c r="AX112" s="5"/>
      <c r="AY112" s="5"/>
      <c r="AZ112" s="5"/>
      <c r="BA112" s="5"/>
      <c r="BB112" s="5">
        <f t="shared" si="327"/>
        <v>0</v>
      </c>
      <c r="BD112" s="5">
        <v>0</v>
      </c>
      <c r="BE112" s="11"/>
      <c r="BF112" s="5"/>
      <c r="BG112" s="5"/>
      <c r="BH112" s="5"/>
      <c r="BI112" s="5"/>
      <c r="BJ112" s="5"/>
      <c r="BK112" s="5">
        <f t="shared" si="328"/>
        <v>0</v>
      </c>
      <c r="BM112" s="5">
        <v>0</v>
      </c>
      <c r="BN112" s="11"/>
      <c r="BO112" s="5"/>
      <c r="BP112" s="5"/>
      <c r="BQ112" s="5"/>
      <c r="BR112" s="5"/>
      <c r="BS112" s="5"/>
      <c r="BT112" s="5">
        <f t="shared" si="329"/>
        <v>0</v>
      </c>
      <c r="BV112" s="5">
        <f t="shared" si="337"/>
        <v>624400</v>
      </c>
      <c r="BW112" s="5">
        <f t="shared" si="338"/>
        <v>0</v>
      </c>
      <c r="BX112" s="5">
        <f t="shared" si="339"/>
        <v>0</v>
      </c>
      <c r="BY112" s="5">
        <f t="shared" si="340"/>
        <v>0</v>
      </c>
      <c r="BZ112" s="5">
        <f t="shared" si="341"/>
        <v>0</v>
      </c>
      <c r="CA112" s="5">
        <f t="shared" si="342"/>
        <v>0</v>
      </c>
      <c r="CB112" s="5"/>
      <c r="CC112" s="5">
        <f t="shared" si="336"/>
        <v>624400</v>
      </c>
    </row>
    <row r="113" spans="1:81">
      <c r="A113" s="29" t="s">
        <v>102</v>
      </c>
      <c r="B113" s="11"/>
      <c r="C113" s="11"/>
      <c r="D113" s="5"/>
      <c r="E113" s="5"/>
      <c r="F113" s="5"/>
      <c r="G113" s="5"/>
      <c r="H113" s="5"/>
      <c r="I113" s="5">
        <f t="shared" si="322"/>
        <v>0</v>
      </c>
      <c r="K113" s="11">
        <v>0</v>
      </c>
      <c r="L113" s="11"/>
      <c r="M113" s="5"/>
      <c r="N113" s="5"/>
      <c r="O113" s="5"/>
      <c r="P113" s="5"/>
      <c r="Q113" s="5"/>
      <c r="R113" s="5">
        <f t="shared" si="323"/>
        <v>0</v>
      </c>
      <c r="T113" s="5"/>
      <c r="U113" s="5"/>
      <c r="V113" s="5"/>
      <c r="W113" s="5"/>
      <c r="X113" s="5"/>
      <c r="Y113" s="5"/>
      <c r="Z113" s="5"/>
      <c r="AA113" s="5">
        <f t="shared" si="324"/>
        <v>0</v>
      </c>
      <c r="AC113" s="11">
        <f>55000*1.2</f>
        <v>66000</v>
      </c>
      <c r="AD113" s="11"/>
      <c r="AE113" s="5"/>
      <c r="AF113" s="5"/>
      <c r="AG113" s="5"/>
      <c r="AH113" s="5"/>
      <c r="AI113" s="5"/>
      <c r="AJ113" s="5">
        <f t="shared" si="325"/>
        <v>66000</v>
      </c>
      <c r="AL113" s="11"/>
      <c r="AM113" s="11"/>
      <c r="AN113" s="5"/>
      <c r="AO113" s="5"/>
      <c r="AP113" s="5"/>
      <c r="AQ113" s="5"/>
      <c r="AR113" s="5"/>
      <c r="AS113" s="5">
        <f t="shared" si="326"/>
        <v>0</v>
      </c>
      <c r="AU113" s="11"/>
      <c r="AV113" s="11"/>
      <c r="AW113" s="5"/>
      <c r="AX113" s="5"/>
      <c r="AY113" s="5"/>
      <c r="AZ113" s="5"/>
      <c r="BA113" s="5"/>
      <c r="BB113" s="5">
        <f t="shared" si="327"/>
        <v>0</v>
      </c>
      <c r="BD113" s="11">
        <v>0</v>
      </c>
      <c r="BE113" s="11"/>
      <c r="BF113" s="5"/>
      <c r="BG113" s="5"/>
      <c r="BH113" s="5"/>
      <c r="BI113" s="5"/>
      <c r="BJ113" s="5"/>
      <c r="BK113" s="5">
        <f t="shared" si="328"/>
        <v>0</v>
      </c>
      <c r="BM113" s="11"/>
      <c r="BN113" s="11"/>
      <c r="BO113" s="5"/>
      <c r="BP113" s="5"/>
      <c r="BQ113" s="5"/>
      <c r="BR113" s="5"/>
      <c r="BS113" s="5"/>
      <c r="BT113" s="5">
        <f t="shared" si="329"/>
        <v>0</v>
      </c>
      <c r="BV113" s="5">
        <f t="shared" si="337"/>
        <v>66000</v>
      </c>
      <c r="BW113" s="5">
        <f t="shared" si="338"/>
        <v>0</v>
      </c>
      <c r="BX113" s="5">
        <f t="shared" si="339"/>
        <v>0</v>
      </c>
      <c r="BY113" s="5">
        <f t="shared" si="340"/>
        <v>0</v>
      </c>
      <c r="BZ113" s="5">
        <f t="shared" si="341"/>
        <v>0</v>
      </c>
      <c r="CA113" s="5">
        <f t="shared" si="342"/>
        <v>0</v>
      </c>
      <c r="CB113" s="5"/>
      <c r="CC113" s="5">
        <f t="shared" si="336"/>
        <v>66000</v>
      </c>
    </row>
    <row r="114" spans="1:81">
      <c r="A114" s="29" t="s">
        <v>103</v>
      </c>
      <c r="B114" s="11">
        <f>58050*(B36-B35)</f>
        <v>2380050</v>
      </c>
      <c r="C114" s="11"/>
      <c r="D114" s="5"/>
      <c r="E114" s="5"/>
      <c r="F114" s="5"/>
      <c r="G114" s="5"/>
      <c r="H114" s="5"/>
      <c r="I114" s="5">
        <f t="shared" si="322"/>
        <v>2380050</v>
      </c>
      <c r="K114" s="11">
        <f>58500*(K36-K35)</f>
        <v>2515500</v>
      </c>
      <c r="L114" s="11"/>
      <c r="M114" s="5"/>
      <c r="N114" s="5"/>
      <c r="O114" s="5"/>
      <c r="P114" s="5"/>
      <c r="Q114" s="5"/>
      <c r="R114" s="5">
        <f t="shared" si="323"/>
        <v>2515500</v>
      </c>
      <c r="T114" s="5">
        <f>58500*(T36-T35)</f>
        <v>3100500</v>
      </c>
      <c r="U114" s="5"/>
      <c r="V114" s="5"/>
      <c r="W114" s="5"/>
      <c r="X114" s="5"/>
      <c r="Y114" s="5"/>
      <c r="Z114" s="5"/>
      <c r="AA114" s="5">
        <f t="shared" si="324"/>
        <v>3100500</v>
      </c>
      <c r="AC114" s="11">
        <f>61500*(AC36-AC35)</f>
        <v>5719500</v>
      </c>
      <c r="AD114" s="11"/>
      <c r="AE114" s="5"/>
      <c r="AF114" s="5"/>
      <c r="AG114" s="5"/>
      <c r="AH114" s="5"/>
      <c r="AI114" s="5"/>
      <c r="AJ114" s="5">
        <f t="shared" si="325"/>
        <v>5719500</v>
      </c>
      <c r="AL114" s="11">
        <f>60000*(AL36-AL35)+(1000*30)</f>
        <v>5610000</v>
      </c>
      <c r="AM114" s="11"/>
      <c r="AN114" s="5"/>
      <c r="AO114" s="5"/>
      <c r="AP114" s="5"/>
      <c r="AQ114" s="5"/>
      <c r="AR114" s="5"/>
      <c r="AS114" s="5">
        <f t="shared" si="326"/>
        <v>5610000</v>
      </c>
      <c r="AU114" s="11">
        <f>60000*(AU36-AU35)</f>
        <v>0</v>
      </c>
      <c r="AV114" s="11"/>
      <c r="AW114" s="5"/>
      <c r="AX114" s="5"/>
      <c r="AY114" s="5"/>
      <c r="AZ114" s="5"/>
      <c r="BA114" s="5"/>
      <c r="BB114" s="5">
        <f t="shared" si="327"/>
        <v>0</v>
      </c>
      <c r="BD114" s="11">
        <f>60000*(BD36-BD35)</f>
        <v>540000</v>
      </c>
      <c r="BE114" s="11"/>
      <c r="BF114" s="5"/>
      <c r="BG114" s="5"/>
      <c r="BH114" s="5"/>
      <c r="BI114" s="5"/>
      <c r="BJ114" s="5"/>
      <c r="BK114" s="5">
        <f t="shared" si="328"/>
        <v>540000</v>
      </c>
      <c r="BM114" s="11">
        <v>78000</v>
      </c>
      <c r="BN114" s="11"/>
      <c r="BO114" s="5"/>
      <c r="BP114" s="5"/>
      <c r="BQ114" s="5"/>
      <c r="BR114" s="5"/>
      <c r="BS114" s="5"/>
      <c r="BT114" s="5">
        <f t="shared" si="329"/>
        <v>78000</v>
      </c>
      <c r="BV114" s="5">
        <f t="shared" si="337"/>
        <v>19943550</v>
      </c>
      <c r="BW114" s="5">
        <f t="shared" si="338"/>
        <v>0</v>
      </c>
      <c r="BX114" s="5">
        <f t="shared" si="339"/>
        <v>0</v>
      </c>
      <c r="BY114" s="5">
        <f t="shared" si="340"/>
        <v>0</v>
      </c>
      <c r="BZ114" s="5">
        <f t="shared" si="341"/>
        <v>0</v>
      </c>
      <c r="CA114" s="5">
        <f t="shared" si="342"/>
        <v>0</v>
      </c>
      <c r="CB114" s="5"/>
      <c r="CC114" s="5">
        <f t="shared" si="336"/>
        <v>19943550</v>
      </c>
    </row>
    <row r="115" spans="1:81">
      <c r="A115" s="29" t="s">
        <v>30</v>
      </c>
      <c r="B115" s="11"/>
      <c r="C115" s="11">
        <f>58050*C36</f>
        <v>290250</v>
      </c>
      <c r="D115" s="5"/>
      <c r="E115" s="5"/>
      <c r="F115" s="5"/>
      <c r="G115" s="5"/>
      <c r="H115" s="5"/>
      <c r="I115" s="5">
        <f t="shared" si="322"/>
        <v>290250</v>
      </c>
      <c r="K115" s="11"/>
      <c r="L115" s="11">
        <f>58500*L36</f>
        <v>234000</v>
      </c>
      <c r="M115" s="5"/>
      <c r="N115" s="5"/>
      <c r="O115" s="5"/>
      <c r="P115" s="5"/>
      <c r="Q115" s="5"/>
      <c r="R115" s="5">
        <f t="shared" si="323"/>
        <v>234000</v>
      </c>
      <c r="T115" s="5"/>
      <c r="U115" s="5">
        <f>58500*U36</f>
        <v>292500</v>
      </c>
      <c r="V115" s="5"/>
      <c r="W115" s="5"/>
      <c r="X115" s="5"/>
      <c r="Y115" s="5"/>
      <c r="Z115" s="5"/>
      <c r="AA115" s="5">
        <f t="shared" si="324"/>
        <v>292500</v>
      </c>
      <c r="AC115" s="11"/>
      <c r="AD115" s="11">
        <f>61500*AD36</f>
        <v>799500</v>
      </c>
      <c r="AE115" s="5"/>
      <c r="AF115" s="5"/>
      <c r="AG115" s="5"/>
      <c r="AH115" s="5"/>
      <c r="AI115" s="5"/>
      <c r="AJ115" s="5">
        <f t="shared" si="325"/>
        <v>799500</v>
      </c>
      <c r="AL115" s="11"/>
      <c r="AM115" s="11">
        <f>60000*AM36</f>
        <v>720000</v>
      </c>
      <c r="AN115" s="5"/>
      <c r="AO115" s="5"/>
      <c r="AP115" s="5"/>
      <c r="AQ115" s="5"/>
      <c r="AR115" s="5"/>
      <c r="AS115" s="5">
        <f t="shared" si="326"/>
        <v>720000</v>
      </c>
      <c r="AU115" s="11"/>
      <c r="AV115" s="11">
        <v>78425</v>
      </c>
      <c r="AW115" s="5"/>
      <c r="AX115" s="5"/>
      <c r="AY115" s="5"/>
      <c r="AZ115" s="5"/>
      <c r="BA115" s="5"/>
      <c r="BB115" s="5">
        <f t="shared" si="327"/>
        <v>78425</v>
      </c>
      <c r="BD115" s="11"/>
      <c r="BE115" s="11">
        <f>60000*BE36</f>
        <v>60000</v>
      </c>
      <c r="BF115" s="5"/>
      <c r="BG115" s="5"/>
      <c r="BH115" s="5"/>
      <c r="BI115" s="5"/>
      <c r="BJ115" s="5"/>
      <c r="BK115" s="5">
        <f t="shared" si="328"/>
        <v>60000</v>
      </c>
      <c r="BM115" s="11"/>
      <c r="BN115" s="11">
        <f>60000*BN36</f>
        <v>0</v>
      </c>
      <c r="BO115" s="5"/>
      <c r="BP115" s="5"/>
      <c r="BQ115" s="5"/>
      <c r="BR115" s="5"/>
      <c r="BS115" s="5"/>
      <c r="BT115" s="5">
        <f t="shared" si="329"/>
        <v>0</v>
      </c>
      <c r="BV115" s="5">
        <f t="shared" si="337"/>
        <v>0</v>
      </c>
      <c r="BW115" s="5">
        <f t="shared" si="338"/>
        <v>2474675</v>
      </c>
      <c r="BX115" s="5">
        <f t="shared" si="339"/>
        <v>0</v>
      </c>
      <c r="BY115" s="5">
        <f t="shared" si="340"/>
        <v>0</v>
      </c>
      <c r="BZ115" s="5">
        <f t="shared" si="341"/>
        <v>0</v>
      </c>
      <c r="CA115" s="5">
        <f t="shared" si="342"/>
        <v>0</v>
      </c>
      <c r="CB115" s="5"/>
      <c r="CC115" s="5">
        <f t="shared" si="336"/>
        <v>2474675</v>
      </c>
    </row>
    <row r="116" spans="1:81">
      <c r="A116" s="29" t="s">
        <v>104</v>
      </c>
      <c r="B116" s="11">
        <f>(51000+42000)*1.2+(20*8*190)</f>
        <v>142000</v>
      </c>
      <c r="C116" s="11"/>
      <c r="D116" s="5"/>
      <c r="E116" s="5"/>
      <c r="F116" s="5"/>
      <c r="G116" s="5"/>
      <c r="H116" s="5"/>
      <c r="I116" s="5">
        <f t="shared" si="322"/>
        <v>142000</v>
      </c>
      <c r="K116" s="11">
        <f>(51000+53000)*1.2</f>
        <v>124800</v>
      </c>
      <c r="L116" s="11"/>
      <c r="M116" s="5"/>
      <c r="N116" s="5"/>
      <c r="O116" s="5"/>
      <c r="P116" s="5"/>
      <c r="Q116" s="5"/>
      <c r="R116" s="5">
        <f t="shared" si="323"/>
        <v>124800</v>
      </c>
      <c r="T116" s="11">
        <f>((51910+41000))*1.2</f>
        <v>111492</v>
      </c>
      <c r="U116" s="5"/>
      <c r="V116" s="5"/>
      <c r="W116" s="5"/>
      <c r="X116" s="5"/>
      <c r="Y116" s="5"/>
      <c r="Z116" s="5"/>
      <c r="AA116" s="5">
        <f t="shared" si="324"/>
        <v>111492</v>
      </c>
      <c r="AC116" s="11">
        <f>(50000*4)*1.2</f>
        <v>240000</v>
      </c>
      <c r="AD116" s="11"/>
      <c r="AE116" s="5"/>
      <c r="AF116" s="5"/>
      <c r="AG116" s="5"/>
      <c r="AH116" s="5"/>
      <c r="AI116" s="5"/>
      <c r="AJ116" s="5">
        <f t="shared" si="325"/>
        <v>240000</v>
      </c>
      <c r="AL116" s="11">
        <f>((50000*2))+((47000*2))*1.2</f>
        <v>212800</v>
      </c>
      <c r="AM116" s="11"/>
      <c r="AN116" s="5"/>
      <c r="AO116" s="5"/>
      <c r="AP116" s="5"/>
      <c r="AQ116" s="5"/>
      <c r="AR116" s="5"/>
      <c r="AS116" s="5">
        <f t="shared" si="326"/>
        <v>212800</v>
      </c>
      <c r="AU116" s="11">
        <v>0</v>
      </c>
      <c r="AV116" s="11"/>
      <c r="AW116" s="5"/>
      <c r="AX116" s="5"/>
      <c r="AY116" s="5"/>
      <c r="AZ116" s="5"/>
      <c r="BA116" s="5"/>
      <c r="BB116" s="5">
        <f t="shared" si="327"/>
        <v>0</v>
      </c>
      <c r="BD116" s="11">
        <v>50000</v>
      </c>
      <c r="BE116" s="11"/>
      <c r="BF116" s="5"/>
      <c r="BG116" s="5"/>
      <c r="BH116" s="5"/>
      <c r="BI116" s="5"/>
      <c r="BJ116" s="5"/>
      <c r="BK116" s="5">
        <f t="shared" si="328"/>
        <v>50000</v>
      </c>
      <c r="BM116" s="11">
        <f>75000*1.2</f>
        <v>90000</v>
      </c>
      <c r="BN116" s="11"/>
      <c r="BO116" s="5"/>
      <c r="BP116" s="5"/>
      <c r="BQ116" s="5"/>
      <c r="BR116" s="5"/>
      <c r="BS116" s="5"/>
      <c r="BT116" s="5">
        <f t="shared" si="329"/>
        <v>90000</v>
      </c>
      <c r="BV116" s="5">
        <f t="shared" si="337"/>
        <v>971092</v>
      </c>
      <c r="BW116" s="5">
        <f t="shared" si="338"/>
        <v>0</v>
      </c>
      <c r="BX116" s="5">
        <f t="shared" si="339"/>
        <v>0</v>
      </c>
      <c r="BY116" s="5">
        <f t="shared" si="340"/>
        <v>0</v>
      </c>
      <c r="BZ116" s="5">
        <f t="shared" si="341"/>
        <v>0</v>
      </c>
      <c r="CA116" s="5">
        <f t="shared" si="342"/>
        <v>0</v>
      </c>
      <c r="CB116" s="5"/>
      <c r="CC116" s="5">
        <f t="shared" si="336"/>
        <v>971092</v>
      </c>
    </row>
    <row r="117" spans="1:81">
      <c r="A117" s="29" t="s">
        <v>105</v>
      </c>
      <c r="B117" s="11">
        <f>(19*8*190)*(B48+B49)</f>
        <v>86640</v>
      </c>
      <c r="C117" s="11"/>
      <c r="D117" s="5"/>
      <c r="E117" s="5"/>
      <c r="F117" s="5"/>
      <c r="G117" s="5"/>
      <c r="H117" s="5"/>
      <c r="I117" s="5">
        <f t="shared" si="322"/>
        <v>86640</v>
      </c>
      <c r="K117" s="11">
        <f>(19*8*190)*(K48+K49)</f>
        <v>86640</v>
      </c>
      <c r="L117" s="11"/>
      <c r="M117" s="5"/>
      <c r="N117" s="5"/>
      <c r="O117" s="5"/>
      <c r="P117" s="5"/>
      <c r="Q117" s="5"/>
      <c r="R117" s="5">
        <f t="shared" si="323"/>
        <v>86640</v>
      </c>
      <c r="T117" s="11">
        <f>(19*8*185)*(T48+T49)</f>
        <v>84360</v>
      </c>
      <c r="U117" s="5"/>
      <c r="V117" s="5"/>
      <c r="W117" s="5"/>
      <c r="X117" s="5"/>
      <c r="Y117" s="5"/>
      <c r="Z117" s="5"/>
      <c r="AA117" s="5">
        <f t="shared" si="324"/>
        <v>84360</v>
      </c>
      <c r="AC117" s="11">
        <f>(20*8*190)*(AC48+AC49)</f>
        <v>243200</v>
      </c>
      <c r="AD117" s="11"/>
      <c r="AE117" s="5"/>
      <c r="AF117" s="5"/>
      <c r="AG117" s="5"/>
      <c r="AH117" s="5"/>
      <c r="AI117" s="5"/>
      <c r="AJ117" s="5">
        <f t="shared" si="325"/>
        <v>243200</v>
      </c>
      <c r="AL117" s="11">
        <f>(19*8*190)*(AL48+AL49)</f>
        <v>173280</v>
      </c>
      <c r="AM117" s="11"/>
      <c r="AN117" s="5"/>
      <c r="AO117" s="5"/>
      <c r="AP117" s="5"/>
      <c r="AQ117" s="5"/>
      <c r="AR117" s="5"/>
      <c r="AS117" s="5">
        <f t="shared" si="326"/>
        <v>173280</v>
      </c>
      <c r="AU117" s="11">
        <f>(23*8*190)*(AU48+AU49)</f>
        <v>0</v>
      </c>
      <c r="AV117" s="11"/>
      <c r="AW117" s="5"/>
      <c r="AX117" s="5"/>
      <c r="AY117" s="5"/>
      <c r="AZ117" s="5"/>
      <c r="BA117" s="5"/>
      <c r="BB117" s="5">
        <f t="shared" si="327"/>
        <v>0</v>
      </c>
      <c r="BD117" s="11">
        <f>(20*8*190)*(BD48+BD49)</f>
        <v>30400</v>
      </c>
      <c r="BE117" s="11"/>
      <c r="BF117" s="5"/>
      <c r="BG117" s="5"/>
      <c r="BH117" s="5"/>
      <c r="BI117" s="5"/>
      <c r="BJ117" s="5"/>
      <c r="BK117" s="5">
        <f t="shared" si="328"/>
        <v>30400</v>
      </c>
      <c r="BM117" s="11">
        <f>(23*8*190)*(BM48+BM49)</f>
        <v>0</v>
      </c>
      <c r="BN117" s="11"/>
      <c r="BO117" s="5"/>
      <c r="BP117" s="5"/>
      <c r="BQ117" s="5"/>
      <c r="BR117" s="5"/>
      <c r="BS117" s="5"/>
      <c r="BT117" s="5">
        <f t="shared" si="329"/>
        <v>0</v>
      </c>
      <c r="BV117" s="5">
        <f t="shared" si="337"/>
        <v>704520</v>
      </c>
      <c r="BW117" s="5">
        <f t="shared" si="338"/>
        <v>0</v>
      </c>
      <c r="BX117" s="5">
        <f t="shared" si="339"/>
        <v>0</v>
      </c>
      <c r="BY117" s="5">
        <f t="shared" si="340"/>
        <v>0</v>
      </c>
      <c r="BZ117" s="5">
        <f t="shared" si="341"/>
        <v>0</v>
      </c>
      <c r="CA117" s="5">
        <f t="shared" si="342"/>
        <v>0</v>
      </c>
      <c r="CB117" s="5"/>
      <c r="CC117" s="5">
        <f t="shared" si="336"/>
        <v>704520</v>
      </c>
    </row>
    <row r="118" spans="1:81">
      <c r="A118" s="29" t="s">
        <v>106</v>
      </c>
      <c r="B118" s="11">
        <f>(19*7.55*180)*B50</f>
        <v>103283.99999999999</v>
      </c>
      <c r="C118" s="11">
        <f t="shared" ref="C118:E118" si="343">(19*8*180)*C50</f>
        <v>109440</v>
      </c>
      <c r="D118" s="11">
        <f t="shared" si="343"/>
        <v>27360</v>
      </c>
      <c r="E118" s="11">
        <f t="shared" si="343"/>
        <v>0</v>
      </c>
      <c r="F118" s="5">
        <f>(14*8*180)*F50</f>
        <v>0</v>
      </c>
      <c r="G118" s="5"/>
      <c r="H118" s="5"/>
      <c r="I118" s="5">
        <f t="shared" si="322"/>
        <v>240084</v>
      </c>
      <c r="K118" s="11">
        <f>(19*7.5*180)*K50</f>
        <v>179550</v>
      </c>
      <c r="L118" s="11">
        <f>(19*7.5*180)*L50</f>
        <v>102600</v>
      </c>
      <c r="M118" s="11">
        <f>(19*7.5*180)*M50</f>
        <v>25650</v>
      </c>
      <c r="N118" s="11">
        <f t="shared" ref="N118" si="344">(19*8*180)*N50</f>
        <v>0</v>
      </c>
      <c r="O118" s="5">
        <f>(14*8*180)*O50</f>
        <v>0</v>
      </c>
      <c r="P118" s="5"/>
      <c r="Q118" s="5"/>
      <c r="R118" s="5">
        <f t="shared" si="323"/>
        <v>307800</v>
      </c>
      <c r="T118" s="5">
        <f>(19*8*180)*T50</f>
        <v>136800</v>
      </c>
      <c r="U118" s="5">
        <f t="shared" ref="U118:Z118" si="345">(19*8*180)*U50</f>
        <v>136800</v>
      </c>
      <c r="V118" s="5">
        <f t="shared" si="345"/>
        <v>27360</v>
      </c>
      <c r="W118" s="5">
        <f t="shared" si="345"/>
        <v>0</v>
      </c>
      <c r="X118" s="5">
        <f t="shared" si="345"/>
        <v>0</v>
      </c>
      <c r="Y118" s="5">
        <f t="shared" si="345"/>
        <v>0</v>
      </c>
      <c r="Z118" s="5">
        <f t="shared" si="345"/>
        <v>0</v>
      </c>
      <c r="AA118" s="5">
        <f t="shared" si="324"/>
        <v>300960</v>
      </c>
      <c r="AC118" s="11">
        <f>(20*7.92*180)*AC50</f>
        <v>285120</v>
      </c>
      <c r="AD118" s="11">
        <f>(20*8*180)*AD50</f>
        <v>374400</v>
      </c>
      <c r="AE118" s="11">
        <f>(20*6*180)*AE50</f>
        <v>64800</v>
      </c>
      <c r="AF118" s="11">
        <f t="shared" ref="AF118" si="346">(19*8*180)*AF50</f>
        <v>0</v>
      </c>
      <c r="AG118" s="5">
        <f>(14*8*180)*AG50</f>
        <v>0</v>
      </c>
      <c r="AH118" s="5"/>
      <c r="AI118" s="5"/>
      <c r="AJ118" s="5">
        <f t="shared" si="325"/>
        <v>724320</v>
      </c>
      <c r="AL118" s="11">
        <f>(19*8*180)*AL50</f>
        <v>136800</v>
      </c>
      <c r="AM118" s="11">
        <f>(19*8*180)*AM50</f>
        <v>300960</v>
      </c>
      <c r="AN118" s="11">
        <f>(19*6*180)*AN50</f>
        <v>61560</v>
      </c>
      <c r="AO118" s="11">
        <f t="shared" ref="AO118" si="347">(20*8*180)*AO50</f>
        <v>0</v>
      </c>
      <c r="AP118" s="5">
        <f>(14*8*180)*AP50</f>
        <v>0</v>
      </c>
      <c r="AQ118" s="5"/>
      <c r="AR118" s="5"/>
      <c r="AS118" s="5">
        <f t="shared" si="326"/>
        <v>499320</v>
      </c>
      <c r="AU118" s="11">
        <f>(20*7.5*180)*AU50</f>
        <v>54000</v>
      </c>
      <c r="AV118" s="11">
        <f>(20*7.5*180)*AV50</f>
        <v>27000</v>
      </c>
      <c r="AW118" s="11">
        <f t="shared" ref="AW118:AY118" si="348">(19*8*180)*AW50</f>
        <v>0</v>
      </c>
      <c r="AX118" s="11">
        <f t="shared" si="348"/>
        <v>0</v>
      </c>
      <c r="AY118" s="11">
        <f t="shared" si="348"/>
        <v>0</v>
      </c>
      <c r="AZ118" s="5"/>
      <c r="BA118" s="5"/>
      <c r="BB118" s="5">
        <f t="shared" si="327"/>
        <v>81000</v>
      </c>
      <c r="BD118" s="11">
        <f>(20*8*180)*BD50</f>
        <v>28800</v>
      </c>
      <c r="BE118" s="11">
        <f t="shared" ref="BE118:BJ118" si="349">(20*8*180)*BE50</f>
        <v>0</v>
      </c>
      <c r="BF118" s="11">
        <f t="shared" si="349"/>
        <v>28800</v>
      </c>
      <c r="BG118" s="11">
        <f t="shared" si="349"/>
        <v>0</v>
      </c>
      <c r="BH118" s="11">
        <f>(20*8*180)*BH50+5745+50+6.5</f>
        <v>34601.5</v>
      </c>
      <c r="BI118" s="11">
        <f t="shared" si="349"/>
        <v>0</v>
      </c>
      <c r="BJ118" s="11">
        <f t="shared" si="349"/>
        <v>0</v>
      </c>
      <c r="BK118" s="5">
        <f t="shared" si="328"/>
        <v>92201.5</v>
      </c>
      <c r="BM118" s="11">
        <f>(18*8*180)*BM50</f>
        <v>0</v>
      </c>
      <c r="BN118" s="11">
        <f t="shared" ref="BN118:BO118" si="350">(18*8*180)*BN50</f>
        <v>0</v>
      </c>
      <c r="BO118" s="11">
        <f t="shared" si="350"/>
        <v>0</v>
      </c>
      <c r="BP118" s="5"/>
      <c r="BQ118" s="5">
        <f>(14*8*180)*BQ50</f>
        <v>0</v>
      </c>
      <c r="BR118" s="5"/>
      <c r="BS118" s="5"/>
      <c r="BT118" s="5">
        <f t="shared" si="329"/>
        <v>0</v>
      </c>
      <c r="BV118" s="5">
        <f t="shared" si="337"/>
        <v>924354</v>
      </c>
      <c r="BW118" s="5">
        <f t="shared" si="338"/>
        <v>1051200</v>
      </c>
      <c r="BX118" s="5">
        <f t="shared" si="339"/>
        <v>235530</v>
      </c>
      <c r="BY118" s="5">
        <f t="shared" si="340"/>
        <v>0</v>
      </c>
      <c r="BZ118" s="5">
        <f t="shared" si="341"/>
        <v>34601.5</v>
      </c>
      <c r="CA118" s="5">
        <f t="shared" si="342"/>
        <v>0</v>
      </c>
      <c r="CB118" s="5"/>
      <c r="CC118" s="5">
        <f t="shared" si="336"/>
        <v>2245685.5</v>
      </c>
    </row>
    <row r="119" spans="1:81">
      <c r="A119" s="29" t="s">
        <v>107</v>
      </c>
      <c r="B119" s="11">
        <f>(25*8*240)+(21*8*240)</f>
        <v>88320</v>
      </c>
      <c r="C119" s="11"/>
      <c r="D119" s="5"/>
      <c r="E119" s="5"/>
      <c r="F119" s="5"/>
      <c r="G119" s="5"/>
      <c r="H119" s="5"/>
      <c r="I119" s="5">
        <f t="shared" si="322"/>
        <v>88320</v>
      </c>
      <c r="K119" s="11">
        <f>(21*8*240)*(K51)</f>
        <v>120960</v>
      </c>
      <c r="L119" s="11"/>
      <c r="M119" s="5"/>
      <c r="N119" s="5"/>
      <c r="O119" s="5"/>
      <c r="P119" s="5"/>
      <c r="Q119" s="5"/>
      <c r="R119" s="5">
        <f t="shared" si="323"/>
        <v>120960</v>
      </c>
      <c r="T119" s="11">
        <f>(22*8*240)*T51</f>
        <v>126720</v>
      </c>
      <c r="U119" s="5"/>
      <c r="V119" s="5"/>
      <c r="W119" s="5"/>
      <c r="X119" s="5"/>
      <c r="Y119" s="5"/>
      <c r="Z119" s="5"/>
      <c r="AA119" s="5">
        <f t="shared" si="324"/>
        <v>126720</v>
      </c>
      <c r="AC119" s="11">
        <f>((21*8*240)*AC51-1)+60000</f>
        <v>342239</v>
      </c>
      <c r="AD119" s="11"/>
      <c r="AE119" s="5"/>
      <c r="AF119" s="5"/>
      <c r="AG119" s="5"/>
      <c r="AH119" s="5"/>
      <c r="AI119" s="5"/>
      <c r="AJ119" s="5">
        <f t="shared" si="325"/>
        <v>342239</v>
      </c>
      <c r="AL119" s="11">
        <f>(20*8*240)*AL51</f>
        <v>307200</v>
      </c>
      <c r="AM119" s="11"/>
      <c r="AN119" s="5"/>
      <c r="AO119" s="5"/>
      <c r="AP119" s="5"/>
      <c r="AQ119" s="5"/>
      <c r="AR119" s="5"/>
      <c r="AS119" s="5">
        <f t="shared" si="326"/>
        <v>307200</v>
      </c>
      <c r="AU119" s="11">
        <f>(21*8*240)*AU51</f>
        <v>0</v>
      </c>
      <c r="AV119" s="11"/>
      <c r="AW119" s="5"/>
      <c r="AX119" s="5"/>
      <c r="AY119" s="5"/>
      <c r="AZ119" s="5"/>
      <c r="BA119" s="5"/>
      <c r="BB119" s="5">
        <f t="shared" si="327"/>
        <v>0</v>
      </c>
      <c r="BD119" s="11">
        <f>(22*8*240)</f>
        <v>42240</v>
      </c>
      <c r="BE119" s="11"/>
      <c r="BF119" s="5"/>
      <c r="BG119" s="5"/>
      <c r="BH119" s="5"/>
      <c r="BI119" s="5"/>
      <c r="BJ119" s="5"/>
      <c r="BK119" s="5">
        <f t="shared" si="328"/>
        <v>42240</v>
      </c>
      <c r="BM119" s="11">
        <f>(21*8*240)*BM51</f>
        <v>0</v>
      </c>
      <c r="BN119" s="11"/>
      <c r="BO119" s="5"/>
      <c r="BP119" s="5"/>
      <c r="BQ119" s="5"/>
      <c r="BR119" s="5"/>
      <c r="BS119" s="5"/>
      <c r="BT119" s="5">
        <f t="shared" si="329"/>
        <v>0</v>
      </c>
      <c r="BV119" s="5">
        <f t="shared" si="337"/>
        <v>1027679</v>
      </c>
      <c r="BW119" s="5">
        <f t="shared" si="338"/>
        <v>0</v>
      </c>
      <c r="BX119" s="5">
        <f t="shared" si="339"/>
        <v>0</v>
      </c>
      <c r="BY119" s="5">
        <f t="shared" si="340"/>
        <v>0</v>
      </c>
      <c r="BZ119" s="5">
        <f t="shared" si="341"/>
        <v>0</v>
      </c>
      <c r="CA119" s="5">
        <f t="shared" si="342"/>
        <v>0</v>
      </c>
      <c r="CB119" s="5"/>
      <c r="CC119" s="5">
        <f t="shared" si="336"/>
        <v>1027679</v>
      </c>
    </row>
    <row r="120" spans="1:81">
      <c r="A120" s="29" t="s">
        <v>53</v>
      </c>
      <c r="B120" s="11"/>
      <c r="C120" s="11"/>
      <c r="D120" s="5">
        <f>22*8*180</f>
        <v>31680</v>
      </c>
      <c r="E120" s="5"/>
      <c r="F120" s="5"/>
      <c r="G120" s="5"/>
      <c r="H120" s="5"/>
      <c r="I120" s="5">
        <f t="shared" si="322"/>
        <v>31680</v>
      </c>
      <c r="K120" s="11"/>
      <c r="L120" s="11"/>
      <c r="M120" s="5">
        <f>32000*1.25</f>
        <v>40000</v>
      </c>
      <c r="N120" s="5"/>
      <c r="O120" s="5"/>
      <c r="P120" s="5"/>
      <c r="Q120" s="5"/>
      <c r="R120" s="5">
        <f t="shared" si="323"/>
        <v>40000</v>
      </c>
      <c r="T120" s="5"/>
      <c r="U120" s="5"/>
      <c r="V120" s="5">
        <f>(22*8*180)*V52</f>
        <v>31680</v>
      </c>
      <c r="W120" s="5"/>
      <c r="X120" s="5"/>
      <c r="Y120" s="5"/>
      <c r="Z120" s="5"/>
      <c r="AA120" s="5">
        <f t="shared" si="324"/>
        <v>31680</v>
      </c>
      <c r="AC120" s="11"/>
      <c r="AD120" s="11"/>
      <c r="AE120" s="11">
        <f>(21*8*180)*AE52</f>
        <v>90720</v>
      </c>
      <c r="AF120" s="5"/>
      <c r="AG120" s="5"/>
      <c r="AH120" s="5"/>
      <c r="AI120" s="5"/>
      <c r="AJ120" s="5">
        <f t="shared" si="325"/>
        <v>90720</v>
      </c>
      <c r="AL120" s="11"/>
      <c r="AM120" s="11"/>
      <c r="AN120" s="11">
        <f>(21*8*180)*AN52</f>
        <v>30240</v>
      </c>
      <c r="AO120" s="5"/>
      <c r="AP120" s="5"/>
      <c r="AQ120" s="5"/>
      <c r="AR120" s="5"/>
      <c r="AS120" s="5">
        <f t="shared" si="326"/>
        <v>30240</v>
      </c>
      <c r="AU120" s="11"/>
      <c r="AV120" s="11"/>
      <c r="AW120" s="5">
        <v>0</v>
      </c>
      <c r="AX120" s="5"/>
      <c r="AY120" s="5"/>
      <c r="AZ120" s="5"/>
      <c r="BA120" s="5"/>
      <c r="BB120" s="5">
        <f t="shared" si="327"/>
        <v>0</v>
      </c>
      <c r="BD120" s="11"/>
      <c r="BE120" s="11"/>
      <c r="BF120" s="5"/>
      <c r="BG120" s="5"/>
      <c r="BH120" s="5"/>
      <c r="BI120" s="5"/>
      <c r="BJ120" s="5"/>
      <c r="BK120" s="5">
        <f t="shared" si="328"/>
        <v>0</v>
      </c>
      <c r="BM120" s="11"/>
      <c r="BN120" s="11"/>
      <c r="BO120" s="5">
        <f>25*4*150</f>
        <v>15000</v>
      </c>
      <c r="BP120" s="5"/>
      <c r="BQ120" s="5"/>
      <c r="BR120" s="5"/>
      <c r="BS120" s="5"/>
      <c r="BT120" s="5">
        <f t="shared" si="329"/>
        <v>15000</v>
      </c>
      <c r="BV120" s="5">
        <f t="shared" si="337"/>
        <v>0</v>
      </c>
      <c r="BW120" s="5">
        <f t="shared" si="338"/>
        <v>0</v>
      </c>
      <c r="BX120" s="5">
        <f t="shared" si="339"/>
        <v>239320</v>
      </c>
      <c r="BY120" s="5">
        <f t="shared" si="340"/>
        <v>0</v>
      </c>
      <c r="BZ120" s="5">
        <f t="shared" si="341"/>
        <v>0</v>
      </c>
      <c r="CA120" s="5">
        <f t="shared" si="342"/>
        <v>0</v>
      </c>
      <c r="CB120" s="5"/>
      <c r="CC120" s="5">
        <f t="shared" si="336"/>
        <v>239320</v>
      </c>
    </row>
    <row r="121" spans="1:81" ht="15">
      <c r="A121" s="64" t="s">
        <v>108</v>
      </c>
      <c r="B121" s="65">
        <f>SUM(B107:B120)</f>
        <v>3329611.5</v>
      </c>
      <c r="C121" s="65">
        <f t="shared" ref="C121:I121" si="351">SUM(C107:C120)</f>
        <v>399690</v>
      </c>
      <c r="D121" s="65">
        <f t="shared" si="351"/>
        <v>59040</v>
      </c>
      <c r="E121" s="65">
        <f t="shared" si="351"/>
        <v>0</v>
      </c>
      <c r="F121" s="65">
        <f t="shared" si="351"/>
        <v>0</v>
      </c>
      <c r="G121" s="65">
        <f t="shared" si="351"/>
        <v>0</v>
      </c>
      <c r="H121" s="65">
        <f t="shared" si="351"/>
        <v>0</v>
      </c>
      <c r="I121" s="65">
        <f t="shared" si="351"/>
        <v>3788341.5</v>
      </c>
      <c r="J121" s="7"/>
      <c r="K121" s="65">
        <f>SUM(K107:K120)</f>
        <v>3644114</v>
      </c>
      <c r="L121" s="65">
        <f t="shared" ref="L121:R121" si="352">SUM(L107:L120)</f>
        <v>336600</v>
      </c>
      <c r="M121" s="65">
        <f t="shared" si="352"/>
        <v>65650</v>
      </c>
      <c r="N121" s="65"/>
      <c r="O121" s="65">
        <f t="shared" si="352"/>
        <v>0</v>
      </c>
      <c r="P121" s="65">
        <f t="shared" si="352"/>
        <v>0</v>
      </c>
      <c r="Q121" s="65">
        <f t="shared" si="352"/>
        <v>0</v>
      </c>
      <c r="R121" s="65">
        <f t="shared" si="352"/>
        <v>4046364</v>
      </c>
      <c r="T121" s="65">
        <f>SUM(T107:T120)</f>
        <v>4213172</v>
      </c>
      <c r="U121" s="65">
        <f t="shared" ref="U121:AA121" si="353">SUM(U107:U120)</f>
        <v>429300</v>
      </c>
      <c r="V121" s="65">
        <f t="shared" si="353"/>
        <v>59040</v>
      </c>
      <c r="W121" s="65"/>
      <c r="X121" s="65">
        <f t="shared" si="353"/>
        <v>0</v>
      </c>
      <c r="Y121" s="65">
        <f t="shared" si="353"/>
        <v>0</v>
      </c>
      <c r="Z121" s="65">
        <f t="shared" si="353"/>
        <v>0</v>
      </c>
      <c r="AA121" s="65">
        <f t="shared" si="353"/>
        <v>4701512</v>
      </c>
      <c r="AC121" s="65">
        <f>SUM(AC107:AC120)</f>
        <v>8190859</v>
      </c>
      <c r="AD121" s="65">
        <f t="shared" ref="AD121:AJ121" si="354">SUM(AD107:AD120)</f>
        <v>1173900</v>
      </c>
      <c r="AE121" s="65">
        <f t="shared" si="354"/>
        <v>155520</v>
      </c>
      <c r="AF121" s="65">
        <f t="shared" si="354"/>
        <v>0</v>
      </c>
      <c r="AG121" s="65">
        <f t="shared" si="354"/>
        <v>0</v>
      </c>
      <c r="AH121" s="65">
        <f t="shared" si="354"/>
        <v>0</v>
      </c>
      <c r="AI121" s="65">
        <f t="shared" si="354"/>
        <v>0</v>
      </c>
      <c r="AJ121" s="65">
        <f t="shared" si="354"/>
        <v>9520279</v>
      </c>
      <c r="AL121" s="65">
        <f>SUM(AL107:AL120)</f>
        <v>7659555</v>
      </c>
      <c r="AM121" s="65">
        <f t="shared" ref="AM121:AS121" si="355">SUM(AM107:AM120)</f>
        <v>1020960</v>
      </c>
      <c r="AN121" s="65">
        <f t="shared" si="355"/>
        <v>91800</v>
      </c>
      <c r="AO121" s="65"/>
      <c r="AP121" s="65">
        <f t="shared" si="355"/>
        <v>0</v>
      </c>
      <c r="AQ121" s="65">
        <f t="shared" si="355"/>
        <v>0</v>
      </c>
      <c r="AR121" s="65">
        <f t="shared" si="355"/>
        <v>0</v>
      </c>
      <c r="AS121" s="65">
        <f t="shared" si="355"/>
        <v>8772315</v>
      </c>
      <c r="AU121" s="65">
        <f>SUM(AU107:AU120)</f>
        <v>139000</v>
      </c>
      <c r="AV121" s="65">
        <f t="shared" ref="AV121:BB121" si="356">SUM(AV107:AV120)</f>
        <v>105425</v>
      </c>
      <c r="AW121" s="65">
        <f t="shared" si="356"/>
        <v>0</v>
      </c>
      <c r="AX121" s="65">
        <f t="shared" si="356"/>
        <v>0</v>
      </c>
      <c r="AY121" s="65">
        <f t="shared" si="356"/>
        <v>0</v>
      </c>
      <c r="AZ121" s="65">
        <f t="shared" si="356"/>
        <v>0</v>
      </c>
      <c r="BA121" s="65">
        <f t="shared" si="356"/>
        <v>0</v>
      </c>
      <c r="BB121" s="65">
        <f t="shared" si="356"/>
        <v>244425</v>
      </c>
      <c r="BD121" s="65">
        <f>SUM(BD107:BD120)</f>
        <v>871440</v>
      </c>
      <c r="BE121" s="65">
        <f t="shared" ref="BE121:BK121" si="357">SUM(BE107:BE120)</f>
        <v>60000</v>
      </c>
      <c r="BF121" s="65">
        <f t="shared" si="357"/>
        <v>28800</v>
      </c>
      <c r="BG121" s="65">
        <f t="shared" si="357"/>
        <v>0</v>
      </c>
      <c r="BH121" s="65">
        <f t="shared" si="357"/>
        <v>34601.5</v>
      </c>
      <c r="BI121" s="65">
        <f t="shared" si="357"/>
        <v>0</v>
      </c>
      <c r="BJ121" s="65">
        <f t="shared" si="357"/>
        <v>0</v>
      </c>
      <c r="BK121" s="65">
        <f t="shared" si="357"/>
        <v>994841.5</v>
      </c>
      <c r="BM121" s="65">
        <f>SUM(BM107:BM120)</f>
        <v>258000</v>
      </c>
      <c r="BN121" s="65">
        <f t="shared" ref="BN121:BT121" si="358">SUM(BN107:BN120)</f>
        <v>0</v>
      </c>
      <c r="BO121" s="65">
        <f t="shared" si="358"/>
        <v>15000</v>
      </c>
      <c r="BP121" s="65">
        <f t="shared" si="358"/>
        <v>0</v>
      </c>
      <c r="BQ121" s="65">
        <f t="shared" si="358"/>
        <v>0</v>
      </c>
      <c r="BR121" s="65">
        <f t="shared" si="358"/>
        <v>0</v>
      </c>
      <c r="BS121" s="65">
        <f t="shared" si="358"/>
        <v>0</v>
      </c>
      <c r="BT121" s="65">
        <f t="shared" si="358"/>
        <v>273000</v>
      </c>
      <c r="BV121" s="65">
        <f>SUM(BV107:BV120)</f>
        <v>28305751.5</v>
      </c>
      <c r="BW121" s="65">
        <f t="shared" ref="BW121:CC121" si="359">SUM(BW107:BW120)</f>
        <v>3525875</v>
      </c>
      <c r="BX121" s="65">
        <f t="shared" si="359"/>
        <v>474850</v>
      </c>
      <c r="BY121" s="65">
        <f t="shared" si="359"/>
        <v>0</v>
      </c>
      <c r="BZ121" s="65">
        <f t="shared" si="359"/>
        <v>34601.5</v>
      </c>
      <c r="CA121" s="65">
        <f t="shared" si="359"/>
        <v>0</v>
      </c>
      <c r="CB121" s="65">
        <f t="shared" si="359"/>
        <v>0</v>
      </c>
      <c r="CC121" s="65">
        <f t="shared" si="359"/>
        <v>32341078</v>
      </c>
    </row>
    <row r="122" spans="1:81" ht="15">
      <c r="A122" s="66" t="s">
        <v>109</v>
      </c>
      <c r="B122" s="49"/>
      <c r="C122" s="49"/>
      <c r="D122" s="49"/>
      <c r="E122" s="49"/>
      <c r="F122" s="49"/>
      <c r="G122" s="49"/>
      <c r="H122" s="49"/>
      <c r="I122" s="50"/>
      <c r="J122" s="7"/>
      <c r="K122" s="49"/>
      <c r="L122" s="49"/>
      <c r="M122" s="49"/>
      <c r="N122" s="49"/>
      <c r="O122" s="49"/>
      <c r="P122" s="49"/>
      <c r="Q122" s="49"/>
      <c r="R122" s="50"/>
      <c r="T122" s="49"/>
      <c r="U122" s="49"/>
      <c r="V122" s="49"/>
      <c r="W122" s="49"/>
      <c r="X122" s="49"/>
      <c r="Y122" s="49"/>
      <c r="Z122" s="49"/>
      <c r="AA122" s="50"/>
      <c r="AC122" s="49"/>
      <c r="AD122" s="49"/>
      <c r="AE122" s="49"/>
      <c r="AF122" s="49"/>
      <c r="AG122" s="49"/>
      <c r="AH122" s="49"/>
      <c r="AI122" s="49"/>
      <c r="AJ122" s="50"/>
      <c r="AL122" s="49"/>
      <c r="AM122" s="49"/>
      <c r="AN122" s="49"/>
      <c r="AO122" s="49"/>
      <c r="AP122" s="49"/>
      <c r="AQ122" s="49"/>
      <c r="AR122" s="49"/>
      <c r="AS122" s="50"/>
      <c r="AU122" s="49"/>
      <c r="AV122" s="49"/>
      <c r="AW122" s="49"/>
      <c r="AX122" s="49"/>
      <c r="AY122" s="49"/>
      <c r="AZ122" s="49"/>
      <c r="BA122" s="49"/>
      <c r="BB122" s="50"/>
      <c r="BD122" s="49"/>
      <c r="BE122" s="49"/>
      <c r="BF122" s="49"/>
      <c r="BG122" s="49"/>
      <c r="BH122" s="49"/>
      <c r="BI122" s="49"/>
      <c r="BJ122" s="49"/>
      <c r="BK122" s="50"/>
      <c r="BM122" s="49"/>
      <c r="BN122" s="49"/>
      <c r="BO122" s="49"/>
      <c r="BP122" s="49"/>
      <c r="BQ122" s="49"/>
      <c r="BR122" s="49"/>
      <c r="BS122" s="49"/>
      <c r="BT122" s="50"/>
      <c r="BV122" s="49"/>
      <c r="BW122" s="49"/>
      <c r="BX122" s="49"/>
      <c r="BY122" s="49"/>
      <c r="BZ122" s="49"/>
      <c r="CA122" s="49"/>
      <c r="CB122" s="49"/>
      <c r="CC122" s="50"/>
    </row>
    <row r="123" spans="1:81">
      <c r="A123" s="29" t="s">
        <v>55</v>
      </c>
      <c r="B123" s="11">
        <v>0</v>
      </c>
      <c r="C123" s="62">
        <v>75000</v>
      </c>
      <c r="D123" s="11"/>
      <c r="E123" s="11"/>
      <c r="F123" s="5"/>
      <c r="G123" s="5"/>
      <c r="H123" s="5"/>
      <c r="I123" s="5">
        <f t="shared" ref="I123:I130" si="360">SUM(B123:H123)</f>
        <v>75000</v>
      </c>
      <c r="K123" s="11">
        <v>0</v>
      </c>
      <c r="L123" s="62">
        <v>80000</v>
      </c>
      <c r="M123" s="11"/>
      <c r="N123" s="11"/>
      <c r="O123" s="5"/>
      <c r="P123" s="5"/>
      <c r="Q123" s="5"/>
      <c r="R123" s="5">
        <f t="shared" ref="R123:R128" si="361">SUM(K123:Q123)</f>
        <v>80000</v>
      </c>
      <c r="T123" s="11"/>
      <c r="U123" s="62">
        <f>46000*1.25</f>
        <v>57500</v>
      </c>
      <c r="V123" s="11"/>
      <c r="W123" s="11"/>
      <c r="X123" s="5"/>
      <c r="Y123" s="5"/>
      <c r="Z123" s="5"/>
      <c r="AA123" s="5">
        <f t="shared" ref="AA123:AA128" si="362">SUM(T123:Z123)</f>
        <v>57500</v>
      </c>
      <c r="AC123" s="11">
        <v>0</v>
      </c>
      <c r="AD123" s="62">
        <v>90000</v>
      </c>
      <c r="AE123" s="11"/>
      <c r="AF123" s="11"/>
      <c r="AG123" s="5"/>
      <c r="AH123" s="5"/>
      <c r="AI123" s="5"/>
      <c r="AJ123" s="5">
        <f t="shared" ref="AJ123:AJ128" si="363">SUM(AC123:AI123)</f>
        <v>90000</v>
      </c>
      <c r="AL123" s="11">
        <v>0</v>
      </c>
      <c r="AM123" s="62"/>
      <c r="AN123" s="11"/>
      <c r="AO123" s="11"/>
      <c r="AP123" s="5"/>
      <c r="AQ123" s="5"/>
      <c r="AR123" s="5"/>
      <c r="AS123" s="5">
        <f t="shared" ref="AS123:AS128" si="364">SUM(AL123:AR123)</f>
        <v>0</v>
      </c>
      <c r="AU123" s="11">
        <v>0</v>
      </c>
      <c r="AV123" s="62">
        <v>0</v>
      </c>
      <c r="AW123" s="11"/>
      <c r="AX123" s="11"/>
      <c r="AY123" s="5"/>
      <c r="AZ123" s="5"/>
      <c r="BA123" s="5"/>
      <c r="BB123" s="5">
        <f t="shared" ref="BB123:BB128" si="365">SUM(AU123:BA123)</f>
        <v>0</v>
      </c>
      <c r="BD123" s="11">
        <v>0</v>
      </c>
      <c r="BE123" s="62">
        <v>0</v>
      </c>
      <c r="BF123" s="11"/>
      <c r="BG123" s="11"/>
      <c r="BH123" s="5"/>
      <c r="BI123" s="5"/>
      <c r="BJ123" s="5"/>
      <c r="BK123" s="5">
        <f t="shared" ref="BK123:BK128" si="366">SUM(BD123:BJ123)</f>
        <v>0</v>
      </c>
      <c r="BM123" s="11">
        <v>0</v>
      </c>
      <c r="BN123" s="62">
        <v>0</v>
      </c>
      <c r="BO123" s="11"/>
      <c r="BP123" s="11"/>
      <c r="BQ123" s="5"/>
      <c r="BR123" s="5"/>
      <c r="BS123" s="5"/>
      <c r="BT123" s="5">
        <f t="shared" ref="BT123:BT128" si="367">SUM(BM123:BS123)</f>
        <v>0</v>
      </c>
      <c r="BV123" s="5">
        <f t="shared" ref="BV123" si="368">B123+K123+T123+AC123+AL123+AU123+BD123+BM123</f>
        <v>0</v>
      </c>
      <c r="BW123" s="5">
        <f t="shared" ref="BW123" si="369">C123+L123+U123+AD123+AM123+AV123+BE123+BN123</f>
        <v>302500</v>
      </c>
      <c r="BX123" s="5">
        <f t="shared" ref="BX123" si="370">D123+M123+V123+AE123+AN123+AW123+BF123+BO123</f>
        <v>0</v>
      </c>
      <c r="BY123" s="5">
        <f t="shared" ref="BY123" si="371">E123+N123+W123+AF123+AO123+AX123+BG123+BP123</f>
        <v>0</v>
      </c>
      <c r="BZ123" s="5">
        <f t="shared" ref="BZ123" si="372">F123+O123+X123+AG123+AP123+AY123+BH123+BQ123</f>
        <v>0</v>
      </c>
      <c r="CA123" s="5">
        <f t="shared" ref="CA123" si="373">G123+P123+Y123+AH123+AQ123+AZ123+BI123+BR123</f>
        <v>0</v>
      </c>
      <c r="CB123" s="5"/>
      <c r="CC123" s="5">
        <f t="shared" ref="CC123:CC128" si="374">SUM(BV123:CB123)</f>
        <v>302500</v>
      </c>
    </row>
    <row r="124" spans="1:81">
      <c r="A124" s="29" t="s">
        <v>56</v>
      </c>
      <c r="B124" s="11">
        <v>0</v>
      </c>
      <c r="C124" s="62">
        <v>0</v>
      </c>
      <c r="D124" s="11"/>
      <c r="E124" s="11"/>
      <c r="F124" s="5"/>
      <c r="G124" s="5"/>
      <c r="H124" s="5"/>
      <c r="I124" s="5">
        <f t="shared" si="360"/>
        <v>0</v>
      </c>
      <c r="K124" s="11">
        <v>0</v>
      </c>
      <c r="L124" s="62">
        <v>0</v>
      </c>
      <c r="M124" s="11"/>
      <c r="N124" s="11"/>
      <c r="O124" s="5"/>
      <c r="P124" s="5"/>
      <c r="Q124" s="5"/>
      <c r="R124" s="5">
        <f t="shared" si="361"/>
        <v>0</v>
      </c>
      <c r="T124" s="11"/>
      <c r="U124" s="62">
        <f>42600*1.25</f>
        <v>53250</v>
      </c>
      <c r="V124" s="11"/>
      <c r="W124" s="11"/>
      <c r="X124" s="5"/>
      <c r="Y124" s="5"/>
      <c r="Z124" s="5"/>
      <c r="AA124" s="5">
        <f t="shared" si="362"/>
        <v>53250</v>
      </c>
      <c r="AC124" s="11">
        <v>0</v>
      </c>
      <c r="AD124" s="62">
        <v>62000</v>
      </c>
      <c r="AE124" s="11"/>
      <c r="AF124" s="11"/>
      <c r="AG124" s="5"/>
      <c r="AH124" s="5"/>
      <c r="AI124" s="5"/>
      <c r="AJ124" s="5">
        <f t="shared" si="363"/>
        <v>62000</v>
      </c>
      <c r="AL124" s="11">
        <v>0</v>
      </c>
      <c r="AM124" s="62">
        <v>0</v>
      </c>
      <c r="AN124" s="11"/>
      <c r="AO124" s="11"/>
      <c r="AP124" s="5"/>
      <c r="AQ124" s="5"/>
      <c r="AR124" s="5"/>
      <c r="AS124" s="5">
        <f t="shared" si="364"/>
        <v>0</v>
      </c>
      <c r="AU124" s="11">
        <v>0</v>
      </c>
      <c r="AV124" s="62">
        <v>0</v>
      </c>
      <c r="AW124" s="11"/>
      <c r="AX124" s="11"/>
      <c r="AY124" s="5"/>
      <c r="AZ124" s="5"/>
      <c r="BA124" s="5"/>
      <c r="BB124" s="5">
        <f t="shared" si="365"/>
        <v>0</v>
      </c>
      <c r="BD124" s="11">
        <v>0</v>
      </c>
      <c r="BE124" s="62">
        <v>0</v>
      </c>
      <c r="BF124" s="11"/>
      <c r="BG124" s="11"/>
      <c r="BH124" s="5"/>
      <c r="BI124" s="5"/>
      <c r="BJ124" s="5"/>
      <c r="BK124" s="5">
        <f t="shared" si="366"/>
        <v>0</v>
      </c>
      <c r="BM124" s="11">
        <v>0</v>
      </c>
      <c r="BN124" s="62">
        <v>0</v>
      </c>
      <c r="BO124" s="11"/>
      <c r="BP124" s="11"/>
      <c r="BQ124" s="5"/>
      <c r="BR124" s="5"/>
      <c r="BS124" s="5"/>
      <c r="BT124" s="5">
        <f t="shared" si="367"/>
        <v>0</v>
      </c>
      <c r="BV124" s="5">
        <f t="shared" ref="BV124:BV130" si="375">B124+K124+T124+AC124+AL124+AU124+BD124+BM124</f>
        <v>0</v>
      </c>
      <c r="BW124" s="5">
        <f t="shared" ref="BW124:BW130" si="376">C124+L124+U124+AD124+AM124+AV124+BE124+BN124</f>
        <v>115250</v>
      </c>
      <c r="BX124" s="5">
        <f t="shared" ref="BX124:BX130" si="377">D124+M124+V124+AE124+AN124+AW124+BF124+BO124</f>
        <v>0</v>
      </c>
      <c r="BY124" s="5">
        <f t="shared" ref="BY124:BY130" si="378">E124+N124+W124+AF124+AO124+AX124+BG124+BP124</f>
        <v>0</v>
      </c>
      <c r="BZ124" s="5">
        <f t="shared" ref="BZ124:BZ130" si="379">F124+O124+X124+AG124+AP124+AY124+BH124+BQ124</f>
        <v>0</v>
      </c>
      <c r="CA124" s="5">
        <f t="shared" ref="CA124:CA130" si="380">G124+P124+Y124+AH124+AQ124+AZ124+BI124+BR124</f>
        <v>0</v>
      </c>
      <c r="CB124" s="5"/>
      <c r="CC124" s="5">
        <f t="shared" si="374"/>
        <v>115250</v>
      </c>
    </row>
    <row r="125" spans="1:81">
      <c r="A125" s="29" t="s">
        <v>57</v>
      </c>
      <c r="B125" s="11">
        <v>0</v>
      </c>
      <c r="C125" s="11">
        <v>0</v>
      </c>
      <c r="D125" s="11"/>
      <c r="E125" s="11"/>
      <c r="F125" s="5"/>
      <c r="G125" s="5"/>
      <c r="H125" s="5"/>
      <c r="I125" s="5">
        <f t="shared" si="360"/>
        <v>0</v>
      </c>
      <c r="K125" s="11">
        <v>0</v>
      </c>
      <c r="L125" s="11">
        <f>35000*1.25</f>
        <v>43750</v>
      </c>
      <c r="M125" s="11"/>
      <c r="N125" s="11"/>
      <c r="O125" s="5"/>
      <c r="P125" s="5"/>
      <c r="Q125" s="5"/>
      <c r="R125" s="5">
        <f t="shared" si="361"/>
        <v>43750</v>
      </c>
      <c r="T125" s="11"/>
      <c r="U125" s="11">
        <f>35000*1.25</f>
        <v>43750</v>
      </c>
      <c r="V125" s="11"/>
      <c r="W125" s="11"/>
      <c r="X125" s="5"/>
      <c r="Y125" s="5"/>
      <c r="Z125" s="5"/>
      <c r="AA125" s="5">
        <f t="shared" si="362"/>
        <v>43750</v>
      </c>
      <c r="AC125" s="11">
        <v>0</v>
      </c>
      <c r="AD125" s="11">
        <f>80000*1.2</f>
        <v>96000</v>
      </c>
      <c r="AE125" s="11"/>
      <c r="AF125" s="11"/>
      <c r="AG125" s="5"/>
      <c r="AH125" s="5"/>
      <c r="AI125" s="5"/>
      <c r="AJ125" s="5">
        <f t="shared" si="363"/>
        <v>96000</v>
      </c>
      <c r="AL125" s="11">
        <v>0</v>
      </c>
      <c r="AM125" s="11">
        <v>90000</v>
      </c>
      <c r="AN125" s="11"/>
      <c r="AO125" s="11"/>
      <c r="AP125" s="5"/>
      <c r="AQ125" s="5"/>
      <c r="AR125" s="5"/>
      <c r="AS125" s="5">
        <f t="shared" si="364"/>
        <v>90000</v>
      </c>
      <c r="AU125" s="11">
        <v>0</v>
      </c>
      <c r="AV125" s="11">
        <v>0</v>
      </c>
      <c r="AW125" s="11"/>
      <c r="AX125" s="11"/>
      <c r="AY125" s="5"/>
      <c r="AZ125" s="5"/>
      <c r="BA125" s="5"/>
      <c r="BB125" s="5">
        <f t="shared" si="365"/>
        <v>0</v>
      </c>
      <c r="BD125" s="11">
        <v>0</v>
      </c>
      <c r="BE125" s="11">
        <v>0</v>
      </c>
      <c r="BF125" s="11"/>
      <c r="BG125" s="11"/>
      <c r="BH125" s="5"/>
      <c r="BI125" s="5"/>
      <c r="BJ125" s="5"/>
      <c r="BK125" s="5">
        <f t="shared" si="366"/>
        <v>0</v>
      </c>
      <c r="BM125" s="11">
        <v>0</v>
      </c>
      <c r="BN125" s="11">
        <v>0</v>
      </c>
      <c r="BO125" s="11"/>
      <c r="BP125" s="11"/>
      <c r="BQ125" s="5"/>
      <c r="BR125" s="5"/>
      <c r="BS125" s="5"/>
      <c r="BT125" s="5">
        <f t="shared" si="367"/>
        <v>0</v>
      </c>
      <c r="BV125" s="5">
        <f t="shared" si="375"/>
        <v>0</v>
      </c>
      <c r="BW125" s="5">
        <f t="shared" si="376"/>
        <v>273500</v>
      </c>
      <c r="BX125" s="5">
        <f t="shared" si="377"/>
        <v>0</v>
      </c>
      <c r="BY125" s="5">
        <f t="shared" si="378"/>
        <v>0</v>
      </c>
      <c r="BZ125" s="5">
        <f t="shared" si="379"/>
        <v>0</v>
      </c>
      <c r="CA125" s="5">
        <f t="shared" si="380"/>
        <v>0</v>
      </c>
      <c r="CB125" s="5"/>
      <c r="CC125" s="5">
        <f t="shared" si="374"/>
        <v>273500</v>
      </c>
    </row>
    <row r="126" spans="1:81">
      <c r="A126" s="29" t="s">
        <v>110</v>
      </c>
      <c r="B126" s="11">
        <v>0</v>
      </c>
      <c r="C126" s="11"/>
      <c r="D126" s="11"/>
      <c r="E126" s="11"/>
      <c r="F126" s="5"/>
      <c r="G126" s="5"/>
      <c r="H126" s="5"/>
      <c r="I126" s="26">
        <f t="shared" si="360"/>
        <v>0</v>
      </c>
      <c r="K126" s="11">
        <v>0</v>
      </c>
      <c r="L126" s="11"/>
      <c r="M126" s="11"/>
      <c r="N126" s="11"/>
      <c r="O126" s="5"/>
      <c r="P126" s="5"/>
      <c r="Q126" s="5"/>
      <c r="R126" s="26">
        <f t="shared" si="361"/>
        <v>0</v>
      </c>
      <c r="T126" s="11"/>
      <c r="U126" s="11">
        <f>20000*1.25</f>
        <v>25000</v>
      </c>
      <c r="V126" s="11"/>
      <c r="W126" s="11"/>
      <c r="X126" s="5"/>
      <c r="Y126" s="5"/>
      <c r="Z126" s="5"/>
      <c r="AA126" s="5">
        <f t="shared" si="362"/>
        <v>25000</v>
      </c>
      <c r="AC126" s="11">
        <v>0</v>
      </c>
      <c r="AD126" s="11"/>
      <c r="AE126" s="11"/>
      <c r="AF126" s="11"/>
      <c r="AG126" s="5"/>
      <c r="AH126" s="5"/>
      <c r="AI126" s="5"/>
      <c r="AJ126" s="26">
        <f t="shared" si="363"/>
        <v>0</v>
      </c>
      <c r="AL126" s="11">
        <v>0</v>
      </c>
      <c r="AM126" s="11">
        <f>40000*1.2</f>
        <v>48000</v>
      </c>
      <c r="AN126" s="11"/>
      <c r="AO126" s="11"/>
      <c r="AP126" s="5"/>
      <c r="AQ126" s="5"/>
      <c r="AR126" s="5"/>
      <c r="AS126" s="5">
        <f t="shared" si="364"/>
        <v>48000</v>
      </c>
      <c r="AU126" s="11">
        <v>0</v>
      </c>
      <c r="AV126" s="11"/>
      <c r="AW126" s="11"/>
      <c r="AX126" s="11"/>
      <c r="AY126" s="5"/>
      <c r="AZ126" s="5"/>
      <c r="BA126" s="5"/>
      <c r="BB126" s="26">
        <f t="shared" si="365"/>
        <v>0</v>
      </c>
      <c r="BD126" s="11">
        <v>0</v>
      </c>
      <c r="BE126" s="11">
        <v>0</v>
      </c>
      <c r="BF126" s="11"/>
      <c r="BG126" s="11"/>
      <c r="BH126" s="5"/>
      <c r="BI126" s="5"/>
      <c r="BJ126" s="5"/>
      <c r="BK126" s="26">
        <f t="shared" si="366"/>
        <v>0</v>
      </c>
      <c r="BM126" s="11">
        <v>0</v>
      </c>
      <c r="BN126" s="11"/>
      <c r="BO126" s="11"/>
      <c r="BP126" s="11"/>
      <c r="BQ126" s="5"/>
      <c r="BR126" s="5"/>
      <c r="BS126" s="5"/>
      <c r="BT126" s="26">
        <f t="shared" si="367"/>
        <v>0</v>
      </c>
      <c r="BV126" s="5">
        <f t="shared" si="375"/>
        <v>0</v>
      </c>
      <c r="BW126" s="5">
        <f t="shared" si="376"/>
        <v>73000</v>
      </c>
      <c r="BX126" s="5">
        <f t="shared" si="377"/>
        <v>0</v>
      </c>
      <c r="BY126" s="5">
        <f t="shared" si="378"/>
        <v>0</v>
      </c>
      <c r="BZ126" s="5">
        <f t="shared" si="379"/>
        <v>0</v>
      </c>
      <c r="CA126" s="5">
        <f t="shared" si="380"/>
        <v>0</v>
      </c>
      <c r="CB126" s="5"/>
      <c r="CC126" s="26">
        <f t="shared" si="374"/>
        <v>73000</v>
      </c>
    </row>
    <row r="127" spans="1:81">
      <c r="A127" s="29" t="s">
        <v>59</v>
      </c>
      <c r="B127" s="11">
        <v>0</v>
      </c>
      <c r="C127" s="11"/>
      <c r="D127" s="11"/>
      <c r="E127" s="11"/>
      <c r="F127" s="5"/>
      <c r="G127" s="5"/>
      <c r="H127" s="5"/>
      <c r="I127" s="5">
        <f t="shared" si="360"/>
        <v>0</v>
      </c>
      <c r="K127" s="11">
        <v>0</v>
      </c>
      <c r="L127" s="11">
        <v>32000</v>
      </c>
      <c r="M127" s="11"/>
      <c r="N127" s="11"/>
      <c r="O127" s="5"/>
      <c r="P127" s="5"/>
      <c r="Q127" s="5"/>
      <c r="R127" s="5">
        <f t="shared" si="361"/>
        <v>32000</v>
      </c>
      <c r="T127" s="11"/>
      <c r="U127" s="11">
        <v>32000</v>
      </c>
      <c r="V127" s="11"/>
      <c r="W127" s="11"/>
      <c r="X127" s="5"/>
      <c r="Y127" s="5"/>
      <c r="Z127" s="5"/>
      <c r="AA127" s="5">
        <f t="shared" si="362"/>
        <v>32000</v>
      </c>
      <c r="AC127" s="11">
        <v>0</v>
      </c>
      <c r="AD127" s="11">
        <f>61000*1.2</f>
        <v>73200</v>
      </c>
      <c r="AE127" s="11"/>
      <c r="AF127" s="11"/>
      <c r="AG127" s="5"/>
      <c r="AH127" s="5"/>
      <c r="AI127" s="5"/>
      <c r="AJ127" s="5">
        <f t="shared" si="363"/>
        <v>73200</v>
      </c>
      <c r="AL127" s="11">
        <v>0</v>
      </c>
      <c r="AM127" s="11">
        <f>68000*1.2</f>
        <v>81600</v>
      </c>
      <c r="AN127" s="11"/>
      <c r="AO127" s="11"/>
      <c r="AP127" s="5"/>
      <c r="AQ127" s="5"/>
      <c r="AR127" s="5"/>
      <c r="AS127" s="5">
        <f t="shared" si="364"/>
        <v>81600</v>
      </c>
      <c r="AU127" s="11">
        <v>0</v>
      </c>
      <c r="AV127" s="11"/>
      <c r="AW127" s="11"/>
      <c r="AX127" s="11"/>
      <c r="AY127" s="5"/>
      <c r="AZ127" s="5"/>
      <c r="BA127" s="5"/>
      <c r="BB127" s="5">
        <f t="shared" si="365"/>
        <v>0</v>
      </c>
      <c r="BD127" s="11">
        <v>0</v>
      </c>
      <c r="BE127" s="11">
        <v>0</v>
      </c>
      <c r="BF127" s="11"/>
      <c r="BG127" s="11"/>
      <c r="BH127" s="5"/>
      <c r="BI127" s="5"/>
      <c r="BJ127" s="5"/>
      <c r="BK127" s="5">
        <f t="shared" si="366"/>
        <v>0</v>
      </c>
      <c r="BM127" s="11">
        <v>0</v>
      </c>
      <c r="BN127" s="11"/>
      <c r="BO127" s="11"/>
      <c r="BP127" s="11"/>
      <c r="BQ127" s="5"/>
      <c r="BR127" s="5"/>
      <c r="BS127" s="5"/>
      <c r="BT127" s="5">
        <f t="shared" si="367"/>
        <v>0</v>
      </c>
      <c r="BV127" s="5">
        <f t="shared" si="375"/>
        <v>0</v>
      </c>
      <c r="BW127" s="5">
        <f t="shared" si="376"/>
        <v>218800</v>
      </c>
      <c r="BX127" s="5">
        <f t="shared" si="377"/>
        <v>0</v>
      </c>
      <c r="BY127" s="5">
        <f t="shared" si="378"/>
        <v>0</v>
      </c>
      <c r="BZ127" s="5">
        <f t="shared" si="379"/>
        <v>0</v>
      </c>
      <c r="CA127" s="5">
        <f t="shared" si="380"/>
        <v>0</v>
      </c>
      <c r="CB127" s="5"/>
      <c r="CC127" s="5">
        <f t="shared" si="374"/>
        <v>218800</v>
      </c>
    </row>
    <row r="128" spans="1:81">
      <c r="A128" s="29" t="s">
        <v>111</v>
      </c>
      <c r="B128" s="62">
        <v>0</v>
      </c>
      <c r="C128" s="11"/>
      <c r="D128" s="11"/>
      <c r="E128" s="11"/>
      <c r="F128" s="5"/>
      <c r="G128" s="5"/>
      <c r="H128" s="5"/>
      <c r="I128" s="5">
        <f t="shared" si="360"/>
        <v>0</v>
      </c>
      <c r="K128" s="62">
        <v>62000</v>
      </c>
      <c r="L128" s="11"/>
      <c r="M128" s="11">
        <v>0</v>
      </c>
      <c r="N128" s="11"/>
      <c r="O128" s="5"/>
      <c r="P128" s="5"/>
      <c r="Q128" s="5"/>
      <c r="R128" s="5">
        <f t="shared" si="361"/>
        <v>62000</v>
      </c>
      <c r="T128" s="62">
        <f>62000+62000</f>
        <v>124000</v>
      </c>
      <c r="U128" s="11"/>
      <c r="V128" s="11"/>
      <c r="W128" s="11"/>
      <c r="X128" s="5"/>
      <c r="Y128" s="5"/>
      <c r="Z128" s="5"/>
      <c r="AA128" s="5">
        <f t="shared" si="362"/>
        <v>124000</v>
      </c>
      <c r="AC128" s="62">
        <v>62000</v>
      </c>
      <c r="AD128" s="11"/>
      <c r="AE128" s="11"/>
      <c r="AF128" s="11"/>
      <c r="AG128" s="5"/>
      <c r="AH128" s="5"/>
      <c r="AI128" s="5"/>
      <c r="AJ128" s="5">
        <f t="shared" si="363"/>
        <v>62000</v>
      </c>
      <c r="AL128" s="62">
        <f>62000+62000</f>
        <v>124000</v>
      </c>
      <c r="AM128" s="11"/>
      <c r="AN128" s="11"/>
      <c r="AO128" s="11"/>
      <c r="AP128" s="5"/>
      <c r="AQ128" s="5"/>
      <c r="AR128" s="5"/>
      <c r="AS128" s="5">
        <f t="shared" si="364"/>
        <v>124000</v>
      </c>
      <c r="AU128" s="62">
        <v>0</v>
      </c>
      <c r="AV128" s="11"/>
      <c r="AW128" s="11"/>
      <c r="AX128" s="11"/>
      <c r="AY128" s="5"/>
      <c r="AZ128" s="5"/>
      <c r="BA128" s="5"/>
      <c r="BB128" s="5">
        <f t="shared" si="365"/>
        <v>0</v>
      </c>
      <c r="BD128" s="62">
        <v>0</v>
      </c>
      <c r="BE128" s="11"/>
      <c r="BF128" s="11"/>
      <c r="BG128" s="11"/>
      <c r="BH128" s="5"/>
      <c r="BI128" s="5"/>
      <c r="BJ128" s="5"/>
      <c r="BK128" s="5">
        <f t="shared" si="366"/>
        <v>0</v>
      </c>
      <c r="BM128" s="62">
        <v>0</v>
      </c>
      <c r="BN128" s="11"/>
      <c r="BO128" s="11"/>
      <c r="BP128" s="11"/>
      <c r="BQ128" s="5"/>
      <c r="BR128" s="5"/>
      <c r="BS128" s="5"/>
      <c r="BT128" s="5">
        <f t="shared" si="367"/>
        <v>0</v>
      </c>
      <c r="BV128" s="5">
        <f t="shared" si="375"/>
        <v>372000</v>
      </c>
      <c r="BW128" s="5">
        <f t="shared" si="376"/>
        <v>0</v>
      </c>
      <c r="BX128" s="5">
        <f t="shared" si="377"/>
        <v>0</v>
      </c>
      <c r="BY128" s="5">
        <f t="shared" si="378"/>
        <v>0</v>
      </c>
      <c r="BZ128" s="5">
        <f t="shared" si="379"/>
        <v>0</v>
      </c>
      <c r="CA128" s="5">
        <f t="shared" si="380"/>
        <v>0</v>
      </c>
      <c r="CB128" s="5"/>
      <c r="CC128" s="5">
        <f t="shared" si="374"/>
        <v>372000</v>
      </c>
    </row>
    <row r="129" spans="1:81">
      <c r="A129" s="29" t="s">
        <v>112</v>
      </c>
      <c r="B129" s="11">
        <f>(12.5*6*185)*B52</f>
        <v>0</v>
      </c>
      <c r="C129" s="11">
        <f>(12.5*6*185)*C52</f>
        <v>0</v>
      </c>
      <c r="D129" s="62">
        <v>0</v>
      </c>
      <c r="E129" s="62"/>
      <c r="F129" s="5"/>
      <c r="G129" s="5"/>
      <c r="H129" s="5"/>
      <c r="I129" s="5">
        <f t="shared" si="360"/>
        <v>0</v>
      </c>
      <c r="K129" s="11">
        <f>(12.5*6*185)*K52</f>
        <v>0</v>
      </c>
      <c r="L129" s="11">
        <f>(12.5*6*185)*L52</f>
        <v>0</v>
      </c>
      <c r="M129" s="62"/>
      <c r="N129" s="62"/>
      <c r="O129" s="5"/>
      <c r="P129" s="5"/>
      <c r="Q129" s="5"/>
      <c r="R129" s="5">
        <f>SUM(K129:Q129)</f>
        <v>0</v>
      </c>
      <c r="T129" s="11">
        <f>50000*1.2</f>
        <v>60000</v>
      </c>
      <c r="U129" s="11"/>
      <c r="V129" s="62"/>
      <c r="W129" s="62"/>
      <c r="X129" s="5"/>
      <c r="Y129" s="5"/>
      <c r="Z129" s="5"/>
      <c r="AA129" s="5">
        <f>SUM(T129:Z129)</f>
        <v>60000</v>
      </c>
      <c r="AC129" s="98">
        <v>55000</v>
      </c>
      <c r="AD129" s="11">
        <f>(12.5*6*185)*AD52</f>
        <v>0</v>
      </c>
      <c r="AE129" s="62">
        <v>0</v>
      </c>
      <c r="AF129" s="62"/>
      <c r="AG129" s="5"/>
      <c r="AH129" s="5"/>
      <c r="AI129" s="5"/>
      <c r="AJ129" s="5">
        <f>SUM(AC129:AI129)</f>
        <v>55000</v>
      </c>
      <c r="AL129" s="11">
        <f>60000</f>
        <v>60000</v>
      </c>
      <c r="AM129" s="11">
        <f>(12.5*6*185)*AM52</f>
        <v>0</v>
      </c>
      <c r="AN129" s="62">
        <v>0</v>
      </c>
      <c r="AO129" s="62"/>
      <c r="AP129" s="5"/>
      <c r="AQ129" s="5"/>
      <c r="AR129" s="5"/>
      <c r="AS129" s="5">
        <f>SUM(AL129:AR129)</f>
        <v>60000</v>
      </c>
      <c r="AU129" s="11">
        <f>(12.5*6*185)*AU52</f>
        <v>0</v>
      </c>
      <c r="AV129" s="11">
        <f>(12.5*6*185)*AV52</f>
        <v>0</v>
      </c>
      <c r="AW129" s="62">
        <v>0</v>
      </c>
      <c r="AX129" s="62"/>
      <c r="AY129" s="5"/>
      <c r="AZ129" s="5"/>
      <c r="BA129" s="5"/>
      <c r="BB129" s="5">
        <f>SUM(AU129:BA129)</f>
        <v>0</v>
      </c>
      <c r="BD129" s="11">
        <f>(12.5*6*185)*BD52</f>
        <v>0</v>
      </c>
      <c r="BE129" s="11">
        <f>(12.5*6*185)*BE52</f>
        <v>0</v>
      </c>
      <c r="BF129" s="62">
        <v>0</v>
      </c>
      <c r="BG129" s="62"/>
      <c r="BH129" s="5"/>
      <c r="BI129" s="5"/>
      <c r="BJ129" s="5"/>
      <c r="BK129" s="5">
        <f>SUM(BD129:BJ129)</f>
        <v>0</v>
      </c>
      <c r="BM129" s="11">
        <f>(12.5*6*185)*BM52</f>
        <v>0</v>
      </c>
      <c r="BN129" s="11">
        <f>(12.5*6*185)*BN52</f>
        <v>0</v>
      </c>
      <c r="BO129" s="62">
        <v>0</v>
      </c>
      <c r="BP129" s="62"/>
      <c r="BQ129" s="5"/>
      <c r="BR129" s="5"/>
      <c r="BS129" s="5"/>
      <c r="BT129" s="5">
        <f>SUM(BM129:BS129)</f>
        <v>0</v>
      </c>
      <c r="BV129" s="5">
        <f t="shared" si="375"/>
        <v>175000</v>
      </c>
      <c r="BW129" s="5">
        <f t="shared" si="376"/>
        <v>0</v>
      </c>
      <c r="BX129" s="5">
        <f t="shared" si="377"/>
        <v>0</v>
      </c>
      <c r="BY129" s="5">
        <f t="shared" si="378"/>
        <v>0</v>
      </c>
      <c r="BZ129" s="5">
        <f t="shared" si="379"/>
        <v>0</v>
      </c>
      <c r="CA129" s="5">
        <f t="shared" si="380"/>
        <v>0</v>
      </c>
      <c r="CB129" s="5"/>
      <c r="CC129" s="5">
        <f>SUM(BV129:CB129)</f>
        <v>175000</v>
      </c>
    </row>
    <row r="130" spans="1:81">
      <c r="A130" s="29" t="s">
        <v>60</v>
      </c>
      <c r="B130" s="67">
        <f>170*180*B59</f>
        <v>30600</v>
      </c>
      <c r="C130" s="67">
        <f t="shared" ref="C130:H130" si="381">170*180*C59</f>
        <v>0</v>
      </c>
      <c r="D130" s="67">
        <f t="shared" si="381"/>
        <v>0</v>
      </c>
      <c r="E130" s="67">
        <f t="shared" si="381"/>
        <v>0</v>
      </c>
      <c r="F130" s="67">
        <f t="shared" si="381"/>
        <v>0</v>
      </c>
      <c r="G130" s="67">
        <f t="shared" si="381"/>
        <v>0</v>
      </c>
      <c r="H130" s="67">
        <f t="shared" si="381"/>
        <v>0</v>
      </c>
      <c r="I130" s="5">
        <f t="shared" si="360"/>
        <v>30600</v>
      </c>
      <c r="K130" s="67">
        <f>170*180*K59</f>
        <v>30600</v>
      </c>
      <c r="L130" s="67">
        <f t="shared" ref="L130:Q130" si="382">170*180*L59</f>
        <v>0</v>
      </c>
      <c r="M130" s="67">
        <f t="shared" si="382"/>
        <v>0</v>
      </c>
      <c r="N130" s="67">
        <f t="shared" si="382"/>
        <v>0</v>
      </c>
      <c r="O130" s="67">
        <f t="shared" si="382"/>
        <v>0</v>
      </c>
      <c r="P130" s="67">
        <f t="shared" si="382"/>
        <v>0</v>
      </c>
      <c r="Q130" s="67">
        <f t="shared" si="382"/>
        <v>0</v>
      </c>
      <c r="R130" s="5">
        <f>SUM(K130:Q130)</f>
        <v>30600</v>
      </c>
      <c r="T130" s="35">
        <f>170*180*T59</f>
        <v>61200</v>
      </c>
      <c r="U130" s="35">
        <f t="shared" ref="U130:Z130" si="383">170*180*U59</f>
        <v>0</v>
      </c>
      <c r="V130" s="35">
        <f t="shared" si="383"/>
        <v>0</v>
      </c>
      <c r="W130" s="35">
        <f t="shared" si="383"/>
        <v>0</v>
      </c>
      <c r="X130" s="35">
        <f t="shared" si="383"/>
        <v>0</v>
      </c>
      <c r="Y130" s="35">
        <f t="shared" si="383"/>
        <v>0</v>
      </c>
      <c r="Z130" s="35">
        <f t="shared" si="383"/>
        <v>0</v>
      </c>
      <c r="AA130" s="5">
        <f>SUM(T130:Z130)</f>
        <v>61200</v>
      </c>
      <c r="AC130" s="67">
        <f>170*180*AC59</f>
        <v>91800</v>
      </c>
      <c r="AD130" s="67">
        <f t="shared" ref="AD130:AI130" si="384">170*180*AD59</f>
        <v>0</v>
      </c>
      <c r="AE130" s="67">
        <f t="shared" si="384"/>
        <v>0</v>
      </c>
      <c r="AF130" s="67">
        <f t="shared" si="384"/>
        <v>0</v>
      </c>
      <c r="AG130" s="67">
        <f t="shared" si="384"/>
        <v>0</v>
      </c>
      <c r="AH130" s="67">
        <f t="shared" si="384"/>
        <v>0</v>
      </c>
      <c r="AI130" s="67">
        <f t="shared" si="384"/>
        <v>0</v>
      </c>
      <c r="AJ130" s="5">
        <f>SUM(AC130:AI130)</f>
        <v>91800</v>
      </c>
      <c r="AL130" s="67">
        <f>170*180*AL59</f>
        <v>91800</v>
      </c>
      <c r="AM130" s="67">
        <f t="shared" ref="AM130:AR130" si="385">170*180*AM59</f>
        <v>0</v>
      </c>
      <c r="AN130" s="67">
        <f t="shared" si="385"/>
        <v>0</v>
      </c>
      <c r="AO130" s="67">
        <f t="shared" si="385"/>
        <v>0</v>
      </c>
      <c r="AP130" s="67">
        <f t="shared" si="385"/>
        <v>0</v>
      </c>
      <c r="AQ130" s="67">
        <f t="shared" si="385"/>
        <v>0</v>
      </c>
      <c r="AR130" s="67">
        <f t="shared" si="385"/>
        <v>0</v>
      </c>
      <c r="AS130" s="5">
        <f>SUM(AL130:AR130)</f>
        <v>91800</v>
      </c>
      <c r="AU130" s="67">
        <f>150*180*AU59</f>
        <v>0</v>
      </c>
      <c r="AV130" s="67">
        <f t="shared" ref="AV130:AX130" si="386">150*180*AV59</f>
        <v>0</v>
      </c>
      <c r="AW130" s="67">
        <f t="shared" si="386"/>
        <v>0</v>
      </c>
      <c r="AX130" s="67">
        <f t="shared" si="386"/>
        <v>0</v>
      </c>
      <c r="AY130" s="5"/>
      <c r="AZ130" s="5"/>
      <c r="BA130" s="5"/>
      <c r="BB130" s="5">
        <f>SUM(AU130:BA130)</f>
        <v>0</v>
      </c>
      <c r="BD130" s="67">
        <f>150*180*BD59</f>
        <v>0</v>
      </c>
      <c r="BE130" s="67">
        <f t="shared" ref="BE130:BG130" si="387">150*180*BE59</f>
        <v>0</v>
      </c>
      <c r="BF130" s="67">
        <f t="shared" si="387"/>
        <v>0</v>
      </c>
      <c r="BG130" s="67">
        <f t="shared" si="387"/>
        <v>0</v>
      </c>
      <c r="BH130" s="5"/>
      <c r="BI130" s="5"/>
      <c r="BJ130" s="5"/>
      <c r="BK130" s="5">
        <f>SUM(BD130:BJ130)</f>
        <v>0</v>
      </c>
      <c r="BM130" s="67">
        <f>150*180*BM59</f>
        <v>0</v>
      </c>
      <c r="BN130" s="67">
        <f t="shared" ref="BN130:BP130" si="388">150*180*BN59</f>
        <v>0</v>
      </c>
      <c r="BO130" s="67">
        <f t="shared" si="388"/>
        <v>0</v>
      </c>
      <c r="BP130" s="67">
        <f t="shared" si="388"/>
        <v>0</v>
      </c>
      <c r="BQ130" s="5"/>
      <c r="BR130" s="5"/>
      <c r="BS130" s="5"/>
      <c r="BT130" s="5">
        <f>SUM(BM130:BS130)</f>
        <v>0</v>
      </c>
      <c r="BV130" s="5">
        <f t="shared" si="375"/>
        <v>306000</v>
      </c>
      <c r="BW130" s="5">
        <f t="shared" si="376"/>
        <v>0</v>
      </c>
      <c r="BX130" s="5">
        <f t="shared" si="377"/>
        <v>0</v>
      </c>
      <c r="BY130" s="5">
        <f t="shared" si="378"/>
        <v>0</v>
      </c>
      <c r="BZ130" s="5">
        <f t="shared" si="379"/>
        <v>0</v>
      </c>
      <c r="CA130" s="5">
        <f t="shared" si="380"/>
        <v>0</v>
      </c>
      <c r="CB130" s="5"/>
      <c r="CC130" s="5">
        <f>SUM(BV130:CB130)</f>
        <v>306000</v>
      </c>
    </row>
    <row r="131" spans="1:81" ht="15">
      <c r="A131" s="68" t="s">
        <v>113</v>
      </c>
      <c r="B131" s="69">
        <f>SUM(B123:B130)</f>
        <v>30600</v>
      </c>
      <c r="C131" s="69">
        <f t="shared" ref="C131:I131" si="389">SUM(C123:C130)</f>
        <v>75000</v>
      </c>
      <c r="D131" s="69">
        <f t="shared" si="389"/>
        <v>0</v>
      </c>
      <c r="E131" s="69">
        <f t="shared" si="389"/>
        <v>0</v>
      </c>
      <c r="F131" s="69">
        <f t="shared" si="389"/>
        <v>0</v>
      </c>
      <c r="G131" s="69">
        <f t="shared" si="389"/>
        <v>0</v>
      </c>
      <c r="H131" s="69">
        <f t="shared" si="389"/>
        <v>0</v>
      </c>
      <c r="I131" s="69">
        <f t="shared" si="389"/>
        <v>105600</v>
      </c>
      <c r="J131" s="7"/>
      <c r="K131" s="69">
        <f>SUM(K123:K130)</f>
        <v>92600</v>
      </c>
      <c r="L131" s="69">
        <f t="shared" ref="L131:R131" si="390">SUM(L123:L130)</f>
        <v>155750</v>
      </c>
      <c r="M131" s="69">
        <f t="shared" si="390"/>
        <v>0</v>
      </c>
      <c r="N131" s="69"/>
      <c r="O131" s="69">
        <f t="shared" si="390"/>
        <v>0</v>
      </c>
      <c r="P131" s="69">
        <f t="shared" si="390"/>
        <v>0</v>
      </c>
      <c r="Q131" s="69">
        <f t="shared" si="390"/>
        <v>0</v>
      </c>
      <c r="R131" s="69">
        <f t="shared" si="390"/>
        <v>248350</v>
      </c>
      <c r="T131" s="69">
        <f>SUM(T123:T130)</f>
        <v>245200</v>
      </c>
      <c r="U131" s="69">
        <f t="shared" ref="U131:AA131" si="391">SUM(U123:U130)</f>
        <v>211500</v>
      </c>
      <c r="V131" s="69">
        <f t="shared" si="391"/>
        <v>0</v>
      </c>
      <c r="W131" s="69"/>
      <c r="X131" s="69">
        <f t="shared" si="391"/>
        <v>0</v>
      </c>
      <c r="Y131" s="69">
        <f t="shared" si="391"/>
        <v>0</v>
      </c>
      <c r="Z131" s="69">
        <f t="shared" si="391"/>
        <v>0</v>
      </c>
      <c r="AA131" s="69">
        <f t="shared" si="391"/>
        <v>456700</v>
      </c>
      <c r="AC131" s="69">
        <f>SUM(AC123:AC130)</f>
        <v>208800</v>
      </c>
      <c r="AD131" s="69">
        <f t="shared" ref="AD131:AJ131" si="392">SUM(AD123:AD130)</f>
        <v>321200</v>
      </c>
      <c r="AE131" s="69">
        <f t="shared" si="392"/>
        <v>0</v>
      </c>
      <c r="AF131" s="69">
        <f t="shared" si="392"/>
        <v>0</v>
      </c>
      <c r="AG131" s="69">
        <f t="shared" si="392"/>
        <v>0</v>
      </c>
      <c r="AH131" s="69">
        <f t="shared" si="392"/>
        <v>0</v>
      </c>
      <c r="AI131" s="69">
        <f t="shared" si="392"/>
        <v>0</v>
      </c>
      <c r="AJ131" s="69">
        <f t="shared" si="392"/>
        <v>530000</v>
      </c>
      <c r="AL131" s="69">
        <f>SUM(AL123:AL130)</f>
        <v>275800</v>
      </c>
      <c r="AM131" s="69">
        <f t="shared" ref="AM131:AS131" si="393">SUM(AM123:AM130)</f>
        <v>219600</v>
      </c>
      <c r="AN131" s="69">
        <f t="shared" si="393"/>
        <v>0</v>
      </c>
      <c r="AO131" s="69">
        <f t="shared" si="393"/>
        <v>0</v>
      </c>
      <c r="AP131" s="69">
        <f t="shared" si="393"/>
        <v>0</v>
      </c>
      <c r="AQ131" s="69">
        <f t="shared" si="393"/>
        <v>0</v>
      </c>
      <c r="AR131" s="69">
        <f t="shared" si="393"/>
        <v>0</v>
      </c>
      <c r="AS131" s="69">
        <f t="shared" si="393"/>
        <v>495400</v>
      </c>
      <c r="AU131" s="69">
        <f>SUM(AU123:AU130)</f>
        <v>0</v>
      </c>
      <c r="AV131" s="69">
        <f t="shared" ref="AV131:BB131" si="394">SUM(AV123:AV130)</f>
        <v>0</v>
      </c>
      <c r="AW131" s="69">
        <f t="shared" si="394"/>
        <v>0</v>
      </c>
      <c r="AX131" s="69">
        <f t="shared" si="394"/>
        <v>0</v>
      </c>
      <c r="AY131" s="69">
        <f t="shared" si="394"/>
        <v>0</v>
      </c>
      <c r="AZ131" s="69">
        <f t="shared" si="394"/>
        <v>0</v>
      </c>
      <c r="BA131" s="69">
        <f t="shared" si="394"/>
        <v>0</v>
      </c>
      <c r="BB131" s="69">
        <f t="shared" si="394"/>
        <v>0</v>
      </c>
      <c r="BD131" s="69">
        <f>SUM(BD123:BD130)</f>
        <v>0</v>
      </c>
      <c r="BE131" s="69">
        <f t="shared" ref="BE131:BK131" si="395">SUM(BE123:BE130)</f>
        <v>0</v>
      </c>
      <c r="BF131" s="69">
        <f t="shared" si="395"/>
        <v>0</v>
      </c>
      <c r="BG131" s="69">
        <f t="shared" si="395"/>
        <v>0</v>
      </c>
      <c r="BH131" s="69">
        <f t="shared" si="395"/>
        <v>0</v>
      </c>
      <c r="BI131" s="69">
        <f t="shared" si="395"/>
        <v>0</v>
      </c>
      <c r="BJ131" s="69">
        <f t="shared" si="395"/>
        <v>0</v>
      </c>
      <c r="BK131" s="69">
        <f t="shared" si="395"/>
        <v>0</v>
      </c>
      <c r="BM131" s="69">
        <f>SUM(BM123:BM130)</f>
        <v>0</v>
      </c>
      <c r="BN131" s="69">
        <f t="shared" ref="BN131:BT131" si="396">SUM(BN123:BN130)</f>
        <v>0</v>
      </c>
      <c r="BO131" s="69">
        <f t="shared" si="396"/>
        <v>0</v>
      </c>
      <c r="BP131" s="69">
        <f t="shared" si="396"/>
        <v>0</v>
      </c>
      <c r="BQ131" s="69">
        <f t="shared" si="396"/>
        <v>0</v>
      </c>
      <c r="BR131" s="69">
        <f t="shared" si="396"/>
        <v>0</v>
      </c>
      <c r="BS131" s="69">
        <f t="shared" si="396"/>
        <v>0</v>
      </c>
      <c r="BT131" s="69">
        <f t="shared" si="396"/>
        <v>0</v>
      </c>
      <c r="BV131" s="69">
        <f>SUM(BV123:BV130)</f>
        <v>853000</v>
      </c>
      <c r="BW131" s="69">
        <f t="shared" ref="BW131:CC131" si="397">SUM(BW123:BW130)</f>
        <v>983050</v>
      </c>
      <c r="BX131" s="69">
        <f t="shared" si="397"/>
        <v>0</v>
      </c>
      <c r="BY131" s="69">
        <f t="shared" si="397"/>
        <v>0</v>
      </c>
      <c r="BZ131" s="69">
        <f t="shared" si="397"/>
        <v>0</v>
      </c>
      <c r="CA131" s="69">
        <f t="shared" si="397"/>
        <v>0</v>
      </c>
      <c r="CB131" s="69">
        <f t="shared" si="397"/>
        <v>0</v>
      </c>
      <c r="CC131" s="69">
        <f t="shared" si="397"/>
        <v>1836050</v>
      </c>
    </row>
    <row r="132" spans="1:81" ht="15">
      <c r="A132" s="70" t="s">
        <v>114</v>
      </c>
      <c r="B132" s="71">
        <f t="shared" ref="B132:H132" si="398">B121+B131</f>
        <v>3360211.5</v>
      </c>
      <c r="C132" s="71">
        <f t="shared" si="398"/>
        <v>474690</v>
      </c>
      <c r="D132" s="71">
        <f t="shared" si="398"/>
        <v>59040</v>
      </c>
      <c r="E132" s="71">
        <f t="shared" si="398"/>
        <v>0</v>
      </c>
      <c r="F132" s="71">
        <f t="shared" si="398"/>
        <v>0</v>
      </c>
      <c r="G132" s="71">
        <f t="shared" si="398"/>
        <v>0</v>
      </c>
      <c r="H132" s="71">
        <f t="shared" si="398"/>
        <v>0</v>
      </c>
      <c r="I132" s="71">
        <f>I121+I131</f>
        <v>3893941.5</v>
      </c>
      <c r="J132" s="7"/>
      <c r="K132" s="71">
        <f t="shared" ref="K132:Q132" si="399">K121+K131</f>
        <v>3736714</v>
      </c>
      <c r="L132" s="71">
        <f t="shared" si="399"/>
        <v>492350</v>
      </c>
      <c r="M132" s="71">
        <f t="shared" si="399"/>
        <v>65650</v>
      </c>
      <c r="N132" s="71"/>
      <c r="O132" s="71">
        <f t="shared" si="399"/>
        <v>0</v>
      </c>
      <c r="P132" s="71">
        <f t="shared" si="399"/>
        <v>0</v>
      </c>
      <c r="Q132" s="71">
        <f t="shared" si="399"/>
        <v>0</v>
      </c>
      <c r="R132" s="71">
        <f>R121+R131</f>
        <v>4294714</v>
      </c>
      <c r="T132" s="71">
        <f t="shared" ref="T132:Z132" si="400">T121+T131</f>
        <v>4458372</v>
      </c>
      <c r="U132" s="71">
        <f t="shared" si="400"/>
        <v>640800</v>
      </c>
      <c r="V132" s="71">
        <f t="shared" si="400"/>
        <v>59040</v>
      </c>
      <c r="W132" s="71"/>
      <c r="X132" s="71">
        <f t="shared" si="400"/>
        <v>0</v>
      </c>
      <c r="Y132" s="71">
        <f t="shared" si="400"/>
        <v>0</v>
      </c>
      <c r="Z132" s="71">
        <f t="shared" si="400"/>
        <v>0</v>
      </c>
      <c r="AA132" s="71">
        <f>AA121+AA131</f>
        <v>5158212</v>
      </c>
      <c r="AC132" s="71">
        <f t="shared" ref="AC132:AI132" si="401">AC121+AC131</f>
        <v>8399659</v>
      </c>
      <c r="AD132" s="71">
        <f t="shared" si="401"/>
        <v>1495100</v>
      </c>
      <c r="AE132" s="71">
        <f t="shared" si="401"/>
        <v>155520</v>
      </c>
      <c r="AF132" s="71">
        <f t="shared" si="401"/>
        <v>0</v>
      </c>
      <c r="AG132" s="71">
        <f t="shared" si="401"/>
        <v>0</v>
      </c>
      <c r="AH132" s="71">
        <f t="shared" si="401"/>
        <v>0</v>
      </c>
      <c r="AI132" s="71">
        <f t="shared" si="401"/>
        <v>0</v>
      </c>
      <c r="AJ132" s="71">
        <f>AJ121+AJ131</f>
        <v>10050279</v>
      </c>
      <c r="AL132" s="71">
        <f t="shared" ref="AL132:AR132" si="402">AL121+AL131</f>
        <v>7935355</v>
      </c>
      <c r="AM132" s="71">
        <f t="shared" si="402"/>
        <v>1240560</v>
      </c>
      <c r="AN132" s="71">
        <f t="shared" si="402"/>
        <v>91800</v>
      </c>
      <c r="AO132" s="71">
        <f t="shared" si="402"/>
        <v>0</v>
      </c>
      <c r="AP132" s="71">
        <f t="shared" si="402"/>
        <v>0</v>
      </c>
      <c r="AQ132" s="71">
        <f t="shared" si="402"/>
        <v>0</v>
      </c>
      <c r="AR132" s="71">
        <f t="shared" si="402"/>
        <v>0</v>
      </c>
      <c r="AS132" s="71">
        <f>AS121+AS131</f>
        <v>9267715</v>
      </c>
      <c r="AU132" s="71">
        <f t="shared" ref="AU132:BA132" si="403">AU121+AU131</f>
        <v>139000</v>
      </c>
      <c r="AV132" s="71">
        <f t="shared" si="403"/>
        <v>105425</v>
      </c>
      <c r="AW132" s="71">
        <f t="shared" si="403"/>
        <v>0</v>
      </c>
      <c r="AX132" s="71">
        <f t="shared" si="403"/>
        <v>0</v>
      </c>
      <c r="AY132" s="71">
        <f t="shared" si="403"/>
        <v>0</v>
      </c>
      <c r="AZ132" s="71">
        <f t="shared" si="403"/>
        <v>0</v>
      </c>
      <c r="BA132" s="71">
        <f t="shared" si="403"/>
        <v>0</v>
      </c>
      <c r="BB132" s="71">
        <f>BB121+BB131</f>
        <v>244425</v>
      </c>
      <c r="BD132" s="71">
        <f t="shared" ref="BD132:BJ132" si="404">BD121+BD131</f>
        <v>871440</v>
      </c>
      <c r="BE132" s="71">
        <f t="shared" si="404"/>
        <v>60000</v>
      </c>
      <c r="BF132" s="71">
        <f t="shared" si="404"/>
        <v>28800</v>
      </c>
      <c r="BG132" s="71">
        <f t="shared" si="404"/>
        <v>0</v>
      </c>
      <c r="BH132" s="71">
        <f t="shared" si="404"/>
        <v>34601.5</v>
      </c>
      <c r="BI132" s="71">
        <f t="shared" si="404"/>
        <v>0</v>
      </c>
      <c r="BJ132" s="71">
        <f t="shared" si="404"/>
        <v>0</v>
      </c>
      <c r="BK132" s="71">
        <f>BK121+BK131</f>
        <v>994841.5</v>
      </c>
      <c r="BM132" s="71">
        <f t="shared" ref="BM132:BS132" si="405">BM121+BM131</f>
        <v>258000</v>
      </c>
      <c r="BN132" s="71">
        <f t="shared" si="405"/>
        <v>0</v>
      </c>
      <c r="BO132" s="71">
        <f t="shared" si="405"/>
        <v>15000</v>
      </c>
      <c r="BP132" s="71">
        <f t="shared" si="405"/>
        <v>0</v>
      </c>
      <c r="BQ132" s="71">
        <f t="shared" si="405"/>
        <v>0</v>
      </c>
      <c r="BR132" s="71">
        <f t="shared" si="405"/>
        <v>0</v>
      </c>
      <c r="BS132" s="71">
        <f t="shared" si="405"/>
        <v>0</v>
      </c>
      <c r="BT132" s="71">
        <f>BT121+BT131</f>
        <v>273000</v>
      </c>
      <c r="BV132" s="71">
        <f t="shared" ref="BV132:CB132" si="406">BV121+BV131</f>
        <v>29158751.5</v>
      </c>
      <c r="BW132" s="71">
        <f t="shared" si="406"/>
        <v>4508925</v>
      </c>
      <c r="BX132" s="71">
        <f t="shared" si="406"/>
        <v>474850</v>
      </c>
      <c r="BY132" s="71">
        <f t="shared" si="406"/>
        <v>0</v>
      </c>
      <c r="BZ132" s="71">
        <f t="shared" si="406"/>
        <v>34601.5</v>
      </c>
      <c r="CA132" s="71">
        <f t="shared" si="406"/>
        <v>0</v>
      </c>
      <c r="CB132" s="71">
        <f t="shared" si="406"/>
        <v>0</v>
      </c>
      <c r="CC132" s="71">
        <f>CC121+CC131</f>
        <v>34177128</v>
      </c>
    </row>
    <row r="133" spans="1:81">
      <c r="A133" s="29" t="s">
        <v>115</v>
      </c>
      <c r="B133" s="52">
        <f>B132*0.335</f>
        <v>1125670.8525</v>
      </c>
      <c r="C133" s="52">
        <f t="shared" ref="C133:H133" si="407">C132*0.335</f>
        <v>159021.15000000002</v>
      </c>
      <c r="D133" s="52">
        <f t="shared" si="407"/>
        <v>19778.400000000001</v>
      </c>
      <c r="E133" s="52"/>
      <c r="F133" s="52">
        <f t="shared" si="407"/>
        <v>0</v>
      </c>
      <c r="G133" s="52">
        <f t="shared" si="407"/>
        <v>0</v>
      </c>
      <c r="H133" s="52">
        <f t="shared" si="407"/>
        <v>0</v>
      </c>
      <c r="I133" s="11">
        <f t="shared" ref="I133:I140" si="408">SUM(B133:H133)</f>
        <v>1304470.4024999999</v>
      </c>
      <c r="J133" s="72"/>
      <c r="K133" s="52">
        <f>K132*0.335</f>
        <v>1251799.1900000002</v>
      </c>
      <c r="L133" s="52">
        <f t="shared" ref="L133:Q133" si="409">L132*0.335</f>
        <v>164937.25</v>
      </c>
      <c r="M133" s="52">
        <f t="shared" si="409"/>
        <v>21992.75</v>
      </c>
      <c r="N133" s="52"/>
      <c r="O133" s="52">
        <f t="shared" si="409"/>
        <v>0</v>
      </c>
      <c r="P133" s="52">
        <f t="shared" si="409"/>
        <v>0</v>
      </c>
      <c r="Q133" s="52">
        <f t="shared" si="409"/>
        <v>0</v>
      </c>
      <c r="R133" s="11">
        <f>SUM(K133:Q133)</f>
        <v>1438729.1900000002</v>
      </c>
      <c r="T133" s="52">
        <f>T132*0.335-(T107*0.335)+(T107*0.12)</f>
        <v>1458445.12</v>
      </c>
      <c r="U133" s="52">
        <f t="shared" ref="U133:Z133" si="410">U132*0.335</f>
        <v>214668</v>
      </c>
      <c r="V133" s="52">
        <f t="shared" si="410"/>
        <v>19778.400000000001</v>
      </c>
      <c r="W133" s="52">
        <f t="shared" si="410"/>
        <v>0</v>
      </c>
      <c r="X133" s="52">
        <f t="shared" si="410"/>
        <v>0</v>
      </c>
      <c r="Y133" s="52">
        <f t="shared" si="410"/>
        <v>0</v>
      </c>
      <c r="Z133" s="52">
        <f t="shared" si="410"/>
        <v>0</v>
      </c>
      <c r="AA133" s="11">
        <f>SUM(T133:Z133)</f>
        <v>1692891.52</v>
      </c>
      <c r="AC133" s="52">
        <f>AC132*0.335</f>
        <v>2813885.7650000001</v>
      </c>
      <c r="AD133" s="52">
        <f t="shared" ref="AD133:AI133" si="411">AD132*0.335</f>
        <v>500858.50000000006</v>
      </c>
      <c r="AE133" s="52">
        <f t="shared" si="411"/>
        <v>52099.200000000004</v>
      </c>
      <c r="AF133" s="52"/>
      <c r="AG133" s="52">
        <f t="shared" si="411"/>
        <v>0</v>
      </c>
      <c r="AH133" s="52">
        <f t="shared" si="411"/>
        <v>0</v>
      </c>
      <c r="AI133" s="52">
        <f t="shared" si="411"/>
        <v>0</v>
      </c>
      <c r="AJ133" s="11">
        <f>SUM(AC133:AI133)</f>
        <v>3366843.4650000003</v>
      </c>
      <c r="AL133" s="52">
        <f>AL132*0.335</f>
        <v>2658343.9250000003</v>
      </c>
      <c r="AM133" s="52">
        <f t="shared" ref="AM133:AR133" si="412">AM132*0.335</f>
        <v>415587.60000000003</v>
      </c>
      <c r="AN133" s="52">
        <f t="shared" si="412"/>
        <v>30753.000000000004</v>
      </c>
      <c r="AO133" s="52"/>
      <c r="AP133" s="52">
        <f t="shared" si="412"/>
        <v>0</v>
      </c>
      <c r="AQ133" s="52">
        <f t="shared" si="412"/>
        <v>0</v>
      </c>
      <c r="AR133" s="52">
        <f t="shared" si="412"/>
        <v>0</v>
      </c>
      <c r="AS133" s="11">
        <f>SUM(AL133:AR133)</f>
        <v>3104684.5250000004</v>
      </c>
      <c r="AU133" s="52">
        <f>AU132*0.335</f>
        <v>46565</v>
      </c>
      <c r="AV133" s="52">
        <f t="shared" ref="AV133:BA133" si="413">AV132*0.335</f>
        <v>35317.375</v>
      </c>
      <c r="AW133" s="52">
        <f t="shared" si="413"/>
        <v>0</v>
      </c>
      <c r="AX133" s="52"/>
      <c r="AY133" s="52">
        <f t="shared" si="413"/>
        <v>0</v>
      </c>
      <c r="AZ133" s="52">
        <f t="shared" si="413"/>
        <v>0</v>
      </c>
      <c r="BA133" s="52">
        <f t="shared" si="413"/>
        <v>0</v>
      </c>
      <c r="BB133" s="11">
        <f>SUM(AU133:BA133)</f>
        <v>81882.375</v>
      </c>
      <c r="BD133" s="52">
        <f>BD132*0.335</f>
        <v>291932.40000000002</v>
      </c>
      <c r="BE133" s="52">
        <f t="shared" ref="BE133:BJ133" si="414">BE132*0.335</f>
        <v>20100</v>
      </c>
      <c r="BF133" s="52">
        <v>0</v>
      </c>
      <c r="BG133" s="52">
        <f t="shared" si="414"/>
        <v>0</v>
      </c>
      <c r="BH133" s="52">
        <f t="shared" si="414"/>
        <v>11591.502500000001</v>
      </c>
      <c r="BI133" s="52">
        <f t="shared" si="414"/>
        <v>0</v>
      </c>
      <c r="BJ133" s="52">
        <f t="shared" si="414"/>
        <v>0</v>
      </c>
      <c r="BK133" s="11">
        <f>SUM(BD133:BJ133)</f>
        <v>323623.90250000003</v>
      </c>
      <c r="BM133" s="52">
        <f>BM132*0.335</f>
        <v>86430</v>
      </c>
      <c r="BN133" s="52">
        <f t="shared" ref="BN133:BS133" si="415">BN132*0.335</f>
        <v>0</v>
      </c>
      <c r="BO133" s="52">
        <v>0</v>
      </c>
      <c r="BP133" s="52"/>
      <c r="BQ133" s="52">
        <f t="shared" si="415"/>
        <v>0</v>
      </c>
      <c r="BR133" s="52">
        <f t="shared" si="415"/>
        <v>0</v>
      </c>
      <c r="BS133" s="52">
        <f t="shared" si="415"/>
        <v>0</v>
      </c>
      <c r="BT133" s="11">
        <f>SUM(BM133:BS133)</f>
        <v>86430</v>
      </c>
      <c r="BV133" s="5">
        <f t="shared" ref="BV133" si="416">B133+K133+T133+AC133+AL133+AU133+BD133+BM133</f>
        <v>9733072.2525000013</v>
      </c>
      <c r="BW133" s="5">
        <f t="shared" ref="BW133" si="417">C133+L133+U133+AD133+AM133+AV133+BE133+BN133</f>
        <v>1510489.8750000002</v>
      </c>
      <c r="BX133" s="5">
        <f t="shared" ref="BX133" si="418">D133+M133+V133+AE133+AN133+AW133+BF133+BO133</f>
        <v>144401.75</v>
      </c>
      <c r="BY133" s="5">
        <f t="shared" ref="BY133" si="419">E133+N133+W133+AF133+AO133+AX133+BG133+BP133</f>
        <v>0</v>
      </c>
      <c r="BZ133" s="5">
        <f t="shared" ref="BZ133" si="420">F133+O133+X133+AG133+AP133+AY133+BH133+BQ133</f>
        <v>11591.502500000001</v>
      </c>
      <c r="CA133" s="5">
        <f t="shared" ref="CA133" si="421">G133+P133+Y133+AH133+AQ133+AZ133+BI133+BR133</f>
        <v>0</v>
      </c>
      <c r="CB133" s="52">
        <f t="shared" ref="CB133" si="422">CB132*0.335</f>
        <v>0</v>
      </c>
      <c r="CC133" s="11">
        <f>SUM(BV133:CB133)</f>
        <v>11399555.380000001</v>
      </c>
    </row>
    <row r="134" spans="1:81">
      <c r="A134" s="29" t="s">
        <v>116</v>
      </c>
      <c r="B134" s="11">
        <f>((6750*B65)*0.78)+((165*B65)*0.825)+((70*B65)*0.825)+(B132*0.015)+(B132*0.031)</f>
        <v>479372.79149999999</v>
      </c>
      <c r="C134" s="11">
        <f t="shared" ref="C134:E134" si="423">((6750*C65)*0.78)+((165*C65)*0.825)+((70*C65)*0.825)+(C132*0.015)+(C132*0.031)</f>
        <v>76424.489999999991</v>
      </c>
      <c r="D134" s="11">
        <f t="shared" si="423"/>
        <v>13633.59</v>
      </c>
      <c r="E134" s="11">
        <f t="shared" si="423"/>
        <v>0</v>
      </c>
      <c r="F134" s="11">
        <f t="shared" ref="F134:H134" si="424">((6750*F65)*0.8)+((175*F65)*0.825)+((70*F65)*0.825)+(F132*0.015)+(F132*0.031)</f>
        <v>0</v>
      </c>
      <c r="G134" s="11">
        <f t="shared" si="424"/>
        <v>0</v>
      </c>
      <c r="H134" s="11">
        <f t="shared" si="424"/>
        <v>0</v>
      </c>
      <c r="I134" s="11">
        <f t="shared" si="408"/>
        <v>569430.87150000001</v>
      </c>
      <c r="J134" s="72"/>
      <c r="K134" s="11">
        <f>((6750*K65)*0.8)+((165*K65)*0.825)+((70*K65)*0.825)+(K132*0.015)+(K132*0.031)</f>
        <v>541084.59400000004</v>
      </c>
      <c r="L134" s="11">
        <f t="shared" ref="L134:N134" si="425">((6750*L65)*0.8)+((165*L65)*0.825)+((70*L65)*0.825)+(L132*0.015)+(L132*0.031)</f>
        <v>78586.850000000006</v>
      </c>
      <c r="M134" s="11">
        <f t="shared" si="425"/>
        <v>14207.65</v>
      </c>
      <c r="N134" s="11">
        <f t="shared" si="425"/>
        <v>0</v>
      </c>
      <c r="O134" s="11">
        <f t="shared" ref="O134:Q134" si="426">((6750*O65)*0.8)+((175*O65)*0.825)+((70*O65)*0.825)+(O132*0.015)+(O132*0.031)</f>
        <v>0</v>
      </c>
      <c r="P134" s="11">
        <f t="shared" si="426"/>
        <v>0</v>
      </c>
      <c r="Q134" s="11">
        <f t="shared" si="426"/>
        <v>0</v>
      </c>
      <c r="R134" s="11">
        <f>SUM(K134:Q134)</f>
        <v>633879.09400000004</v>
      </c>
      <c r="T134" s="11">
        <f>((6750*T65)*0.8)+((165*T65)*0.825)+((70*T65)*0.825)+(T132*0.015)+(T132*0.031)</f>
        <v>635813.48699999996</v>
      </c>
      <c r="U134" s="11">
        <f t="shared" ref="U134:W134" si="427">((6750*U65)*0.8)+((165*U65)*0.825)+((70*U65)*0.825)+(U132*0.015)+(U132*0.031)</f>
        <v>104043.15375</v>
      </c>
      <c r="V134" s="11">
        <f t="shared" si="427"/>
        <v>13903.59</v>
      </c>
      <c r="W134" s="11">
        <f t="shared" si="427"/>
        <v>0</v>
      </c>
      <c r="X134" s="11">
        <f t="shared" ref="X134:Z134" si="428">((6750*X65)*0.8)+((175*X65)*0.825)+((70*X65)*0.825)+(X132*0.015)+(X132*0.031)</f>
        <v>0</v>
      </c>
      <c r="Y134" s="11">
        <f t="shared" si="428"/>
        <v>0</v>
      </c>
      <c r="Z134" s="11">
        <f t="shared" si="428"/>
        <v>0</v>
      </c>
      <c r="AA134" s="11">
        <f>SUM(T134:Z134)</f>
        <v>753760.23074999999</v>
      </c>
      <c r="AC134" s="11">
        <f>((6750*AC65)*0.78)+((165*AC65)*0.825)+((70*AC65)*0.825)+(AC132*0.015)+(AC132*0.031)</f>
        <v>1156085.689</v>
      </c>
      <c r="AD134" s="11">
        <f t="shared" ref="AD134:AF134" si="429">((6750*AD65)*0.78)+((165*AD65)*0.825)+((70*AD65)*0.825)+(AD132*0.015)+(AD132*0.031)</f>
        <v>232540.85</v>
      </c>
      <c r="AE134" s="11">
        <f t="shared" si="429"/>
        <v>39907.170000000006</v>
      </c>
      <c r="AF134" s="11">
        <f t="shared" si="429"/>
        <v>0</v>
      </c>
      <c r="AG134" s="11">
        <f t="shared" ref="AG134:AI134" si="430">((6750*AG65)*0.8)+((175*AG65)*0.825)+((70*AG65)*0.825)+(AG132*0.015)+(AG132*0.031)</f>
        <v>0</v>
      </c>
      <c r="AH134" s="11">
        <f t="shared" si="430"/>
        <v>0</v>
      </c>
      <c r="AI134" s="11">
        <f t="shared" si="430"/>
        <v>0</v>
      </c>
      <c r="AJ134" s="11">
        <f>SUM(AC134:AI134)</f>
        <v>1428533.709</v>
      </c>
      <c r="AL134" s="11">
        <f>((6750*AL65)*0.78)+((165*AL65)*0.825)+((70*AL65)*0.825)+(AL132*0.015)+(AL132*0.031)</f>
        <v>1101974.4550000001</v>
      </c>
      <c r="AM134" s="11">
        <f t="shared" ref="AM134:AN134" si="431">((6750*AM65)*0.78)+((165*AM65)*0.825)+((70*AM65)*0.825)+(AM132*0.015)+(AM132*0.031)</f>
        <v>196267.07250000001</v>
      </c>
      <c r="AN134" s="11">
        <f t="shared" si="431"/>
        <v>26058.3</v>
      </c>
      <c r="AO134" s="11">
        <f t="shared" ref="AO134" si="432">((6750*AO65)*0.8)+((165*AO65)*0.825)+((70*AO65)*0.825)+(AO132*0.015)+(AO132*0.031)</f>
        <v>0</v>
      </c>
      <c r="AP134" s="11">
        <f t="shared" ref="AP134:AR134" si="433">((6750*AP65)*0.8)+((175*AP65)*0.825)+((70*AP65)*0.825)+(AP132*0.015)+(AP132*0.031)</f>
        <v>0</v>
      </c>
      <c r="AQ134" s="11">
        <f t="shared" si="433"/>
        <v>0</v>
      </c>
      <c r="AR134" s="11">
        <f t="shared" si="433"/>
        <v>0</v>
      </c>
      <c r="AS134" s="11">
        <f>SUM(AL134:AR134)</f>
        <v>1324299.8275000001</v>
      </c>
      <c r="AU134" s="11">
        <f>((6750*AU65)*0.8)+((165*AU65)*0.825)+((70*AU65)*0.825)+(AU132*0.015)+(AU132*0.031)</f>
        <v>23175.625</v>
      </c>
      <c r="AV134" s="11">
        <f t="shared" ref="AV134:AX134" si="434">((6750*AV65)*0.8)+((165*AV65)*0.825)+((70*AV65)*0.825)+(AV132*0.015)+(AV132*0.031)</f>
        <v>16037.3</v>
      </c>
      <c r="AW134" s="11">
        <f t="shared" si="434"/>
        <v>0</v>
      </c>
      <c r="AX134" s="11">
        <f t="shared" si="434"/>
        <v>0</v>
      </c>
      <c r="AY134" s="11">
        <f t="shared" ref="AY134:BA134" si="435">((6750*AY65)*0.85)+((175*AY65)*0.85)+((70*AY65)*0.85)+(AY132*0.015)+(AY132*0.031)</f>
        <v>0</v>
      </c>
      <c r="AZ134" s="11">
        <f t="shared" si="435"/>
        <v>0</v>
      </c>
      <c r="BA134" s="11">
        <f t="shared" si="435"/>
        <v>0</v>
      </c>
      <c r="BB134" s="11">
        <f>SUM(AU134:BA134)</f>
        <v>39212.925000000003</v>
      </c>
      <c r="BD134" s="11">
        <f>((6750*BD65)*0.8)+((165*BD65)*0.825)+((70*BD65)*0.825)+(BD132*0.015)+(BD132*0.031)</f>
        <v>123994.36500000001</v>
      </c>
      <c r="BE134" s="11">
        <f t="shared" ref="BE134:BF134" si="436">((6750*BE65)*0.8)+((165*BE65)*0.825)+((70*BE65)*0.825)+(BE132*0.015)+(BE132*0.031)</f>
        <v>8353.875</v>
      </c>
      <c r="BF134" s="11">
        <f t="shared" si="436"/>
        <v>6918.6750000000002</v>
      </c>
      <c r="BG134" s="11">
        <v>0</v>
      </c>
      <c r="BH134" s="11"/>
      <c r="BI134" s="11">
        <f t="shared" ref="BI134:BJ134" si="437">((6750*BI65)*0.8)+((175*BI65)*0.825)+((70*BI65)*0.825)+(BI132*0.015)+(BI132*0.031)</f>
        <v>0</v>
      </c>
      <c r="BJ134" s="11">
        <f t="shared" si="437"/>
        <v>0</v>
      </c>
      <c r="BK134" s="11">
        <f>SUM(BD134:BJ134)</f>
        <v>139266.91499999998</v>
      </c>
      <c r="BM134" s="11">
        <f>((6750*BM65)*0.8)+((165*BM65)*0.825)+((70*BM65)*0.825)+(BM132*0.015)+(BM132*0.031)</f>
        <v>28649.625</v>
      </c>
      <c r="BN134" s="11">
        <f t="shared" ref="BN134:BP134" si="438">((6750*BN65)*0.8)+((165*BN65)*0.825)+((70*BN65)*0.825)+(BN132*0.015)+(BN132*0.031)</f>
        <v>0</v>
      </c>
      <c r="BO134" s="11">
        <f>(BO132*0.07)+(BO132*0.031)</f>
        <v>1515</v>
      </c>
      <c r="BP134" s="11">
        <f t="shared" si="438"/>
        <v>0</v>
      </c>
      <c r="BQ134" s="11">
        <f t="shared" ref="BQ134:BS134" si="439">((6850*BQ65)*0.85)+((175*BQ65)*0.85)+((70*BQ65)*0.85)+(BQ132*0.015)+(BQ132*0.031)</f>
        <v>0</v>
      </c>
      <c r="BR134" s="11">
        <f t="shared" si="439"/>
        <v>0</v>
      </c>
      <c r="BS134" s="11">
        <f t="shared" si="439"/>
        <v>0</v>
      </c>
      <c r="BT134" s="11">
        <f>SUM(BM134:BS134)</f>
        <v>30164.625</v>
      </c>
      <c r="BV134" s="5">
        <f t="shared" ref="BV134:BV140" si="440">B134+K134+T134+AC134+AL134+AU134+BD134+BM134</f>
        <v>4090150.6315000001</v>
      </c>
      <c r="BW134" s="5">
        <f t="shared" ref="BW134:BW140" si="441">C134+L134+U134+AD134+AM134+AV134+BE134+BN134</f>
        <v>712253.59125000006</v>
      </c>
      <c r="BX134" s="5">
        <f t="shared" ref="BX134:BX140" si="442">D134+M134+V134+AE134+AN134+AW134+BF134+BO134</f>
        <v>116143.97500000001</v>
      </c>
      <c r="BY134" s="5">
        <f t="shared" ref="BY134:BY140" si="443">E134+N134+W134+AF134+AO134+AX134+BG134+BP134</f>
        <v>0</v>
      </c>
      <c r="BZ134" s="5">
        <f t="shared" ref="BZ134:BZ140" si="444">F134+O134+X134+AG134+AP134+AY134+BH134+BQ134</f>
        <v>0</v>
      </c>
      <c r="CA134" s="5">
        <f t="shared" ref="CA134:CA140" si="445">G134+P134+Y134+AH134+AQ134+AZ134+BI134+BR134</f>
        <v>0</v>
      </c>
      <c r="CB134" s="11">
        <f t="shared" ref="CB134" si="446">((6850*CB65)*0.85)+((175*CB65)*0.85)+((70*CB65)*0.85)+(CB132*0.015)+(CB132*0.031)</f>
        <v>0</v>
      </c>
      <c r="CC134" s="11">
        <f>SUM(BV134:CB134)</f>
        <v>4918548.1977500003</v>
      </c>
    </row>
    <row r="135" spans="1:81">
      <c r="A135" s="29" t="s">
        <v>117</v>
      </c>
      <c r="B135" s="11">
        <f>((2500*B39)+(2000*B40)+(1750*B41)+(1750*B42)+(1750*B43)+(1750*B44)+(1750*B45)+(1100*B46)+(1000*B47)+(500*B48)+(500*B49)+(500*B50)+(500*B51)+(500*B52)+(500*B53)+(1100*B54)+(1000*B55)+(1100*B56)+(1100*B57)+(1100*B58)+(500*B59)+(500*B60)+(1100*B36))*0.99</f>
        <v>63459</v>
      </c>
      <c r="C135" s="11">
        <f t="shared" ref="C135:D135" si="447">((2500*C39)+(2000*C40)+(1750*C41)+(1750*C42)+(1750*C43)+(1750*C44)+(1750*C45)+(1100*C46)+(1000*C47)+(500*C48)+(500*C49)+(500*C50)+(500*C51)+(500*C52)+(500*C53)+(1100*C54)+(1000*C55)+(1100*C56)+(1100*C57)+(1100*C58)+(500*C59)+(500*C60)+(1100*C36))*0.99</f>
        <v>8514</v>
      </c>
      <c r="D135" s="11">
        <f t="shared" si="447"/>
        <v>990</v>
      </c>
      <c r="E135" s="11">
        <f t="shared" ref="E135:H135" si="448">((2000*E39)+(1750*E40)+(1500*E41)+(1500*E42)+(1500*E43)+(1500*E44)+(1500*E45)+(1000*E46)+(1000*E47)+(500*E48)+(500*E49)+(500*E50)+(500*E51)+(500*E52)+(500*E53)+(1000*E54)+(1000*E55)+(1000*E56)+(1000*E57)+(1000*E58)+(500*E59)+(500*E60)+(1000*E36))*0.99</f>
        <v>0</v>
      </c>
      <c r="F135" s="11">
        <f t="shared" si="448"/>
        <v>0</v>
      </c>
      <c r="G135" s="11">
        <f t="shared" si="448"/>
        <v>0</v>
      </c>
      <c r="H135" s="11">
        <f t="shared" si="448"/>
        <v>0</v>
      </c>
      <c r="I135" s="11">
        <f t="shared" si="408"/>
        <v>72963</v>
      </c>
      <c r="K135" s="11">
        <f>((2500*K39)+(2000*K40)+(1750*K41)+(1750*K42)+(1750*K43)+(1750*K44)+(1750*K45)+(1100*K46)+(1000*K47)+(500*K48)+(500*K49)+(500*K50)+(500*K51)+(500*K52)+(500*K53)+(1100*K54)+(1000*K55)+(1100*K56)+(1100*K57)+(1100*K58)+(500*K59)+(500*K60)+(1100*K36))*0.99</f>
        <v>68805</v>
      </c>
      <c r="L135" s="11">
        <f t="shared" ref="L135:M135" si="449">((2500*L39)+(2000*L40)+(1750*L41)+(1750*L42)+(1750*L43)+(1750*L44)+(1750*L45)+(1100*L46)+(1000*L47)+(500*L48)+(500*L49)+(500*L50)+(500*L51)+(500*L52)+(500*L53)+(1100*L54)+(1000*L55)+(1100*L56)+(1100*L57)+(1100*L58)+(500*L59)+(500*L60)+(1100*L36))*0.99</f>
        <v>8514</v>
      </c>
      <c r="M135" s="11">
        <f t="shared" si="449"/>
        <v>990</v>
      </c>
      <c r="N135" s="11">
        <f t="shared" ref="N135:Q135" si="450">((2000*N39)+(1750*N40)+(1500*N41)+(1500*N42)+(1500*N43)+(1500*N44)+(1500*N45)+(1000*N46)+(1000*N47)+(500*N48)+(500*N49)+(500*N50)+(500*N51)+(500*N52)+(500*N53)+(1000*N54)+(1000*N55)+(1000*N56)+(1000*N57)+(1000*N58)+(500*N59)+(500*N60)+(1000*N36))*0.99</f>
        <v>0</v>
      </c>
      <c r="O135" s="11">
        <f t="shared" si="450"/>
        <v>0</v>
      </c>
      <c r="P135" s="11">
        <f t="shared" si="450"/>
        <v>0</v>
      </c>
      <c r="Q135" s="11">
        <f t="shared" si="450"/>
        <v>0</v>
      </c>
      <c r="R135" s="11">
        <f t="shared" ref="R135:R140" si="451">SUM(K135:Q135)</f>
        <v>78309</v>
      </c>
      <c r="T135" s="11">
        <f>((2500*T39)+(2000*T40)+(1750*T41)+(1750*T42)+(1750*T43)+(1750*T44)+(1750*T45)+(1100*T46)+(1000*T47)+(500*T48)+(500*T49)+(500*T50)+(500*T51)+(500*T52)+(500*T53)+(1100*T54)+(1000*T55)+(1100*T56)+(1100*T57)+(1100*T58)+(500*T59)+(500*T60)+(1100*T36))*0.99</f>
        <v>80784</v>
      </c>
      <c r="U135" s="11">
        <f t="shared" ref="U135:V135" si="452">((2500*U39)+(2000*U40)+(1750*U41)+(1750*U42)+(1750*U43)+(1750*U44)+(1750*U45)+(1100*U46)+(1000*U47)+(500*U48)+(500*U49)+(500*U50)+(500*U51)+(500*U52)+(500*U53)+(1100*U54)+(1000*U55)+(1100*U56)+(1100*U57)+(1100*U58)+(500*U59)+(500*U60)+(1100*U36))*0.99</f>
        <v>11447.37</v>
      </c>
      <c r="V135" s="11">
        <f t="shared" si="452"/>
        <v>990</v>
      </c>
      <c r="W135" s="11">
        <f t="shared" ref="W135:Z135" si="453">((2000*W39)+(1750*W40)+(1500*W41)+(1500*W42)+(1500*W43)+(1500*W44)+(1500*W45)+(1000*W46)+(1000*W47)+(500*W48)+(500*W49)+(500*W50)+(500*W51)+(500*W52)+(500*W53)+(1000*W54)+(1000*W55)+(1000*W56)+(1000*W57)+(1000*W58)+(500*W59)+(500*W60)+(1000*W36))</f>
        <v>0</v>
      </c>
      <c r="X135" s="11">
        <f t="shared" si="453"/>
        <v>0</v>
      </c>
      <c r="Y135" s="11">
        <f t="shared" si="453"/>
        <v>0</v>
      </c>
      <c r="Z135" s="11">
        <f t="shared" si="453"/>
        <v>0</v>
      </c>
      <c r="AA135" s="11">
        <f t="shared" ref="AA135:AA140" si="454">SUM(T135:Z135)</f>
        <v>93221.37</v>
      </c>
      <c r="AC135" s="11">
        <f>((2500*AC39)+(2000*AC40)+(1750*AC41)+(1750*AC42)+(1750*AC43)+(1750*AC44)+(1750*AC45)+(1100*AC46)+(1000*AC47)+(500*AC48)+(500*AC49)+(500*AC50)+(500*AC51)+(500*AC52)+(500*AC53)+(1100*AC54)+(1000*AC55)+(1100*AC56)+(1100*AC57)+(1100*AC58)+(500*AC59)+(500*AC60)+(1100*AC36))*0.99</f>
        <v>147114</v>
      </c>
      <c r="AD135" s="11">
        <f t="shared" ref="AD135:AE135" si="455">((2500*AD39)+(2000*AD40)+(1750*AD41)+(1750*AD42)+(1750*AD43)+(1750*AD44)+(1750*AD45)+(1100*AD46)+(1000*AD47)+(500*AD48)+(500*AD49)+(500*AD50)+(500*AD51)+(500*AD52)+(500*AD53)+(1100*AD54)+(1000*AD55)+(1100*AD56)+(1100*AD57)+(1100*AD58)+(500*AD59)+(500*AD60)+(1100*AD36))*0.99</f>
        <v>24849</v>
      </c>
      <c r="AE135" s="11">
        <f t="shared" si="455"/>
        <v>2970</v>
      </c>
      <c r="AF135" s="11">
        <f t="shared" ref="AF135:AI135" si="456">((2000*AF39)+(1750*AF40)+(1500*AF41)+(1500*AF42)+(1500*AF43)+(1500*AF44)+(1500*AF45)+(1000*AF46)+(1000*AF47)+(500*AF48)+(500*AF49)+(500*AF50)+(500*AF51)+(500*AF52)+(500*AF53)+(1000*AF54)+(1000*AF55)+(1000*AF56)+(1000*AF57)+(1000*AF58)+(500*AF59)+(500*AF60)+(1000*AF36))*0.99</f>
        <v>0</v>
      </c>
      <c r="AG135" s="11">
        <f t="shared" si="456"/>
        <v>0</v>
      </c>
      <c r="AH135" s="11">
        <f t="shared" si="456"/>
        <v>0</v>
      </c>
      <c r="AI135" s="11">
        <f t="shared" si="456"/>
        <v>0</v>
      </c>
      <c r="AJ135" s="11">
        <f t="shared" ref="AJ135:AJ140" si="457">SUM(AC135:AI135)</f>
        <v>174933</v>
      </c>
      <c r="AL135" s="11">
        <f>((2500*AL39)+(2000*AL40)+(1750*AL41)+(1750*AL42)+(1750*AL43)+(1750*AL44)+(1750*AL45)+(1100*AL46)+(1000*AL47)+(500*AL48)+(500*AL49)+(500*AL50)+(500*AL51)+(500*AL52)+(500*AL53)+(1100*AL54)+(1000*AL55)+(1100*AL56)+(1100*AL57)+(1100*AL58)+(500*AL59)+(500*AL60)+(1100*AL36))*0.99</f>
        <v>143253</v>
      </c>
      <c r="AM135" s="11">
        <f t="shared" ref="AM135:AN135" si="458">((2500*AM39)+(2000*AM40)+(1750*AM41)+(1750*AM42)+(1750*AM43)+(1750*AM44)+(1750*AM45)+(1100*AM46)+(1000*AM47)+(500*AM48)+(500*AM49)+(500*AM50)+(500*AM51)+(500*AM52)+(500*AM53)+(1100*AM54)+(1000*AM55)+(1100*AM56)+(1100*AM57)+(1100*AM58)+(500*AM59)+(500*AM60)+(1100*AM36))*0.99</f>
        <v>21235.5</v>
      </c>
      <c r="AN135" s="11">
        <f t="shared" si="458"/>
        <v>1980</v>
      </c>
      <c r="AO135" s="11">
        <f t="shared" ref="AO135:AR135" si="459">((2000*AO39)+(1750*AO40)+(1500*AO41)+(1500*AO42)+(1500*AO43)+(1500*AO44)+(1500*AO45)+(1000*AO46)+(1000*AO47)+(500*AO48)+(500*AO49)+(500*AO50)+(500*AO51)+(500*AO52)+(500*AO53)+(1000*AO54)+(1000*AO55)+(1000*AO56)+(1000*AO57)+(1000*AO58)+(500*AO59)+(500*AO60)+(1000*AO36))*0.99</f>
        <v>0</v>
      </c>
      <c r="AP135" s="11">
        <f t="shared" si="459"/>
        <v>0</v>
      </c>
      <c r="AQ135" s="11">
        <f t="shared" si="459"/>
        <v>0</v>
      </c>
      <c r="AR135" s="11">
        <f t="shared" si="459"/>
        <v>0</v>
      </c>
      <c r="AS135" s="11">
        <f t="shared" ref="AS135:AS140" si="460">SUM(AL135:AR135)</f>
        <v>166468.5</v>
      </c>
      <c r="AU135" s="11">
        <f>((2500*AU39)+(2000*AU40)+(1750*AU41)+(1750*AU42)+(1750*AU43)+(1750*AU44)+(1750*AU45)+(1100*AU46)+(1000*AU47)+(500*AU48)+(500*AU49)+(500*AU50)+(500*AU51)+(500*AU52)+(500*AU53)+(1100*AU54)+(1000*AU55)+(1100*AU56)+(1100*AU57)+(1100*AU58)+(500*AU59)+(500*AU60)+(1100*AU36))*0.99</f>
        <v>2722.5</v>
      </c>
      <c r="AV135" s="11">
        <f t="shared" ref="AV135:AW135" si="461">((2500*AV39)+(2000*AV40)+(1750*AV41)+(1750*AV42)+(1750*AV43)+(1750*AV44)+(1750*AV45)+(1100*AV46)+(1000*AV47)+(500*AV48)+(500*AV49)+(500*AV50)+(500*AV51)+(500*AV52)+(500*AV53)+(1100*AV54)+(1000*AV55)+(1100*AV56)+(1100*AV57)+(1100*AV58)+(500*AV59)+(500*AV60)+(1100*AV36))*0.99</f>
        <v>1584</v>
      </c>
      <c r="AW135" s="11">
        <f t="shared" si="461"/>
        <v>0</v>
      </c>
      <c r="AX135" s="11">
        <f t="shared" ref="AX135:AY135" si="462">((2000*AX39)+(1750*AX40)+(1500*AX41)+(1500*AX42)+(1500*AX43)+(1500*AX44)+(1500*AX45)+(1000*AX46)+(1000*AX47)+(500*AX48)+(500*AX49)+(500*AX50)+(500*AX51)+(500*AX52)+(500*AX53)+(1000*AX54)+(1000*AX55)+(1000*AX56)+(1000*AX57)+(1000*AX58)+(500*AX59)+(500*AX60)+(1000*AX36))</f>
        <v>0</v>
      </c>
      <c r="AY135" s="11">
        <f t="shared" si="462"/>
        <v>0</v>
      </c>
      <c r="AZ135" s="11">
        <f t="shared" ref="AZ135:BA135" si="463">((2000*AZ39)+(1750*AZ40)+(1500*AZ41)+(1500*AZ42)+(1500*AZ43)+(1500*AZ44)+(1500*AZ45)+(1000*AZ46)+(1000*AZ47)+(500*AZ48)+(500*AZ49)+(500*AZ50)+(500*AZ51)+(500*AZ52)+(500*AZ53)+(1000*AZ54)+(1000*AZ55)+(1000*AZ56)+(1000*AZ57)+(1000*AZ58)+(500*AZ59)+(500*AZ60)+(1000*AZ36))*0.99</f>
        <v>0</v>
      </c>
      <c r="BA135" s="11">
        <f t="shared" si="463"/>
        <v>0</v>
      </c>
      <c r="BB135" s="11">
        <f t="shared" ref="BB135:BB140" si="464">SUM(AU135:BA135)</f>
        <v>4306.5</v>
      </c>
      <c r="BD135" s="11">
        <f>((2500*BD39)+(2000*BD40)+(1750*BD41)+(1750*BD42)+(1750*BD43)+(1750*BD44)+(1750*BD45)+(1100*BD46)+(1000*BD47)+(500*BD48)+(500*BD49)+(500*BD50)+(500*BD51)+(500*BD52)+(500*BD53)+(1100*BD54)+(1000*BD55)+(1100*BD56)+(1100*BD57)+(1100*BD58)+(500*BD59)+(500*BD60)+(1100*BD36))*0.33</f>
        <v>5610</v>
      </c>
      <c r="BE135" s="11">
        <f>((2500*BE39)+(2000*BE40)+(1750*BE41)+(1750*BE42)+(1750*BE43)+(1750*BE44)+(1750*BE45)+(1100*BE46)+(1000*BE47)+(500*BE48)+(500*BE49)+(500*BE50)+(500*BE51)+(500*BE52)+(500*BE53)+(1100*BE54)+(1000*BE55)+(1100*BE56)+(1100*BE57)+(1100*BE58)+(500*BE59)+(500*BE60)+(1100*BE36))*0</f>
        <v>0</v>
      </c>
      <c r="BF135" s="11">
        <f t="shared" ref="BF135" si="465">((2500*BF39)+(2000*BF40)+(1750*BF41)+(1750*BF42)+(1750*BF43)+(1750*BF44)+(1750*BF45)+(1100*BF46)+(1000*BF47)+(500*BF48)+(500*BF49)+(500*BF50)+(500*BF51)+(500*BF52)+(500*BF53)+(1100*BF54)+(1000*BF55)+(1100*BF56)+(1100*BF57)+(1100*BF58)+(500*BF59)+(500*BF60)+(1100*BF36))*0.99</f>
        <v>495</v>
      </c>
      <c r="BG135" s="11">
        <v>0</v>
      </c>
      <c r="BH135" s="11"/>
      <c r="BI135" s="11">
        <f t="shared" ref="BI135" si="466">((2000*BI39)+(1750*BI40)+(1500*BI41)+(1500*BI42)+(1500*BI43)+(1500*BI44)+(1500*BI45)+(1000*BI46)+(1000*BI47)+(500*BI48)+(500*BI49)+(500*BI50)+(500*BI51)+(500*BI52)+(500*BI53)+(1000*BI54)+(1000*BI55)+(1000*BI56)+(1000*BI57)+(1000*BI58)+(500*BI59)+(500*BI60)+(1000*BI36))*0.33</f>
        <v>0</v>
      </c>
      <c r="BJ135" s="11">
        <f t="shared" ref="BJ135" si="467">((2000*BJ39)+(1750*BJ40)+(1500*BJ41)+(1500*BJ42)+(1500*BJ43)+(1500*BJ44)+(1500*BJ45)+(1000*BJ46)+(1000*BJ47)+(500*BJ48)+(500*BJ49)+(500*BJ50)+(500*BJ51)+(500*BJ52)+(500*BJ53)+(1000*BJ54)+(1000*BJ55)+(1000*BJ56)+(1000*BJ57)+(1000*BJ58)+(500*BJ59)+(500*BJ60)+(1000*BJ36))*0.99</f>
        <v>0</v>
      </c>
      <c r="BK135" s="11">
        <f t="shared" ref="BK135:BK140" si="468">SUM(BD135:BJ135)</f>
        <v>6105</v>
      </c>
      <c r="BM135" s="11">
        <f>((2000*BM39)+(1750*BM40)+(1500*BM41)+(1500*BM42)+(1500*BM43)+(1500*BM44)+(1500*BM45)+(1000*BM46)+(1000*BM47)+(500*BM48)+(500*BM49)+(500*BM50)+(500*BM51)+(500*BM52)+(500*BM53)+(1000*BM54)+(1000*BM55)+(1000*BM56)+(1000*BM57)+(1000*BM58)+(500*BM59)+(500*BM60)+(1000*BM36))</f>
        <v>3500</v>
      </c>
      <c r="BN135" s="11">
        <f t="shared" ref="BN135:BS135" si="469">((2000*BN39)+(1750*BN40)+(1500*BN41)+(1500*BN42)+(1500*BN43)+(1500*BN44)+(1500*BN45)+(1000*BN46)+(1000*BN47)+(500*BN48)+(500*BN49)+(500*BN50)+(500*BN51)+(500*BN52)+(500*BN53)+(1000*BN54)+(1000*BN55)+(1000*BN56)+(1000*BN57)+(1000*BN58)+(500*BN59)+(500*BN60)+(1000*BN36))*0.99</f>
        <v>0</v>
      </c>
      <c r="BO135" s="11">
        <f>((2000*BO39)+(1750*BO40)+(1500*BO41)+(1500*BO42)+(1500*BO43)+(1500*BO44)+(1500*BO45)+(1000*BO46)+(1000*BO47)+(500*BO48)+(500*BO49)+(500*BO50)+(500*BO51)+(500*BO52)+(500*BO53)+(1000*BO54)+(1000*BO55)+(1000*BO56)+(1000*BO57)+(1000*BO58)+(500*BO59)+(500*BO60)+(1000*BO36))</f>
        <v>500</v>
      </c>
      <c r="BP135" s="11">
        <f t="shared" si="469"/>
        <v>0</v>
      </c>
      <c r="BQ135" s="11">
        <f t="shared" si="469"/>
        <v>0</v>
      </c>
      <c r="BR135" s="11">
        <f t="shared" si="469"/>
        <v>0</v>
      </c>
      <c r="BS135" s="11">
        <f t="shared" si="469"/>
        <v>0</v>
      </c>
      <c r="BT135" s="11">
        <f t="shared" ref="BT135:BT140" si="470">SUM(BM135:BS135)</f>
        <v>4000</v>
      </c>
      <c r="BV135" s="5">
        <f t="shared" si="440"/>
        <v>515247.5</v>
      </c>
      <c r="BW135" s="5">
        <f t="shared" si="441"/>
        <v>76143.87</v>
      </c>
      <c r="BX135" s="5">
        <f t="shared" si="442"/>
        <v>8915</v>
      </c>
      <c r="BY135" s="5">
        <f t="shared" si="443"/>
        <v>0</v>
      </c>
      <c r="BZ135" s="5">
        <f t="shared" si="444"/>
        <v>0</v>
      </c>
      <c r="CA135" s="5">
        <f t="shared" si="445"/>
        <v>0</v>
      </c>
      <c r="CB135" s="11">
        <f t="shared" ref="CB135" si="471">((2000*CB39)+(1750*CB40)+(1500*CB41)+(1500*CB42)+(1500*CB43)+(1500*CB44)+(1500*CB45)+(1000*CB46)+(1000*CB47)+(500*CB48)+(500*CB49)+(500*CB50)+(500*CB51)+(500*CB52)+(500*CB53)+(1000*CB54)+(1000*CB55)+(1000*CB56)+(1000*CB57)+(1000*CB58)+(500*CB59)+(500*CB60)+(1000*CB36))*0.99</f>
        <v>0</v>
      </c>
      <c r="CC135" s="11">
        <f t="shared" ref="CC135:CC140" si="472">SUM(BV135:CB135)</f>
        <v>600306.37</v>
      </c>
    </row>
    <row r="136" spans="1:81">
      <c r="A136" s="29" t="s">
        <v>118</v>
      </c>
      <c r="B136" s="11">
        <f>150*B65+(150*25)</f>
        <v>12675</v>
      </c>
      <c r="C136" s="11">
        <f>150*C65</f>
        <v>1500</v>
      </c>
      <c r="D136" s="11">
        <f>150*D65</f>
        <v>300</v>
      </c>
      <c r="E136" s="11"/>
      <c r="F136" s="11">
        <f>125*F65</f>
        <v>0</v>
      </c>
      <c r="G136" s="11">
        <f>125*G65</f>
        <v>0</v>
      </c>
      <c r="H136" s="11">
        <f>125*H65</f>
        <v>0</v>
      </c>
      <c r="I136" s="11">
        <f t="shared" si="408"/>
        <v>14475</v>
      </c>
      <c r="K136" s="11">
        <f>150*K65+(150*25)</f>
        <v>13650</v>
      </c>
      <c r="L136" s="11">
        <f>150*L65</f>
        <v>1500</v>
      </c>
      <c r="M136" s="11">
        <f>150*M65</f>
        <v>300</v>
      </c>
      <c r="N136" s="11"/>
      <c r="O136" s="11">
        <f>125*O65</f>
        <v>0</v>
      </c>
      <c r="P136" s="11">
        <f>125*P65</f>
        <v>0</v>
      </c>
      <c r="Q136" s="11">
        <f>125*Q65</f>
        <v>0</v>
      </c>
      <c r="R136" s="11">
        <f t="shared" si="451"/>
        <v>15450</v>
      </c>
      <c r="T136" s="11">
        <f>150*T65+(150*25)</f>
        <v>15300</v>
      </c>
      <c r="U136" s="11">
        <f>150*U65</f>
        <v>1999.5</v>
      </c>
      <c r="V136" s="11">
        <f>150*V65</f>
        <v>300</v>
      </c>
      <c r="W136" s="11">
        <f t="shared" ref="W136:Z136" si="473">125*W65</f>
        <v>0</v>
      </c>
      <c r="X136" s="11">
        <f t="shared" si="473"/>
        <v>0</v>
      </c>
      <c r="Y136" s="11">
        <f t="shared" si="473"/>
        <v>0</v>
      </c>
      <c r="Z136" s="11">
        <f t="shared" si="473"/>
        <v>0</v>
      </c>
      <c r="AA136" s="11">
        <f t="shared" si="454"/>
        <v>17599.5</v>
      </c>
      <c r="AC136" s="11">
        <f>150*AC65+(150*25)</f>
        <v>24900</v>
      </c>
      <c r="AD136" s="11">
        <f>150*AD65</f>
        <v>4500</v>
      </c>
      <c r="AE136" s="11">
        <f>150*AE65</f>
        <v>900</v>
      </c>
      <c r="AF136" s="11"/>
      <c r="AG136" s="11">
        <f>125*AG65</f>
        <v>0</v>
      </c>
      <c r="AH136" s="11">
        <f>125*AH65</f>
        <v>0</v>
      </c>
      <c r="AI136" s="11">
        <f>125*AI65</f>
        <v>0</v>
      </c>
      <c r="AJ136" s="11">
        <f t="shared" si="457"/>
        <v>30300</v>
      </c>
      <c r="AL136" s="11">
        <f>150*AL65+(150*25)</f>
        <v>24000</v>
      </c>
      <c r="AM136" s="11">
        <f>150*AM65</f>
        <v>3825</v>
      </c>
      <c r="AN136" s="11">
        <f>150*AN65</f>
        <v>600</v>
      </c>
      <c r="AO136" s="11"/>
      <c r="AP136" s="11">
        <f>125*AP65</f>
        <v>0</v>
      </c>
      <c r="AQ136" s="11">
        <f>125*AQ65</f>
        <v>0</v>
      </c>
      <c r="AR136" s="11">
        <f>125*AR65</f>
        <v>0</v>
      </c>
      <c r="AS136" s="11">
        <f t="shared" si="460"/>
        <v>28425</v>
      </c>
      <c r="AU136" s="11">
        <f>150*AU65+(150*5)</f>
        <v>1200</v>
      </c>
      <c r="AV136" s="11">
        <f>150*AV65</f>
        <v>300</v>
      </c>
      <c r="AW136" s="11">
        <f>150*AW65</f>
        <v>0</v>
      </c>
      <c r="AX136" s="11"/>
      <c r="AY136" s="11">
        <f>125*AY65</f>
        <v>0</v>
      </c>
      <c r="AZ136" s="11">
        <f>125*AZ65</f>
        <v>0</v>
      </c>
      <c r="BA136" s="11">
        <f>125*BA65</f>
        <v>0</v>
      </c>
      <c r="BB136" s="11">
        <f t="shared" si="464"/>
        <v>1500</v>
      </c>
      <c r="BD136" s="11">
        <f>150*BD65+(150*8)</f>
        <v>3450</v>
      </c>
      <c r="BE136" s="11">
        <f>150*BE65</f>
        <v>150</v>
      </c>
      <c r="BF136" s="11">
        <f>150*BF65</f>
        <v>150</v>
      </c>
      <c r="BG136" s="11"/>
      <c r="BH136" s="11"/>
      <c r="BI136" s="11">
        <f>125*BI65</f>
        <v>0</v>
      </c>
      <c r="BJ136" s="11">
        <f>125*BJ65</f>
        <v>0</v>
      </c>
      <c r="BK136" s="11">
        <f t="shared" si="468"/>
        <v>3750</v>
      </c>
      <c r="BM136" s="11">
        <f>125*BM65+(125*25)</f>
        <v>3500</v>
      </c>
      <c r="BN136" s="11">
        <f>125*BN65</f>
        <v>0</v>
      </c>
      <c r="BO136" s="11">
        <f>125*BO65</f>
        <v>125</v>
      </c>
      <c r="BP136" s="11"/>
      <c r="BQ136" s="11">
        <f>125*BQ65</f>
        <v>0</v>
      </c>
      <c r="BR136" s="11">
        <f>125*BR65</f>
        <v>0</v>
      </c>
      <c r="BS136" s="11">
        <f>125*BS65</f>
        <v>0</v>
      </c>
      <c r="BT136" s="11">
        <f t="shared" si="470"/>
        <v>3625</v>
      </c>
      <c r="BV136" s="5">
        <f t="shared" si="440"/>
        <v>98675</v>
      </c>
      <c r="BW136" s="5">
        <f t="shared" si="441"/>
        <v>13774.5</v>
      </c>
      <c r="BX136" s="5">
        <f t="shared" si="442"/>
        <v>2675</v>
      </c>
      <c r="BY136" s="5">
        <f t="shared" si="443"/>
        <v>0</v>
      </c>
      <c r="BZ136" s="5">
        <f t="shared" si="444"/>
        <v>0</v>
      </c>
      <c r="CA136" s="5">
        <f t="shared" si="445"/>
        <v>0</v>
      </c>
      <c r="CB136" s="11">
        <f>125*CB65</f>
        <v>0</v>
      </c>
      <c r="CC136" s="11">
        <f t="shared" si="472"/>
        <v>115124.5</v>
      </c>
    </row>
    <row r="137" spans="1:81">
      <c r="A137" s="29" t="s">
        <v>119</v>
      </c>
      <c r="B137" s="11">
        <v>2500</v>
      </c>
      <c r="C137" s="11"/>
      <c r="D137" s="11"/>
      <c r="E137" s="11"/>
      <c r="F137" s="11">
        <v>0</v>
      </c>
      <c r="G137" s="11"/>
      <c r="H137" s="11"/>
      <c r="I137" s="11">
        <f t="shared" si="408"/>
        <v>2500</v>
      </c>
      <c r="K137" s="11">
        <v>10000</v>
      </c>
      <c r="L137" s="11"/>
      <c r="M137" s="11"/>
      <c r="N137" s="11"/>
      <c r="O137" s="11">
        <v>0</v>
      </c>
      <c r="P137" s="11"/>
      <c r="Q137" s="11"/>
      <c r="R137" s="11">
        <f t="shared" si="451"/>
        <v>10000</v>
      </c>
      <c r="T137" s="11">
        <v>2500</v>
      </c>
      <c r="U137" s="11"/>
      <c r="V137" s="11"/>
      <c r="W137" s="11"/>
      <c r="X137" s="11">
        <v>0</v>
      </c>
      <c r="Y137" s="11"/>
      <c r="Z137" s="11"/>
      <c r="AA137" s="11">
        <f t="shared" si="454"/>
        <v>2500</v>
      </c>
      <c r="AC137" s="11">
        <v>2500</v>
      </c>
      <c r="AD137" s="11"/>
      <c r="AE137" s="11"/>
      <c r="AF137" s="11"/>
      <c r="AG137" s="11">
        <v>0</v>
      </c>
      <c r="AH137" s="11"/>
      <c r="AI137" s="11"/>
      <c r="AJ137" s="11">
        <f t="shared" si="457"/>
        <v>2500</v>
      </c>
      <c r="AL137" s="11">
        <v>2500</v>
      </c>
      <c r="AM137" s="11"/>
      <c r="AN137" s="11"/>
      <c r="AO137" s="11"/>
      <c r="AP137" s="11">
        <v>0</v>
      </c>
      <c r="AQ137" s="11"/>
      <c r="AR137" s="11"/>
      <c r="AS137" s="11">
        <f t="shared" si="460"/>
        <v>2500</v>
      </c>
      <c r="AU137" s="5">
        <f>(100*AU17*12)+6000+15000+7000</f>
        <v>172000</v>
      </c>
      <c r="AV137" s="11">
        <v>17500</v>
      </c>
      <c r="AW137" s="11"/>
      <c r="AX137" s="11"/>
      <c r="AY137" s="11">
        <v>0</v>
      </c>
      <c r="AZ137" s="11"/>
      <c r="BA137" s="11"/>
      <c r="BB137" s="11">
        <f t="shared" si="464"/>
        <v>189500</v>
      </c>
      <c r="BD137" s="11">
        <v>0</v>
      </c>
      <c r="BE137" s="11"/>
      <c r="BF137" s="11"/>
      <c r="BG137" s="11"/>
      <c r="BH137" s="11">
        <v>0</v>
      </c>
      <c r="BI137" s="11"/>
      <c r="BJ137" s="11"/>
      <c r="BK137" s="11">
        <f t="shared" si="468"/>
        <v>0</v>
      </c>
      <c r="BM137" s="11">
        <v>0</v>
      </c>
      <c r="BN137" s="11"/>
      <c r="BO137" s="11"/>
      <c r="BP137" s="11"/>
      <c r="BQ137" s="11">
        <v>0</v>
      </c>
      <c r="BR137" s="11"/>
      <c r="BS137" s="11"/>
      <c r="BT137" s="11">
        <f t="shared" si="470"/>
        <v>0</v>
      </c>
      <c r="BV137" s="5">
        <f t="shared" si="440"/>
        <v>192000</v>
      </c>
      <c r="BW137" s="5">
        <f t="shared" si="441"/>
        <v>17500</v>
      </c>
      <c r="BX137" s="5">
        <f t="shared" si="442"/>
        <v>0</v>
      </c>
      <c r="BY137" s="5">
        <f t="shared" si="443"/>
        <v>0</v>
      </c>
      <c r="BZ137" s="5">
        <f t="shared" si="444"/>
        <v>0</v>
      </c>
      <c r="CA137" s="5">
        <f t="shared" si="445"/>
        <v>0</v>
      </c>
      <c r="CB137" s="11"/>
      <c r="CC137" s="11">
        <f t="shared" si="472"/>
        <v>209500</v>
      </c>
    </row>
    <row r="138" spans="1:81">
      <c r="A138" s="29" t="s">
        <v>120</v>
      </c>
      <c r="B138" s="11">
        <v>0</v>
      </c>
      <c r="C138" s="11">
        <v>0</v>
      </c>
      <c r="D138" s="11">
        <v>0</v>
      </c>
      <c r="E138" s="11"/>
      <c r="F138" s="11"/>
      <c r="G138" s="11"/>
      <c r="H138" s="11"/>
      <c r="I138" s="11">
        <f t="shared" si="408"/>
        <v>0</v>
      </c>
      <c r="K138" s="11">
        <v>0</v>
      </c>
      <c r="L138" s="11">
        <v>0</v>
      </c>
      <c r="M138" s="11">
        <v>0</v>
      </c>
      <c r="N138" s="11"/>
      <c r="O138" s="11"/>
      <c r="P138" s="11"/>
      <c r="Q138" s="11"/>
      <c r="R138" s="11">
        <f t="shared" si="451"/>
        <v>0</v>
      </c>
      <c r="T138" s="11">
        <v>0</v>
      </c>
      <c r="U138" s="11">
        <v>0</v>
      </c>
      <c r="V138" s="11">
        <v>0</v>
      </c>
      <c r="W138" s="11"/>
      <c r="X138" s="11"/>
      <c r="Y138" s="11"/>
      <c r="Z138" s="11"/>
      <c r="AA138" s="11">
        <f t="shared" si="454"/>
        <v>0</v>
      </c>
      <c r="AC138" s="11">
        <v>0</v>
      </c>
      <c r="AD138" s="11">
        <v>0</v>
      </c>
      <c r="AE138" s="11">
        <v>0</v>
      </c>
      <c r="AF138" s="11"/>
      <c r="AG138" s="11"/>
      <c r="AH138" s="11"/>
      <c r="AI138" s="11"/>
      <c r="AJ138" s="11">
        <f t="shared" si="457"/>
        <v>0</v>
      </c>
      <c r="AL138" s="11">
        <v>0</v>
      </c>
      <c r="AM138" s="11">
        <v>0</v>
      </c>
      <c r="AN138" s="11">
        <v>0</v>
      </c>
      <c r="AO138" s="11"/>
      <c r="AP138" s="11"/>
      <c r="AQ138" s="11"/>
      <c r="AR138" s="11"/>
      <c r="AS138" s="11">
        <f t="shared" si="460"/>
        <v>0</v>
      </c>
      <c r="AU138" s="11">
        <v>0</v>
      </c>
      <c r="AV138" s="11">
        <v>0</v>
      </c>
      <c r="AW138" s="11">
        <v>0</v>
      </c>
      <c r="AX138" s="11"/>
      <c r="AY138" s="11"/>
      <c r="AZ138" s="11"/>
      <c r="BA138" s="11"/>
      <c r="BB138" s="11">
        <f t="shared" si="464"/>
        <v>0</v>
      </c>
      <c r="BD138" s="11">
        <v>0</v>
      </c>
      <c r="BE138" s="11">
        <v>0</v>
      </c>
      <c r="BF138" s="11">
        <v>0</v>
      </c>
      <c r="BG138" s="11"/>
      <c r="BH138" s="11"/>
      <c r="BI138" s="11"/>
      <c r="BJ138" s="11"/>
      <c r="BK138" s="11">
        <f t="shared" si="468"/>
        <v>0</v>
      </c>
      <c r="BM138" s="11">
        <v>0</v>
      </c>
      <c r="BN138" s="11">
        <v>0</v>
      </c>
      <c r="BO138" s="11">
        <v>0</v>
      </c>
      <c r="BP138" s="11"/>
      <c r="BQ138" s="11"/>
      <c r="BR138" s="11"/>
      <c r="BS138" s="11"/>
      <c r="BT138" s="11">
        <f t="shared" si="470"/>
        <v>0</v>
      </c>
      <c r="BV138" s="5">
        <f t="shared" si="440"/>
        <v>0</v>
      </c>
      <c r="BW138" s="5">
        <f t="shared" si="441"/>
        <v>0</v>
      </c>
      <c r="BX138" s="5">
        <f t="shared" si="442"/>
        <v>0</v>
      </c>
      <c r="BY138" s="5">
        <f t="shared" si="443"/>
        <v>0</v>
      </c>
      <c r="BZ138" s="5">
        <f t="shared" si="444"/>
        <v>0</v>
      </c>
      <c r="CA138" s="5">
        <f t="shared" si="445"/>
        <v>0</v>
      </c>
      <c r="CB138" s="11"/>
      <c r="CC138" s="11">
        <f t="shared" si="472"/>
        <v>0</v>
      </c>
    </row>
    <row r="139" spans="1:81">
      <c r="A139" s="29" t="s">
        <v>121</v>
      </c>
      <c r="B139" s="11">
        <v>12000</v>
      </c>
      <c r="C139" s="11"/>
      <c r="D139" s="11"/>
      <c r="E139" s="11"/>
      <c r="F139" s="11"/>
      <c r="G139" s="11"/>
      <c r="H139" s="11"/>
      <c r="I139" s="5">
        <f t="shared" si="408"/>
        <v>12000</v>
      </c>
      <c r="K139" s="11">
        <v>12000</v>
      </c>
      <c r="L139" s="11"/>
      <c r="M139" s="11"/>
      <c r="N139" s="11"/>
      <c r="O139" s="11"/>
      <c r="P139" s="11"/>
      <c r="Q139" s="11"/>
      <c r="R139" s="5">
        <f t="shared" si="451"/>
        <v>12000</v>
      </c>
      <c r="T139" s="11">
        <v>15000</v>
      </c>
      <c r="U139" s="11"/>
      <c r="V139" s="11"/>
      <c r="W139" s="11"/>
      <c r="X139" s="11"/>
      <c r="Y139" s="11"/>
      <c r="Z139" s="11"/>
      <c r="AA139" s="5">
        <f t="shared" si="454"/>
        <v>15000</v>
      </c>
      <c r="AC139" s="11">
        <v>20000</v>
      </c>
      <c r="AD139" s="11"/>
      <c r="AE139" s="11"/>
      <c r="AF139" s="11"/>
      <c r="AG139" s="11"/>
      <c r="AH139" s="11"/>
      <c r="AI139" s="11"/>
      <c r="AJ139" s="5">
        <f t="shared" si="457"/>
        <v>20000</v>
      </c>
      <c r="AL139" s="11">
        <v>20000</v>
      </c>
      <c r="AM139" s="11"/>
      <c r="AN139" s="11"/>
      <c r="AO139" s="11"/>
      <c r="AP139" s="11"/>
      <c r="AQ139" s="11"/>
      <c r="AR139" s="11"/>
      <c r="AS139" s="5">
        <f t="shared" si="460"/>
        <v>20000</v>
      </c>
      <c r="AU139" s="11">
        <v>2500</v>
      </c>
      <c r="AV139" s="11"/>
      <c r="AW139" s="11"/>
      <c r="AX139" s="11"/>
      <c r="AY139" s="11"/>
      <c r="AZ139" s="11"/>
      <c r="BA139" s="11"/>
      <c r="BB139" s="5">
        <f t="shared" si="464"/>
        <v>2500</v>
      </c>
      <c r="BD139" s="11">
        <v>2500</v>
      </c>
      <c r="BE139" s="11"/>
      <c r="BF139" s="11"/>
      <c r="BG139" s="11"/>
      <c r="BH139" s="11"/>
      <c r="BI139" s="11"/>
      <c r="BJ139" s="11"/>
      <c r="BK139" s="5">
        <f t="shared" si="468"/>
        <v>2500</v>
      </c>
      <c r="BM139" s="11">
        <v>0</v>
      </c>
      <c r="BN139" s="11"/>
      <c r="BO139" s="11"/>
      <c r="BP139" s="11"/>
      <c r="BQ139" s="11"/>
      <c r="BR139" s="11"/>
      <c r="BS139" s="11"/>
      <c r="BT139" s="5">
        <f t="shared" si="470"/>
        <v>0</v>
      </c>
      <c r="BV139" s="5">
        <f t="shared" si="440"/>
        <v>84000</v>
      </c>
      <c r="BW139" s="5">
        <f t="shared" si="441"/>
        <v>0</v>
      </c>
      <c r="BX139" s="5">
        <f t="shared" si="442"/>
        <v>0</v>
      </c>
      <c r="BY139" s="5">
        <f t="shared" si="443"/>
        <v>0</v>
      </c>
      <c r="BZ139" s="5">
        <f t="shared" si="444"/>
        <v>0</v>
      </c>
      <c r="CA139" s="5">
        <f t="shared" si="445"/>
        <v>0</v>
      </c>
      <c r="CB139" s="11"/>
      <c r="CC139" s="5">
        <f t="shared" si="472"/>
        <v>84000</v>
      </c>
    </row>
    <row r="140" spans="1:81">
      <c r="A140" s="29" t="s">
        <v>122</v>
      </c>
      <c r="B140" s="35">
        <f>(185*11*(B36))-B130</f>
        <v>53852.5</v>
      </c>
      <c r="C140" s="35">
        <f>(185*11*(C36))-C130</f>
        <v>10175</v>
      </c>
      <c r="D140" s="35">
        <f t="shared" ref="D140:E140" si="474">(185*11*(D36))-D130</f>
        <v>0</v>
      </c>
      <c r="E140" s="35">
        <f t="shared" si="474"/>
        <v>0</v>
      </c>
      <c r="F140" s="35">
        <f t="shared" ref="F140:H140" si="475">(175*11*(F36))-F130</f>
        <v>0</v>
      </c>
      <c r="G140" s="35">
        <f t="shared" si="475"/>
        <v>0</v>
      </c>
      <c r="H140" s="35">
        <f t="shared" si="475"/>
        <v>0</v>
      </c>
      <c r="I140" s="5">
        <f t="shared" si="408"/>
        <v>64027.5</v>
      </c>
      <c r="K140" s="35">
        <f>(185*11*(K36))-K130</f>
        <v>58940</v>
      </c>
      <c r="L140" s="35">
        <f>(185*11*(L36))-L130</f>
        <v>8140</v>
      </c>
      <c r="M140" s="35">
        <f t="shared" ref="M140:N140" si="476">(185*11*(M36))-M130</f>
        <v>0</v>
      </c>
      <c r="N140" s="35">
        <f t="shared" si="476"/>
        <v>0</v>
      </c>
      <c r="O140" s="35">
        <f t="shared" ref="O140:Q140" si="477">(175*11*(O36))-O130</f>
        <v>0</v>
      </c>
      <c r="P140" s="35">
        <f t="shared" si="477"/>
        <v>0</v>
      </c>
      <c r="Q140" s="35">
        <f t="shared" si="477"/>
        <v>0</v>
      </c>
      <c r="R140" s="5">
        <f t="shared" si="451"/>
        <v>67080</v>
      </c>
      <c r="T140" s="35">
        <f>(185*11*(T36))-T130</f>
        <v>50725</v>
      </c>
      <c r="U140" s="35">
        <f>(185*11*(U36))-U130</f>
        <v>10175</v>
      </c>
      <c r="V140" s="35">
        <f t="shared" ref="V140:W140" si="478">(185*11*(V36))-V130</f>
        <v>0</v>
      </c>
      <c r="W140" s="35">
        <f t="shared" si="478"/>
        <v>0</v>
      </c>
      <c r="X140" s="35">
        <f t="shared" ref="X140:Z140" si="479">(175*11*(X36))-X130</f>
        <v>0</v>
      </c>
      <c r="Y140" s="35">
        <f t="shared" si="479"/>
        <v>0</v>
      </c>
      <c r="Z140" s="35">
        <f t="shared" si="479"/>
        <v>0</v>
      </c>
      <c r="AA140" s="5">
        <f t="shared" si="454"/>
        <v>60900</v>
      </c>
      <c r="AC140" s="35">
        <f>(185*11*(AC36))-AC130</f>
        <v>99490</v>
      </c>
      <c r="AD140" s="35">
        <f>(185*11*(AD36))-AD130</f>
        <v>26455</v>
      </c>
      <c r="AE140" s="35">
        <f t="shared" ref="AE140:AF140" si="480">(185*11*(AE36))-AE130</f>
        <v>0</v>
      </c>
      <c r="AF140" s="35">
        <f t="shared" si="480"/>
        <v>0</v>
      </c>
      <c r="AG140" s="35">
        <f t="shared" ref="AG140:AI140" si="481">(175*11*(AG36))-AG130</f>
        <v>0</v>
      </c>
      <c r="AH140" s="35">
        <f t="shared" si="481"/>
        <v>0</v>
      </c>
      <c r="AI140" s="35">
        <f t="shared" si="481"/>
        <v>0</v>
      </c>
      <c r="AJ140" s="5">
        <f t="shared" si="457"/>
        <v>125945</v>
      </c>
      <c r="AL140" s="35">
        <f>(185*11*(AL36))-AL130</f>
        <v>101525</v>
      </c>
      <c r="AM140" s="35">
        <f>(185*11*(AM36))-AM130</f>
        <v>24420</v>
      </c>
      <c r="AN140" s="35">
        <f t="shared" ref="AN140:AO140" si="482">(185*11*(AN36))-AN130</f>
        <v>0</v>
      </c>
      <c r="AO140" s="35">
        <f t="shared" si="482"/>
        <v>0</v>
      </c>
      <c r="AP140" s="35">
        <f t="shared" ref="AP140:AR140" si="483">(175*11*(AP36))-AP130</f>
        <v>0</v>
      </c>
      <c r="AQ140" s="35">
        <f t="shared" si="483"/>
        <v>0</v>
      </c>
      <c r="AR140" s="35">
        <f t="shared" si="483"/>
        <v>0</v>
      </c>
      <c r="AS140" s="5">
        <f t="shared" si="460"/>
        <v>125945</v>
      </c>
      <c r="AU140" s="35">
        <f>(185*11*(AU36))-AU130</f>
        <v>0</v>
      </c>
      <c r="AV140" s="35">
        <f>(185*11*(AV36))-AV130</f>
        <v>2035</v>
      </c>
      <c r="AW140" s="35">
        <f t="shared" ref="AW140:AX140" si="484">(185*11*(AW36))-AW130</f>
        <v>0</v>
      </c>
      <c r="AX140" s="35">
        <f t="shared" si="484"/>
        <v>0</v>
      </c>
      <c r="AY140" s="35">
        <f t="shared" ref="AY140:BA140" si="485">(175*11*(AY36))-AY130</f>
        <v>0</v>
      </c>
      <c r="AZ140" s="35">
        <f t="shared" si="485"/>
        <v>0</v>
      </c>
      <c r="BA140" s="35">
        <f t="shared" si="485"/>
        <v>0</v>
      </c>
      <c r="BB140" s="5">
        <f t="shared" si="464"/>
        <v>2035</v>
      </c>
      <c r="BD140" s="35">
        <f>(185*11*(BD36))-BD130</f>
        <v>18315</v>
      </c>
      <c r="BE140" s="35">
        <f>(185*11*(BE36))-BE130</f>
        <v>2035</v>
      </c>
      <c r="BF140" s="35">
        <f t="shared" ref="BF140:BG140" si="486">(185*11*(BF36))-BF130</f>
        <v>0</v>
      </c>
      <c r="BG140" s="35">
        <f t="shared" si="486"/>
        <v>0</v>
      </c>
      <c r="BH140" s="35">
        <f t="shared" ref="BH140:BJ140" si="487">(175*11*(BH36))-BH130</f>
        <v>0</v>
      </c>
      <c r="BI140" s="35">
        <f t="shared" si="487"/>
        <v>0</v>
      </c>
      <c r="BJ140" s="35">
        <f t="shared" si="487"/>
        <v>0</v>
      </c>
      <c r="BK140" s="5">
        <f t="shared" si="468"/>
        <v>20350</v>
      </c>
      <c r="BM140" s="35">
        <v>0</v>
      </c>
      <c r="BN140" s="35">
        <f t="shared" ref="BN140:BP140" si="488">(185*11*(BN36))-BN130</f>
        <v>0</v>
      </c>
      <c r="BO140" s="35">
        <f t="shared" si="488"/>
        <v>0</v>
      </c>
      <c r="BP140" s="35">
        <f t="shared" si="488"/>
        <v>0</v>
      </c>
      <c r="BQ140" s="35">
        <f t="shared" ref="BQ140:BS140" si="489">(175*11*(BQ36))-BQ130</f>
        <v>0</v>
      </c>
      <c r="BR140" s="35">
        <f t="shared" si="489"/>
        <v>0</v>
      </c>
      <c r="BS140" s="35">
        <f t="shared" si="489"/>
        <v>0</v>
      </c>
      <c r="BT140" s="5">
        <f t="shared" si="470"/>
        <v>0</v>
      </c>
      <c r="BV140" s="5">
        <f t="shared" si="440"/>
        <v>382847.5</v>
      </c>
      <c r="BW140" s="5">
        <f t="shared" si="441"/>
        <v>83435</v>
      </c>
      <c r="BX140" s="5">
        <f t="shared" si="442"/>
        <v>0</v>
      </c>
      <c r="BY140" s="5">
        <f t="shared" si="443"/>
        <v>0</v>
      </c>
      <c r="BZ140" s="5">
        <f t="shared" si="444"/>
        <v>0</v>
      </c>
      <c r="CA140" s="5">
        <f t="shared" si="445"/>
        <v>0</v>
      </c>
      <c r="CB140" s="35">
        <f t="shared" ref="CB140" si="490">(175*11*(CB36))-CB130</f>
        <v>0</v>
      </c>
      <c r="CC140" s="5">
        <f t="shared" si="472"/>
        <v>466282.5</v>
      </c>
    </row>
    <row r="141" spans="1:81" ht="15">
      <c r="A141" s="73" t="s">
        <v>123</v>
      </c>
      <c r="B141" s="74">
        <f>SUM(B133:B140)</f>
        <v>1749530.1440000001</v>
      </c>
      <c r="C141" s="74">
        <f t="shared" ref="C141:H141" si="491">SUM(C133:C140)</f>
        <v>255634.64</v>
      </c>
      <c r="D141" s="74">
        <f t="shared" si="491"/>
        <v>34701.990000000005</v>
      </c>
      <c r="E141" s="74">
        <f t="shared" si="491"/>
        <v>0</v>
      </c>
      <c r="F141" s="74">
        <f t="shared" si="491"/>
        <v>0</v>
      </c>
      <c r="G141" s="74">
        <f t="shared" si="491"/>
        <v>0</v>
      </c>
      <c r="H141" s="74">
        <f t="shared" si="491"/>
        <v>0</v>
      </c>
      <c r="I141" s="74">
        <f>SUM(I133:I140)</f>
        <v>2039866.7739999997</v>
      </c>
      <c r="J141" s="7"/>
      <c r="K141" s="74">
        <f>SUM(K133:K140)</f>
        <v>1956278.7840000002</v>
      </c>
      <c r="L141" s="74">
        <f t="shared" ref="L141:Q141" si="492">SUM(L133:L140)</f>
        <v>261678.1</v>
      </c>
      <c r="M141" s="74">
        <f t="shared" si="492"/>
        <v>37490.400000000001</v>
      </c>
      <c r="N141" s="74"/>
      <c r="O141" s="74">
        <f t="shared" si="492"/>
        <v>0</v>
      </c>
      <c r="P141" s="74">
        <f t="shared" si="492"/>
        <v>0</v>
      </c>
      <c r="Q141" s="74">
        <f t="shared" si="492"/>
        <v>0</v>
      </c>
      <c r="R141" s="74">
        <f>SUM(R133:R140)</f>
        <v>2255447.284</v>
      </c>
      <c r="T141" s="74">
        <f>SUM(T133:T140)</f>
        <v>2258567.6069999998</v>
      </c>
      <c r="U141" s="74">
        <f t="shared" ref="U141:Z141" si="493">SUM(U133:U140)</f>
        <v>342333.02374999999</v>
      </c>
      <c r="V141" s="74">
        <f t="shared" si="493"/>
        <v>34971.990000000005</v>
      </c>
      <c r="W141" s="74"/>
      <c r="X141" s="74">
        <f t="shared" si="493"/>
        <v>0</v>
      </c>
      <c r="Y141" s="74">
        <f t="shared" si="493"/>
        <v>0</v>
      </c>
      <c r="Z141" s="74">
        <f t="shared" si="493"/>
        <v>0</v>
      </c>
      <c r="AA141" s="74">
        <f>SUM(AA133:AA140)</f>
        <v>2635872.6207500002</v>
      </c>
      <c r="AC141" s="74">
        <f>SUM(AC133:AC140)</f>
        <v>4263975.4539999999</v>
      </c>
      <c r="AD141" s="74">
        <f t="shared" ref="AD141:AI141" si="494">SUM(AD133:AD140)</f>
        <v>789203.35000000009</v>
      </c>
      <c r="AE141" s="74">
        <f t="shared" si="494"/>
        <v>95876.37000000001</v>
      </c>
      <c r="AF141" s="74">
        <f t="shared" si="494"/>
        <v>0</v>
      </c>
      <c r="AG141" s="74">
        <f t="shared" si="494"/>
        <v>0</v>
      </c>
      <c r="AH141" s="74">
        <f t="shared" si="494"/>
        <v>0</v>
      </c>
      <c r="AI141" s="74">
        <f t="shared" si="494"/>
        <v>0</v>
      </c>
      <c r="AJ141" s="74">
        <f>SUM(AJ133:AJ140)</f>
        <v>5149055.1740000006</v>
      </c>
      <c r="AL141" s="74">
        <f>SUM(AL133:AL140)</f>
        <v>4051596.3800000004</v>
      </c>
      <c r="AM141" s="74">
        <f t="shared" ref="AM141:AR141" si="495">SUM(AM133:AM140)</f>
        <v>661335.1725000001</v>
      </c>
      <c r="AN141" s="74">
        <f t="shared" si="495"/>
        <v>59391.3</v>
      </c>
      <c r="AO141" s="74">
        <f t="shared" si="495"/>
        <v>0</v>
      </c>
      <c r="AP141" s="74">
        <f t="shared" si="495"/>
        <v>0</v>
      </c>
      <c r="AQ141" s="74">
        <f t="shared" si="495"/>
        <v>0</v>
      </c>
      <c r="AR141" s="74">
        <f t="shared" si="495"/>
        <v>0</v>
      </c>
      <c r="AS141" s="74">
        <f>SUM(AS133:AS140)</f>
        <v>4772322.852500001</v>
      </c>
      <c r="AU141" s="74">
        <f>SUM(AU133:AU140)</f>
        <v>248163.125</v>
      </c>
      <c r="AV141" s="74">
        <f t="shared" ref="AV141:BA141" si="496">SUM(AV133:AV140)</f>
        <v>72773.675000000003</v>
      </c>
      <c r="AW141" s="74">
        <f t="shared" si="496"/>
        <v>0</v>
      </c>
      <c r="AX141" s="74">
        <f t="shared" si="496"/>
        <v>0</v>
      </c>
      <c r="AY141" s="74">
        <f t="shared" si="496"/>
        <v>0</v>
      </c>
      <c r="AZ141" s="74">
        <f t="shared" si="496"/>
        <v>0</v>
      </c>
      <c r="BA141" s="74">
        <f t="shared" si="496"/>
        <v>0</v>
      </c>
      <c r="BB141" s="74">
        <f>SUM(BB133:BB140)</f>
        <v>320936.8</v>
      </c>
      <c r="BD141" s="74">
        <f>SUM(BD133:BD140)</f>
        <v>445801.76500000001</v>
      </c>
      <c r="BE141" s="74">
        <f t="shared" ref="BE141:BJ141" si="497">SUM(BE133:BE140)</f>
        <v>30638.875</v>
      </c>
      <c r="BF141" s="74">
        <f t="shared" si="497"/>
        <v>7563.6750000000002</v>
      </c>
      <c r="BG141" s="74">
        <f t="shared" si="497"/>
        <v>0</v>
      </c>
      <c r="BH141" s="74">
        <f t="shared" si="497"/>
        <v>11591.502500000001</v>
      </c>
      <c r="BI141" s="74">
        <f t="shared" si="497"/>
        <v>0</v>
      </c>
      <c r="BJ141" s="74">
        <f t="shared" si="497"/>
        <v>0</v>
      </c>
      <c r="BK141" s="74">
        <f>SUM(BK133:BK140)</f>
        <v>495595.8175</v>
      </c>
      <c r="BM141" s="74">
        <f>SUM(BM133:BM140)</f>
        <v>122079.625</v>
      </c>
      <c r="BN141" s="74">
        <f t="shared" ref="BN141:BS141" si="498">SUM(BN133:BN140)</f>
        <v>0</v>
      </c>
      <c r="BO141" s="74">
        <f t="shared" si="498"/>
        <v>2140</v>
      </c>
      <c r="BP141" s="74">
        <f t="shared" si="498"/>
        <v>0</v>
      </c>
      <c r="BQ141" s="74">
        <f t="shared" si="498"/>
        <v>0</v>
      </c>
      <c r="BR141" s="74">
        <f t="shared" si="498"/>
        <v>0</v>
      </c>
      <c r="BS141" s="74">
        <f t="shared" si="498"/>
        <v>0</v>
      </c>
      <c r="BT141" s="74">
        <f>SUM(BT133:BT140)</f>
        <v>124219.625</v>
      </c>
      <c r="BV141" s="74">
        <f>SUM(BV133:BV140)</f>
        <v>15095992.884000001</v>
      </c>
      <c r="BW141" s="74">
        <f t="shared" ref="BW141:CB141" si="499">SUM(BW133:BW140)</f>
        <v>2413596.8362500006</v>
      </c>
      <c r="BX141" s="74">
        <f t="shared" si="499"/>
        <v>272135.72499999998</v>
      </c>
      <c r="BY141" s="74">
        <f t="shared" si="499"/>
        <v>0</v>
      </c>
      <c r="BZ141" s="74">
        <f t="shared" si="499"/>
        <v>11591.502500000001</v>
      </c>
      <c r="CA141" s="74">
        <f t="shared" si="499"/>
        <v>0</v>
      </c>
      <c r="CB141" s="74">
        <f t="shared" si="499"/>
        <v>0</v>
      </c>
      <c r="CC141" s="74">
        <f>SUM(CC133:CC140)</f>
        <v>17793316.947750002</v>
      </c>
    </row>
    <row r="142" spans="1:81" ht="15">
      <c r="A142" s="70" t="s">
        <v>124</v>
      </c>
      <c r="B142" s="71">
        <f t="shared" ref="B142:I142" si="500">B132+B141</f>
        <v>5109741.6440000003</v>
      </c>
      <c r="C142" s="71">
        <f t="shared" si="500"/>
        <v>730324.64</v>
      </c>
      <c r="D142" s="71">
        <f t="shared" si="500"/>
        <v>93741.99</v>
      </c>
      <c r="E142" s="71">
        <f t="shared" si="500"/>
        <v>0</v>
      </c>
      <c r="F142" s="71">
        <f t="shared" si="500"/>
        <v>0</v>
      </c>
      <c r="G142" s="71">
        <f t="shared" si="500"/>
        <v>0</v>
      </c>
      <c r="H142" s="71">
        <f t="shared" si="500"/>
        <v>0</v>
      </c>
      <c r="I142" s="71">
        <f t="shared" si="500"/>
        <v>5933808.2740000002</v>
      </c>
      <c r="J142" s="7"/>
      <c r="K142" s="71">
        <f t="shared" ref="K142:R142" si="501">K132+K141</f>
        <v>5692992.784</v>
      </c>
      <c r="L142" s="71">
        <f t="shared" si="501"/>
        <v>754028.1</v>
      </c>
      <c r="M142" s="71">
        <f t="shared" si="501"/>
        <v>103140.4</v>
      </c>
      <c r="N142" s="71"/>
      <c r="O142" s="71">
        <f t="shared" si="501"/>
        <v>0</v>
      </c>
      <c r="P142" s="71">
        <f t="shared" si="501"/>
        <v>0</v>
      </c>
      <c r="Q142" s="71">
        <f t="shared" si="501"/>
        <v>0</v>
      </c>
      <c r="R142" s="71">
        <f t="shared" si="501"/>
        <v>6550161.284</v>
      </c>
      <c r="T142" s="71">
        <f t="shared" ref="T142:AA142" si="502">T132+T141</f>
        <v>6716939.6069999998</v>
      </c>
      <c r="U142" s="71">
        <f t="shared" si="502"/>
        <v>983133.02374999993</v>
      </c>
      <c r="V142" s="71">
        <f t="shared" si="502"/>
        <v>94011.99</v>
      </c>
      <c r="W142" s="71"/>
      <c r="X142" s="71">
        <f t="shared" si="502"/>
        <v>0</v>
      </c>
      <c r="Y142" s="71">
        <f t="shared" si="502"/>
        <v>0</v>
      </c>
      <c r="Z142" s="71">
        <f t="shared" si="502"/>
        <v>0</v>
      </c>
      <c r="AA142" s="71">
        <f t="shared" si="502"/>
        <v>7794084.6207500007</v>
      </c>
      <c r="AC142" s="71">
        <f t="shared" ref="AC142:AJ142" si="503">AC132+AC141</f>
        <v>12663634.454</v>
      </c>
      <c r="AD142" s="71">
        <f t="shared" si="503"/>
        <v>2284303.35</v>
      </c>
      <c r="AE142" s="71">
        <f t="shared" si="503"/>
        <v>251396.37</v>
      </c>
      <c r="AF142" s="71">
        <f t="shared" si="503"/>
        <v>0</v>
      </c>
      <c r="AG142" s="71">
        <f t="shared" si="503"/>
        <v>0</v>
      </c>
      <c r="AH142" s="71">
        <f t="shared" si="503"/>
        <v>0</v>
      </c>
      <c r="AI142" s="71">
        <f t="shared" si="503"/>
        <v>0</v>
      </c>
      <c r="AJ142" s="71">
        <f t="shared" si="503"/>
        <v>15199334.174000001</v>
      </c>
      <c r="AL142" s="71">
        <f t="shared" ref="AL142:AS142" si="504">AL132+AL141</f>
        <v>11986951.380000001</v>
      </c>
      <c r="AM142" s="71">
        <f t="shared" si="504"/>
        <v>1901895.1725000001</v>
      </c>
      <c r="AN142" s="71">
        <f t="shared" si="504"/>
        <v>151191.29999999999</v>
      </c>
      <c r="AO142" s="71">
        <f t="shared" si="504"/>
        <v>0</v>
      </c>
      <c r="AP142" s="71">
        <f t="shared" si="504"/>
        <v>0</v>
      </c>
      <c r="AQ142" s="71">
        <f t="shared" si="504"/>
        <v>0</v>
      </c>
      <c r="AR142" s="71">
        <f t="shared" si="504"/>
        <v>0</v>
      </c>
      <c r="AS142" s="71">
        <f t="shared" si="504"/>
        <v>14040037.852500001</v>
      </c>
      <c r="AU142" s="71">
        <f t="shared" ref="AU142:BB142" si="505">AU132+AU141</f>
        <v>387163.125</v>
      </c>
      <c r="AV142" s="71">
        <f t="shared" si="505"/>
        <v>178198.67499999999</v>
      </c>
      <c r="AW142" s="71">
        <f t="shared" si="505"/>
        <v>0</v>
      </c>
      <c r="AX142" s="71">
        <f t="shared" si="505"/>
        <v>0</v>
      </c>
      <c r="AY142" s="71">
        <f t="shared" si="505"/>
        <v>0</v>
      </c>
      <c r="AZ142" s="71">
        <f t="shared" si="505"/>
        <v>0</v>
      </c>
      <c r="BA142" s="71">
        <f t="shared" si="505"/>
        <v>0</v>
      </c>
      <c r="BB142" s="71">
        <f t="shared" si="505"/>
        <v>565361.80000000005</v>
      </c>
      <c r="BD142" s="71">
        <f t="shared" ref="BD142:BK142" si="506">BD132+BD141</f>
        <v>1317241.7650000001</v>
      </c>
      <c r="BE142" s="71">
        <f t="shared" si="506"/>
        <v>90638.875</v>
      </c>
      <c r="BF142" s="71">
        <f t="shared" si="506"/>
        <v>36363.675000000003</v>
      </c>
      <c r="BG142" s="71">
        <f t="shared" si="506"/>
        <v>0</v>
      </c>
      <c r="BH142" s="71">
        <f t="shared" si="506"/>
        <v>46193.002500000002</v>
      </c>
      <c r="BI142" s="71">
        <f t="shared" si="506"/>
        <v>0</v>
      </c>
      <c r="BJ142" s="71">
        <f t="shared" si="506"/>
        <v>0</v>
      </c>
      <c r="BK142" s="71">
        <f t="shared" si="506"/>
        <v>1490437.3174999999</v>
      </c>
      <c r="BM142" s="71">
        <f t="shared" ref="BM142:BT142" si="507">BM132+BM141</f>
        <v>380079.625</v>
      </c>
      <c r="BN142" s="71">
        <f t="shared" si="507"/>
        <v>0</v>
      </c>
      <c r="BO142" s="71">
        <f t="shared" si="507"/>
        <v>17140</v>
      </c>
      <c r="BP142" s="71">
        <f t="shared" si="507"/>
        <v>0</v>
      </c>
      <c r="BQ142" s="71">
        <f t="shared" si="507"/>
        <v>0</v>
      </c>
      <c r="BR142" s="71">
        <f t="shared" si="507"/>
        <v>0</v>
      </c>
      <c r="BS142" s="71">
        <f t="shared" si="507"/>
        <v>0</v>
      </c>
      <c r="BT142" s="71">
        <f t="shared" si="507"/>
        <v>397219.625</v>
      </c>
      <c r="BV142" s="71">
        <f t="shared" ref="BV142:CC142" si="508">BV132+BV141</f>
        <v>44254744.384000003</v>
      </c>
      <c r="BW142" s="71">
        <f t="shared" si="508"/>
        <v>6922521.8362500006</v>
      </c>
      <c r="BX142" s="71">
        <f t="shared" si="508"/>
        <v>746985.72499999998</v>
      </c>
      <c r="BY142" s="71">
        <f t="shared" si="508"/>
        <v>0</v>
      </c>
      <c r="BZ142" s="71">
        <f t="shared" si="508"/>
        <v>46193.002500000002</v>
      </c>
      <c r="CA142" s="71">
        <f t="shared" si="508"/>
        <v>0</v>
      </c>
      <c r="CB142" s="71">
        <f t="shared" si="508"/>
        <v>0</v>
      </c>
      <c r="CC142" s="71">
        <f t="shared" si="508"/>
        <v>51970444.947750002</v>
      </c>
    </row>
    <row r="143" spans="1:81" ht="15">
      <c r="A143" s="75" t="s">
        <v>125</v>
      </c>
      <c r="B143" s="18" t="str">
        <f t="shared" ref="B143:I143" si="509">B1</f>
        <v>Operating</v>
      </c>
      <c r="C143" s="18" t="str">
        <f t="shared" si="509"/>
        <v>SPED</v>
      </c>
      <c r="D143" s="18" t="str">
        <f t="shared" si="509"/>
        <v>NSLP</v>
      </c>
      <c r="E143" s="18" t="str">
        <f t="shared" si="509"/>
        <v>Other</v>
      </c>
      <c r="F143" s="18" t="str">
        <f t="shared" si="509"/>
        <v>Title I</v>
      </c>
      <c r="G143" s="18" t="str">
        <f t="shared" si="509"/>
        <v>SGF</v>
      </c>
      <c r="H143" s="18" t="str">
        <f t="shared" si="509"/>
        <v>Title III</v>
      </c>
      <c r="I143" s="18" t="str">
        <f t="shared" si="509"/>
        <v>Horizon</v>
      </c>
      <c r="J143" s="7"/>
      <c r="K143" s="18" t="str">
        <f t="shared" ref="K143:R143" si="510">K1</f>
        <v>Operating</v>
      </c>
      <c r="L143" s="18" t="str">
        <f t="shared" si="510"/>
        <v>SPED</v>
      </c>
      <c r="M143" s="18" t="str">
        <f t="shared" si="510"/>
        <v>NSLP</v>
      </c>
      <c r="N143" s="18" t="str">
        <f t="shared" si="510"/>
        <v>Other</v>
      </c>
      <c r="O143" s="18" t="str">
        <f t="shared" si="510"/>
        <v>Title I</v>
      </c>
      <c r="P143" s="18" t="str">
        <f t="shared" si="510"/>
        <v>SGF</v>
      </c>
      <c r="Q143" s="18" t="str">
        <f t="shared" si="510"/>
        <v>Title III</v>
      </c>
      <c r="R143" s="18" t="str">
        <f t="shared" si="510"/>
        <v>St. Rose</v>
      </c>
      <c r="T143" s="18" t="str">
        <f t="shared" ref="T143:AA143" si="511">T1</f>
        <v>Operating</v>
      </c>
      <c r="U143" s="18" t="str">
        <f t="shared" si="511"/>
        <v>SPED</v>
      </c>
      <c r="V143" s="18" t="str">
        <f t="shared" si="511"/>
        <v>NSLP</v>
      </c>
      <c r="W143" s="18" t="str">
        <f t="shared" si="511"/>
        <v>Other</v>
      </c>
      <c r="X143" s="18" t="str">
        <f t="shared" si="511"/>
        <v>Title I</v>
      </c>
      <c r="Y143" s="18" t="str">
        <f t="shared" si="511"/>
        <v>SGF</v>
      </c>
      <c r="Z143" s="18" t="str">
        <f t="shared" si="511"/>
        <v>Title III</v>
      </c>
      <c r="AA143" s="18" t="str">
        <f t="shared" si="511"/>
        <v>Inspirada</v>
      </c>
      <c r="AC143" s="18" t="str">
        <f t="shared" ref="AC143:AJ143" si="512">AC1</f>
        <v>Operating</v>
      </c>
      <c r="AD143" s="18" t="str">
        <f t="shared" si="512"/>
        <v>SPED</v>
      </c>
      <c r="AE143" s="18" t="str">
        <f t="shared" si="512"/>
        <v>NSLP</v>
      </c>
      <c r="AF143" s="18" t="str">
        <f t="shared" si="512"/>
        <v>Other</v>
      </c>
      <c r="AG143" s="18" t="str">
        <f t="shared" si="512"/>
        <v>Title I</v>
      </c>
      <c r="AH143" s="18" t="str">
        <f t="shared" si="512"/>
        <v>SGF</v>
      </c>
      <c r="AI143" s="18" t="str">
        <f t="shared" si="512"/>
        <v>Title III</v>
      </c>
      <c r="AJ143" s="18" t="str">
        <f t="shared" si="512"/>
        <v>Cadence</v>
      </c>
      <c r="AL143" s="18" t="str">
        <f t="shared" ref="AL143:AS143" si="513">AL1</f>
        <v>Operating</v>
      </c>
      <c r="AM143" s="18" t="str">
        <f t="shared" si="513"/>
        <v>SPED</v>
      </c>
      <c r="AN143" s="18" t="str">
        <f t="shared" si="513"/>
        <v>NSLP</v>
      </c>
      <c r="AO143" s="18" t="str">
        <f t="shared" si="513"/>
        <v>Other</v>
      </c>
      <c r="AP143" s="18" t="str">
        <f t="shared" si="513"/>
        <v>Title I</v>
      </c>
      <c r="AQ143" s="18" t="str">
        <f t="shared" si="513"/>
        <v>SGF</v>
      </c>
      <c r="AR143" s="18" t="str">
        <f t="shared" si="513"/>
        <v>Title III</v>
      </c>
      <c r="AS143" s="18" t="str">
        <f t="shared" si="513"/>
        <v>Sloan</v>
      </c>
      <c r="AU143" s="18" t="str">
        <f t="shared" ref="AU143:BB143" si="514">AU1</f>
        <v>Operating</v>
      </c>
      <c r="AV143" s="18" t="str">
        <f t="shared" si="514"/>
        <v>SPED</v>
      </c>
      <c r="AW143" s="18" t="str">
        <f t="shared" si="514"/>
        <v>NSLP</v>
      </c>
      <c r="AX143" s="18" t="str">
        <f t="shared" si="514"/>
        <v>Other</v>
      </c>
      <c r="AY143" s="18" t="str">
        <f t="shared" si="514"/>
        <v>Title I</v>
      </c>
      <c r="AZ143" s="18" t="str">
        <f t="shared" si="514"/>
        <v>SGF</v>
      </c>
      <c r="BA143" s="18" t="str">
        <f t="shared" si="514"/>
        <v>Title III</v>
      </c>
      <c r="BB143" s="18" t="str">
        <f t="shared" si="514"/>
        <v>Virtual</v>
      </c>
      <c r="BD143" s="18" t="str">
        <f t="shared" ref="BD143:BK143" si="515">BD1</f>
        <v>Operating</v>
      </c>
      <c r="BE143" s="18" t="str">
        <f t="shared" si="515"/>
        <v>SPED</v>
      </c>
      <c r="BF143" s="18" t="str">
        <f t="shared" si="515"/>
        <v>NSLP</v>
      </c>
      <c r="BG143" s="18" t="str">
        <f t="shared" si="515"/>
        <v>Other</v>
      </c>
      <c r="BH143" s="18" t="str">
        <f t="shared" si="515"/>
        <v>Title I</v>
      </c>
      <c r="BI143" s="18" t="str">
        <f t="shared" si="515"/>
        <v>SGF</v>
      </c>
      <c r="BJ143" s="18" t="str">
        <f t="shared" si="515"/>
        <v>Title III</v>
      </c>
      <c r="BK143" s="18" t="str">
        <f t="shared" si="515"/>
        <v>Springs</v>
      </c>
      <c r="BM143" s="18" t="str">
        <f t="shared" ref="BM143:BT143" si="516">BM1</f>
        <v>Operating</v>
      </c>
      <c r="BN143" s="18" t="str">
        <f t="shared" si="516"/>
        <v>SPED</v>
      </c>
      <c r="BO143" s="18" t="str">
        <f t="shared" si="516"/>
        <v>NSLP</v>
      </c>
      <c r="BP143" s="18" t="str">
        <f t="shared" si="516"/>
        <v>Other</v>
      </c>
      <c r="BQ143" s="18" t="str">
        <f t="shared" si="516"/>
        <v>Title I</v>
      </c>
      <c r="BR143" s="18" t="str">
        <f t="shared" si="516"/>
        <v>SGF</v>
      </c>
      <c r="BS143" s="18" t="str">
        <f t="shared" si="516"/>
        <v>Title III</v>
      </c>
      <c r="BT143" s="18" t="str">
        <f t="shared" si="516"/>
        <v>Exec. Office</v>
      </c>
      <c r="BV143" s="18" t="str">
        <f t="shared" ref="BV143:CC143" si="517">BV1</f>
        <v>Operating</v>
      </c>
      <c r="BW143" s="18" t="str">
        <f t="shared" si="517"/>
        <v>SPED</v>
      </c>
      <c r="BX143" s="18" t="str">
        <f t="shared" si="517"/>
        <v>NSLP</v>
      </c>
      <c r="BY143" s="18" t="str">
        <f t="shared" si="517"/>
        <v>Other</v>
      </c>
      <c r="BZ143" s="18" t="str">
        <f t="shared" si="517"/>
        <v>Title I</v>
      </c>
      <c r="CA143" s="18" t="str">
        <f t="shared" si="517"/>
        <v>SGF</v>
      </c>
      <c r="CB143" s="18" t="str">
        <f t="shared" si="517"/>
        <v>Title III</v>
      </c>
      <c r="CC143" s="18" t="str">
        <f t="shared" si="517"/>
        <v>Systemwide</v>
      </c>
    </row>
    <row r="144" spans="1:81">
      <c r="A144" s="76" t="s">
        <v>126</v>
      </c>
      <c r="B144" s="5">
        <f>(200*933)</f>
        <v>186600</v>
      </c>
      <c r="C144" s="11"/>
      <c r="D144" s="11"/>
      <c r="E144" s="11"/>
      <c r="F144" s="11"/>
      <c r="G144" s="11"/>
      <c r="H144" s="11"/>
      <c r="I144" s="5">
        <f t="shared" ref="I144:I153" si="518">SUM(B144:H144)</f>
        <v>186600</v>
      </c>
      <c r="K144" s="5">
        <f>206400-30000</f>
        <v>176400</v>
      </c>
      <c r="L144" s="11"/>
      <c r="M144" s="11"/>
      <c r="N144" s="11"/>
      <c r="O144" s="11"/>
      <c r="P144" s="11"/>
      <c r="Q144" s="11"/>
      <c r="R144" s="5">
        <f t="shared" ref="R144:R152" si="519">SUM(K144:Q144)</f>
        <v>176400</v>
      </c>
      <c r="T144" s="5">
        <f>(200*T17)-15000</f>
        <v>223000</v>
      </c>
      <c r="U144" s="11"/>
      <c r="V144" s="11"/>
      <c r="W144" s="11"/>
      <c r="X144" s="11"/>
      <c r="Y144" s="11"/>
      <c r="Z144" s="11"/>
      <c r="AA144" s="5">
        <f t="shared" ref="AA144:AA152" si="520">SUM(T144:Z144)</f>
        <v>223000</v>
      </c>
      <c r="AC144" s="5">
        <f>(200*AC17)</f>
        <v>448800</v>
      </c>
      <c r="AD144" s="11"/>
      <c r="AE144" s="11"/>
      <c r="AF144" s="11"/>
      <c r="AG144" s="11"/>
      <c r="AH144" s="11"/>
      <c r="AI144" s="11"/>
      <c r="AJ144" s="5">
        <f t="shared" ref="AJ144:AJ152" si="521">SUM(AC144:AI144)</f>
        <v>448800</v>
      </c>
      <c r="AL144" s="5">
        <f>(200*2274)</f>
        <v>454800</v>
      </c>
      <c r="AM144" s="11"/>
      <c r="AN144" s="11"/>
      <c r="AO144" s="11"/>
      <c r="AP144" s="11"/>
      <c r="AQ144" s="11"/>
      <c r="AR144" s="11"/>
      <c r="AS144" s="5">
        <f t="shared" ref="AS144:AS152" si="522">SUM(AL144:AR144)</f>
        <v>454800</v>
      </c>
      <c r="AU144" s="11">
        <f>400*120</f>
        <v>48000</v>
      </c>
      <c r="AV144" s="11"/>
      <c r="AW144" s="11"/>
      <c r="AX144" s="11"/>
      <c r="AY144" s="11"/>
      <c r="AZ144" s="11"/>
      <c r="BA144" s="11"/>
      <c r="BB144" s="5">
        <f t="shared" ref="BB144:BB152" si="523">SUM(AU144:BA144)</f>
        <v>48000</v>
      </c>
      <c r="BD144" s="5">
        <v>15000</v>
      </c>
      <c r="BE144" s="11"/>
      <c r="BF144" s="11"/>
      <c r="BG144" s="11"/>
      <c r="BH144" s="11"/>
      <c r="BI144" s="11"/>
      <c r="BJ144" s="11"/>
      <c r="BK144" s="5">
        <f t="shared" ref="BK144:BK152" si="524">SUM(BD144:BJ144)</f>
        <v>15000</v>
      </c>
      <c r="BM144" s="5">
        <f>(150*BM17)</f>
        <v>0</v>
      </c>
      <c r="BN144" s="11"/>
      <c r="BO144" s="11"/>
      <c r="BP144" s="11"/>
      <c r="BQ144" s="11"/>
      <c r="BR144" s="11"/>
      <c r="BS144" s="11"/>
      <c r="BT144" s="5">
        <f t="shared" ref="BT144:BT152" si="525">SUM(BM144:BS144)</f>
        <v>0</v>
      </c>
      <c r="BV144" s="5">
        <f t="shared" ref="BV144" si="526">B144+K144+T144+AC144+AL144+AU144+BD144+BM144</f>
        <v>1552600</v>
      </c>
      <c r="BW144" s="5">
        <f t="shared" ref="BW144" si="527">C144+L144+U144+AD144+AM144+AV144+BE144+BN144</f>
        <v>0</v>
      </c>
      <c r="BX144" s="5">
        <f t="shared" ref="BX144" si="528">D144+M144+V144+AE144+AN144+AW144+BF144+BO144</f>
        <v>0</v>
      </c>
      <c r="BY144" s="5">
        <f t="shared" ref="BY144" si="529">E144+N144+W144+AF144+AO144+AX144+BG144+BP144</f>
        <v>0</v>
      </c>
      <c r="BZ144" s="5">
        <f t="shared" ref="BZ144" si="530">F144+O144+X144+AG144+AP144+AY144+BH144+BQ144</f>
        <v>0</v>
      </c>
      <c r="CA144" s="5">
        <f t="shared" ref="CA144" si="531">G144+P144+Y144+AH144+AQ144+AZ144+BI144+BR144</f>
        <v>0</v>
      </c>
      <c r="CB144" s="11"/>
      <c r="CC144" s="5">
        <f t="shared" ref="CC144:CC152" si="532">SUM(BV144:CB144)</f>
        <v>1552600</v>
      </c>
    </row>
    <row r="145" spans="1:83">
      <c r="A145" s="77" t="s">
        <v>127</v>
      </c>
      <c r="B145" s="5">
        <v>0</v>
      </c>
      <c r="C145" s="11"/>
      <c r="D145" s="11"/>
      <c r="E145" s="11"/>
      <c r="F145" s="11"/>
      <c r="G145" s="11"/>
      <c r="H145" s="11"/>
      <c r="I145" s="5">
        <f t="shared" si="518"/>
        <v>0</v>
      </c>
      <c r="K145" s="5">
        <v>0</v>
      </c>
      <c r="L145" s="11"/>
      <c r="M145" s="11"/>
      <c r="N145" s="11"/>
      <c r="O145" s="11"/>
      <c r="P145" s="11"/>
      <c r="Q145" s="11"/>
      <c r="R145" s="5">
        <f t="shared" si="519"/>
        <v>0</v>
      </c>
      <c r="T145" s="5">
        <v>0</v>
      </c>
      <c r="U145" s="11"/>
      <c r="V145" s="11"/>
      <c r="W145" s="11"/>
      <c r="X145" s="11"/>
      <c r="Y145" s="11"/>
      <c r="Z145" s="11"/>
      <c r="AA145" s="5">
        <f t="shared" si="520"/>
        <v>0</v>
      </c>
      <c r="AC145" s="99">
        <f>175000+AC94</f>
        <v>175000</v>
      </c>
      <c r="AD145" s="11"/>
      <c r="AE145" s="11"/>
      <c r="AF145" s="11"/>
      <c r="AG145" s="11"/>
      <c r="AH145" s="11"/>
      <c r="AI145" s="11"/>
      <c r="AJ145" s="5">
        <f t="shared" si="521"/>
        <v>175000</v>
      </c>
      <c r="AL145" s="11">
        <v>185000</v>
      </c>
      <c r="AM145" s="11"/>
      <c r="AN145" s="11"/>
      <c r="AO145" s="11"/>
      <c r="AP145" s="11"/>
      <c r="AQ145" s="11"/>
      <c r="AR145" s="11"/>
      <c r="AS145" s="5">
        <f t="shared" si="522"/>
        <v>185000</v>
      </c>
      <c r="AU145" s="11">
        <f>3*400*8</f>
        <v>9600</v>
      </c>
      <c r="AV145" s="11"/>
      <c r="AW145" s="11"/>
      <c r="AX145" s="11"/>
      <c r="AY145" s="11"/>
      <c r="AZ145" s="11"/>
      <c r="BA145" s="11"/>
      <c r="BB145" s="5">
        <f t="shared" si="523"/>
        <v>9600</v>
      </c>
      <c r="BD145" s="5">
        <v>0</v>
      </c>
      <c r="BE145" s="11"/>
      <c r="BF145" s="11"/>
      <c r="BG145" s="11"/>
      <c r="BH145" s="11"/>
      <c r="BI145" s="11"/>
      <c r="BJ145" s="11"/>
      <c r="BK145" s="5">
        <f t="shared" si="524"/>
        <v>0</v>
      </c>
      <c r="BM145" s="5">
        <v>0</v>
      </c>
      <c r="BN145" s="11"/>
      <c r="BO145" s="11"/>
      <c r="BP145" s="11"/>
      <c r="BQ145" s="11"/>
      <c r="BR145" s="11"/>
      <c r="BS145" s="11"/>
      <c r="BT145" s="5">
        <f t="shared" si="525"/>
        <v>0</v>
      </c>
      <c r="BV145" s="5">
        <f t="shared" ref="BV145:BV153" si="533">B145+K145+T145+AC145+AL145+AU145+BD145+BM145</f>
        <v>369600</v>
      </c>
      <c r="BW145" s="5">
        <f t="shared" ref="BW145:BW153" si="534">C145+L145+U145+AD145+AM145+AV145+BE145+BN145</f>
        <v>0</v>
      </c>
      <c r="BX145" s="5">
        <f t="shared" ref="BX145:BX153" si="535">D145+M145+V145+AE145+AN145+AW145+BF145+BO145</f>
        <v>0</v>
      </c>
      <c r="BY145" s="5">
        <f t="shared" ref="BY145:BY153" si="536">E145+N145+W145+AF145+AO145+AX145+BG145+BP145</f>
        <v>0</v>
      </c>
      <c r="BZ145" s="5">
        <f t="shared" ref="BZ145:BZ153" si="537">F145+O145+X145+AG145+AP145+AY145+BH145+BQ145</f>
        <v>0</v>
      </c>
      <c r="CA145" s="5">
        <f t="shared" ref="CA145:CA153" si="538">G145+P145+Y145+AH145+AQ145+AZ145+BI145+BR145</f>
        <v>0</v>
      </c>
      <c r="CB145" s="11"/>
      <c r="CC145" s="5">
        <f t="shared" si="532"/>
        <v>369600</v>
      </c>
    </row>
    <row r="146" spans="1:83">
      <c r="A146" s="29" t="s">
        <v>128</v>
      </c>
      <c r="B146" s="11"/>
      <c r="C146" s="11"/>
      <c r="D146" s="11"/>
      <c r="E146" s="11">
        <v>0</v>
      </c>
      <c r="F146" s="11"/>
      <c r="G146" s="11"/>
      <c r="H146" s="11"/>
      <c r="I146" s="5">
        <f t="shared" si="518"/>
        <v>0</v>
      </c>
      <c r="K146" s="11"/>
      <c r="L146" s="11"/>
      <c r="M146" s="11"/>
      <c r="N146" s="11"/>
      <c r="O146" s="11"/>
      <c r="P146" s="11"/>
      <c r="Q146" s="11"/>
      <c r="R146" s="5">
        <f t="shared" si="519"/>
        <v>0</v>
      </c>
      <c r="T146" s="11">
        <v>0</v>
      </c>
      <c r="U146" s="11"/>
      <c r="V146" s="11"/>
      <c r="W146" s="11"/>
      <c r="X146" s="11"/>
      <c r="Y146" s="11"/>
      <c r="Z146" s="11"/>
      <c r="AA146" s="5">
        <f t="shared" si="520"/>
        <v>0</v>
      </c>
      <c r="AC146" s="11">
        <f>1300*125</f>
        <v>162500</v>
      </c>
      <c r="AD146" s="11"/>
      <c r="AE146" s="11"/>
      <c r="AF146" s="11"/>
      <c r="AG146" s="11"/>
      <c r="AH146" s="11"/>
      <c r="AI146" s="11"/>
      <c r="AJ146" s="5">
        <f t="shared" si="521"/>
        <v>162500</v>
      </c>
      <c r="AL146" s="11">
        <f>(1400*220)-100000</f>
        <v>208000</v>
      </c>
      <c r="AM146" s="11"/>
      <c r="AN146" s="11"/>
      <c r="AO146" s="11"/>
      <c r="AP146" s="11"/>
      <c r="AQ146" s="11"/>
      <c r="AR146" s="11"/>
      <c r="AS146" s="5">
        <f t="shared" si="522"/>
        <v>208000</v>
      </c>
      <c r="AU146" s="11">
        <v>0</v>
      </c>
      <c r="AV146" s="11"/>
      <c r="AW146" s="11"/>
      <c r="AX146" s="11">
        <v>0</v>
      </c>
      <c r="AY146" s="11"/>
      <c r="AZ146" s="11"/>
      <c r="BA146" s="11"/>
      <c r="BB146" s="5">
        <f t="shared" si="523"/>
        <v>0</v>
      </c>
      <c r="BD146" s="11">
        <v>0</v>
      </c>
      <c r="BE146" s="11"/>
      <c r="BF146" s="11"/>
      <c r="BG146" s="11">
        <v>425000</v>
      </c>
      <c r="BH146" s="11"/>
      <c r="BI146" s="11"/>
      <c r="BJ146" s="11"/>
      <c r="BK146" s="5">
        <f t="shared" si="524"/>
        <v>425000</v>
      </c>
      <c r="BM146" s="11">
        <f>20*BM17</f>
        <v>0</v>
      </c>
      <c r="BN146" s="11"/>
      <c r="BO146" s="11"/>
      <c r="BP146" s="11">
        <v>0</v>
      </c>
      <c r="BQ146" s="11"/>
      <c r="BR146" s="11"/>
      <c r="BS146" s="11"/>
      <c r="BT146" s="5">
        <f t="shared" si="525"/>
        <v>0</v>
      </c>
      <c r="BV146" s="5">
        <f t="shared" si="533"/>
        <v>370500</v>
      </c>
      <c r="BW146" s="5">
        <f t="shared" si="534"/>
        <v>0</v>
      </c>
      <c r="BX146" s="5">
        <f t="shared" si="535"/>
        <v>0</v>
      </c>
      <c r="BY146" s="5">
        <f t="shared" si="536"/>
        <v>425000</v>
      </c>
      <c r="BZ146" s="5">
        <f t="shared" si="537"/>
        <v>0</v>
      </c>
      <c r="CA146" s="5">
        <f t="shared" si="538"/>
        <v>0</v>
      </c>
      <c r="CB146" s="11"/>
      <c r="CC146" s="5">
        <f t="shared" si="532"/>
        <v>795500</v>
      </c>
    </row>
    <row r="147" spans="1:83">
      <c r="A147" s="29" t="s">
        <v>129</v>
      </c>
      <c r="B147" s="5">
        <f>25*B17</f>
        <v>22700</v>
      </c>
      <c r="C147" s="11"/>
      <c r="D147" s="11">
        <v>3500</v>
      </c>
      <c r="E147" s="11"/>
      <c r="F147" s="11"/>
      <c r="G147" s="11"/>
      <c r="H147" s="11"/>
      <c r="I147" s="5">
        <f t="shared" si="518"/>
        <v>26200</v>
      </c>
      <c r="K147" s="5">
        <f>25*K17</f>
        <v>25550</v>
      </c>
      <c r="L147" s="11"/>
      <c r="M147" s="11">
        <v>2500</v>
      </c>
      <c r="N147" s="11"/>
      <c r="O147" s="11"/>
      <c r="P147" s="11"/>
      <c r="Q147" s="11"/>
      <c r="R147" s="5">
        <f t="shared" si="519"/>
        <v>28050</v>
      </c>
      <c r="T147" s="5">
        <f>25*T17</f>
        <v>29750</v>
      </c>
      <c r="U147" s="11"/>
      <c r="V147" s="11"/>
      <c r="W147" s="11"/>
      <c r="X147" s="11"/>
      <c r="Y147" s="11"/>
      <c r="Z147" s="11"/>
      <c r="AA147" s="5">
        <f t="shared" si="520"/>
        <v>29750</v>
      </c>
      <c r="AC147" s="5">
        <f>25*AC17</f>
        <v>56100</v>
      </c>
      <c r="AD147" s="11"/>
      <c r="AE147" s="11">
        <v>3500</v>
      </c>
      <c r="AF147" s="11"/>
      <c r="AG147" s="11"/>
      <c r="AH147" s="11"/>
      <c r="AI147" s="11"/>
      <c r="AJ147" s="5">
        <f t="shared" si="521"/>
        <v>59600</v>
      </c>
      <c r="AL147" s="5">
        <f>25*AL17</f>
        <v>54750</v>
      </c>
      <c r="AM147" s="11"/>
      <c r="AN147" s="11">
        <v>3500</v>
      </c>
      <c r="AO147" s="11"/>
      <c r="AP147" s="11"/>
      <c r="AQ147" s="11"/>
      <c r="AR147" s="11"/>
      <c r="AS147" s="5">
        <f t="shared" si="522"/>
        <v>58250</v>
      </c>
      <c r="AU147" s="11">
        <f>25*AU17</f>
        <v>3000</v>
      </c>
      <c r="AV147" s="11"/>
      <c r="AW147" s="11">
        <v>3500</v>
      </c>
      <c r="AX147" s="11"/>
      <c r="AY147" s="11"/>
      <c r="AZ147" s="11"/>
      <c r="BA147" s="11"/>
      <c r="BB147" s="5">
        <f t="shared" si="523"/>
        <v>6500</v>
      </c>
      <c r="BD147" s="5">
        <f>25*BD17</f>
        <v>4600</v>
      </c>
      <c r="BE147" s="11"/>
      <c r="BF147" s="11">
        <v>2500</v>
      </c>
      <c r="BG147" s="11"/>
      <c r="BH147" s="11"/>
      <c r="BI147" s="11"/>
      <c r="BJ147" s="11"/>
      <c r="BK147" s="5">
        <f t="shared" si="524"/>
        <v>7100</v>
      </c>
      <c r="BM147" s="5">
        <f>25*BM17</f>
        <v>0</v>
      </c>
      <c r="BN147" s="11"/>
      <c r="BO147" s="11">
        <v>0</v>
      </c>
      <c r="BP147" s="11"/>
      <c r="BQ147" s="11"/>
      <c r="BR147" s="11"/>
      <c r="BS147" s="11"/>
      <c r="BT147" s="5">
        <f t="shared" si="525"/>
        <v>0</v>
      </c>
      <c r="BV147" s="5">
        <f t="shared" si="533"/>
        <v>196450</v>
      </c>
      <c r="BW147" s="5">
        <f t="shared" si="534"/>
        <v>0</v>
      </c>
      <c r="BX147" s="5">
        <f t="shared" si="535"/>
        <v>19000</v>
      </c>
      <c r="BY147" s="5">
        <f t="shared" si="536"/>
        <v>0</v>
      </c>
      <c r="BZ147" s="5">
        <f t="shared" si="537"/>
        <v>0</v>
      </c>
      <c r="CA147" s="5">
        <f t="shared" si="538"/>
        <v>0</v>
      </c>
      <c r="CB147" s="11"/>
      <c r="CC147" s="5">
        <f t="shared" si="532"/>
        <v>215450</v>
      </c>
    </row>
    <row r="148" spans="1:83">
      <c r="A148" s="29" t="s">
        <v>130</v>
      </c>
      <c r="B148" s="5">
        <f>40*B17</f>
        <v>36320</v>
      </c>
      <c r="C148" s="11"/>
      <c r="D148" s="11"/>
      <c r="E148" s="11"/>
      <c r="F148" s="11"/>
      <c r="G148" s="11"/>
      <c r="H148" s="11"/>
      <c r="I148" s="5">
        <f t="shared" si="518"/>
        <v>36320</v>
      </c>
      <c r="K148" s="5">
        <f>40*K17</f>
        <v>40880</v>
      </c>
      <c r="L148" s="11"/>
      <c r="M148" s="11"/>
      <c r="N148" s="11"/>
      <c r="O148" s="11"/>
      <c r="P148" s="11"/>
      <c r="Q148" s="11"/>
      <c r="R148" s="5">
        <f t="shared" si="519"/>
        <v>40880</v>
      </c>
      <c r="T148" s="5">
        <f>40*T17</f>
        <v>47600</v>
      </c>
      <c r="U148" s="11"/>
      <c r="V148" s="11"/>
      <c r="W148" s="11"/>
      <c r="X148" s="11"/>
      <c r="Y148" s="11"/>
      <c r="Z148" s="11"/>
      <c r="AA148" s="5">
        <f t="shared" si="520"/>
        <v>47600</v>
      </c>
      <c r="AC148" s="5">
        <f>40*AC17</f>
        <v>89760</v>
      </c>
      <c r="AD148" s="11"/>
      <c r="AE148" s="11"/>
      <c r="AF148" s="11"/>
      <c r="AG148" s="11"/>
      <c r="AH148" s="11"/>
      <c r="AI148" s="11"/>
      <c r="AJ148" s="5">
        <f t="shared" si="521"/>
        <v>89760</v>
      </c>
      <c r="AL148" s="5">
        <f>40*AL17</f>
        <v>87600</v>
      </c>
      <c r="AM148" s="11"/>
      <c r="AN148" s="11"/>
      <c r="AO148" s="11"/>
      <c r="AP148" s="11"/>
      <c r="AQ148" s="11"/>
      <c r="AR148" s="11"/>
      <c r="AS148" s="5">
        <f t="shared" si="522"/>
        <v>87600</v>
      </c>
      <c r="AU148" s="5">
        <f>20*AU17</f>
        <v>2400</v>
      </c>
      <c r="AV148" s="11"/>
      <c r="AW148" s="11"/>
      <c r="AX148" s="11"/>
      <c r="AY148" s="11"/>
      <c r="AZ148" s="11"/>
      <c r="BA148" s="11"/>
      <c r="BB148" s="5">
        <f t="shared" si="523"/>
        <v>2400</v>
      </c>
      <c r="BD148" s="5">
        <f>40*BD17</f>
        <v>7360</v>
      </c>
      <c r="BE148" s="11"/>
      <c r="BF148" s="11"/>
      <c r="BG148" s="11"/>
      <c r="BH148" s="11">
        <v>0</v>
      </c>
      <c r="BI148" s="11"/>
      <c r="BJ148" s="11"/>
      <c r="BK148" s="5">
        <f t="shared" si="524"/>
        <v>7360</v>
      </c>
      <c r="BM148" s="5">
        <f>40*BM17</f>
        <v>0</v>
      </c>
      <c r="BN148" s="11"/>
      <c r="BO148" s="11"/>
      <c r="BP148" s="11"/>
      <c r="BQ148" s="11"/>
      <c r="BR148" s="11"/>
      <c r="BS148" s="11"/>
      <c r="BT148" s="5">
        <f t="shared" si="525"/>
        <v>0</v>
      </c>
      <c r="BV148" s="5">
        <f t="shared" si="533"/>
        <v>311920</v>
      </c>
      <c r="BW148" s="5">
        <f t="shared" si="534"/>
        <v>0</v>
      </c>
      <c r="BX148" s="5">
        <f t="shared" si="535"/>
        <v>0</v>
      </c>
      <c r="BY148" s="5">
        <f t="shared" si="536"/>
        <v>0</v>
      </c>
      <c r="BZ148" s="5">
        <f t="shared" si="537"/>
        <v>0</v>
      </c>
      <c r="CA148" s="5">
        <f t="shared" si="538"/>
        <v>0</v>
      </c>
      <c r="CB148" s="11"/>
      <c r="CC148" s="5">
        <f t="shared" si="532"/>
        <v>311920</v>
      </c>
    </row>
    <row r="149" spans="1:83">
      <c r="A149" s="29" t="s">
        <v>131</v>
      </c>
      <c r="B149" s="5">
        <f>15*B17</f>
        <v>13620</v>
      </c>
      <c r="C149" s="11"/>
      <c r="D149" s="11"/>
      <c r="E149" s="11"/>
      <c r="F149" s="11"/>
      <c r="G149" s="11"/>
      <c r="H149" s="11"/>
      <c r="I149" s="5">
        <f t="shared" si="518"/>
        <v>13620</v>
      </c>
      <c r="K149" s="5">
        <f>15*K17</f>
        <v>15330</v>
      </c>
      <c r="L149" s="11"/>
      <c r="M149" s="11"/>
      <c r="N149" s="11"/>
      <c r="O149" s="11"/>
      <c r="P149" s="11"/>
      <c r="Q149" s="11"/>
      <c r="R149" s="5">
        <f t="shared" si="519"/>
        <v>15330</v>
      </c>
      <c r="T149" s="5">
        <f>15*T17</f>
        <v>17850</v>
      </c>
      <c r="U149" s="11"/>
      <c r="V149" s="11"/>
      <c r="W149" s="11"/>
      <c r="X149" s="11"/>
      <c r="Y149" s="11"/>
      <c r="Z149" s="11"/>
      <c r="AA149" s="5">
        <f t="shared" si="520"/>
        <v>17850</v>
      </c>
      <c r="AC149" s="5">
        <f>15*AC17</f>
        <v>33660</v>
      </c>
      <c r="AD149" s="11"/>
      <c r="AE149" s="11"/>
      <c r="AF149" s="11"/>
      <c r="AG149" s="11"/>
      <c r="AH149" s="11"/>
      <c r="AI149" s="11"/>
      <c r="AJ149" s="5">
        <f t="shared" si="521"/>
        <v>33660</v>
      </c>
      <c r="AL149" s="5">
        <f>15*AL17</f>
        <v>32850</v>
      </c>
      <c r="AM149" s="11"/>
      <c r="AN149" s="11"/>
      <c r="AO149" s="11"/>
      <c r="AP149" s="11"/>
      <c r="AQ149" s="11"/>
      <c r="AR149" s="11"/>
      <c r="AS149" s="5">
        <f t="shared" si="522"/>
        <v>32850</v>
      </c>
      <c r="AU149" s="5">
        <f>15*AU17</f>
        <v>1800</v>
      </c>
      <c r="AV149" s="11"/>
      <c r="AW149" s="11"/>
      <c r="AX149" s="11"/>
      <c r="AY149" s="11"/>
      <c r="AZ149" s="11"/>
      <c r="BA149" s="11"/>
      <c r="BB149" s="5">
        <f t="shared" si="523"/>
        <v>1800</v>
      </c>
      <c r="BD149" s="5">
        <f>15*BD17</f>
        <v>2760</v>
      </c>
      <c r="BE149" s="11"/>
      <c r="BF149" s="11"/>
      <c r="BG149" s="11"/>
      <c r="BH149" s="11"/>
      <c r="BI149" s="11"/>
      <c r="BJ149" s="11"/>
      <c r="BK149" s="5">
        <f t="shared" si="524"/>
        <v>2760</v>
      </c>
      <c r="BM149" s="5">
        <f>15*BM17</f>
        <v>0</v>
      </c>
      <c r="BN149" s="11"/>
      <c r="BO149" s="11"/>
      <c r="BP149" s="11"/>
      <c r="BQ149" s="11"/>
      <c r="BR149" s="11"/>
      <c r="BS149" s="11"/>
      <c r="BT149" s="5">
        <f t="shared" si="525"/>
        <v>0</v>
      </c>
      <c r="BV149" s="5">
        <f t="shared" si="533"/>
        <v>117870</v>
      </c>
      <c r="BW149" s="5">
        <f t="shared" si="534"/>
        <v>0</v>
      </c>
      <c r="BX149" s="5">
        <f t="shared" si="535"/>
        <v>0</v>
      </c>
      <c r="BY149" s="5">
        <f t="shared" si="536"/>
        <v>0</v>
      </c>
      <c r="BZ149" s="5">
        <f t="shared" si="537"/>
        <v>0</v>
      </c>
      <c r="CA149" s="5">
        <f t="shared" si="538"/>
        <v>0</v>
      </c>
      <c r="CB149" s="11"/>
      <c r="CC149" s="5">
        <f t="shared" si="532"/>
        <v>117870</v>
      </c>
    </row>
    <row r="150" spans="1:83">
      <c r="A150" s="29" t="s">
        <v>132</v>
      </c>
      <c r="B150" s="5">
        <f>8*B17</f>
        <v>7264</v>
      </c>
      <c r="C150" s="11"/>
      <c r="D150" s="11"/>
      <c r="E150" s="11"/>
      <c r="F150" s="11"/>
      <c r="G150" s="11"/>
      <c r="H150" s="11"/>
      <c r="I150" s="5">
        <f t="shared" si="518"/>
        <v>7264</v>
      </c>
      <c r="K150" s="5">
        <f>8*K17</f>
        <v>8176</v>
      </c>
      <c r="L150" s="11"/>
      <c r="M150" s="11"/>
      <c r="N150" s="11"/>
      <c r="O150" s="11"/>
      <c r="P150" s="11"/>
      <c r="Q150" s="11"/>
      <c r="R150" s="5">
        <f t="shared" si="519"/>
        <v>8176</v>
      </c>
      <c r="T150" s="5">
        <f>8*T17</f>
        <v>9520</v>
      </c>
      <c r="U150" s="11"/>
      <c r="V150" s="11"/>
      <c r="W150" s="11"/>
      <c r="X150" s="11"/>
      <c r="Y150" s="11"/>
      <c r="Z150" s="11"/>
      <c r="AA150" s="5">
        <f t="shared" si="520"/>
        <v>9520</v>
      </c>
      <c r="AC150" s="5">
        <f>8*AC17</f>
        <v>17952</v>
      </c>
      <c r="AD150" s="11"/>
      <c r="AE150" s="11"/>
      <c r="AF150" s="11"/>
      <c r="AG150" s="11"/>
      <c r="AH150" s="11"/>
      <c r="AI150" s="11"/>
      <c r="AJ150" s="5">
        <f t="shared" si="521"/>
        <v>17952</v>
      </c>
      <c r="AL150" s="5">
        <f>8*AL17</f>
        <v>17520</v>
      </c>
      <c r="AM150" s="11"/>
      <c r="AN150" s="11"/>
      <c r="AO150" s="11"/>
      <c r="AP150" s="11"/>
      <c r="AQ150" s="11"/>
      <c r="AR150" s="11"/>
      <c r="AS150" s="5">
        <f t="shared" si="522"/>
        <v>17520</v>
      </c>
      <c r="AU150" s="5">
        <v>0</v>
      </c>
      <c r="AV150" s="11"/>
      <c r="AW150" s="11"/>
      <c r="AX150" s="11"/>
      <c r="AY150" s="11"/>
      <c r="AZ150" s="11"/>
      <c r="BA150" s="11"/>
      <c r="BB150" s="5">
        <f t="shared" si="523"/>
        <v>0</v>
      </c>
      <c r="BD150" s="5">
        <f>8*BD17</f>
        <v>1472</v>
      </c>
      <c r="BE150" s="11"/>
      <c r="BF150" s="11"/>
      <c r="BG150" s="11"/>
      <c r="BH150" s="11"/>
      <c r="BI150" s="11"/>
      <c r="BJ150" s="11"/>
      <c r="BK150" s="5">
        <f t="shared" si="524"/>
        <v>1472</v>
      </c>
      <c r="BM150" s="5">
        <f>8*BM17</f>
        <v>0</v>
      </c>
      <c r="BN150" s="11"/>
      <c r="BO150" s="11"/>
      <c r="BP150" s="11"/>
      <c r="BQ150" s="11"/>
      <c r="BR150" s="11"/>
      <c r="BS150" s="11"/>
      <c r="BT150" s="5">
        <f t="shared" si="525"/>
        <v>0</v>
      </c>
      <c r="BV150" s="5">
        <f t="shared" si="533"/>
        <v>61904</v>
      </c>
      <c r="BW150" s="5">
        <f t="shared" si="534"/>
        <v>0</v>
      </c>
      <c r="BX150" s="5">
        <f t="shared" si="535"/>
        <v>0</v>
      </c>
      <c r="BY150" s="5">
        <f t="shared" si="536"/>
        <v>0</v>
      </c>
      <c r="BZ150" s="5">
        <f t="shared" si="537"/>
        <v>0</v>
      </c>
      <c r="CA150" s="5">
        <f t="shared" si="538"/>
        <v>0</v>
      </c>
      <c r="CB150" s="11"/>
      <c r="CC150" s="5">
        <f t="shared" si="532"/>
        <v>61904</v>
      </c>
    </row>
    <row r="151" spans="1:83">
      <c r="A151" s="29" t="s">
        <v>133</v>
      </c>
      <c r="B151" s="5">
        <f>129*B20</f>
        <v>0</v>
      </c>
      <c r="C151" s="11">
        <f>150*(C20)</f>
        <v>15300</v>
      </c>
      <c r="D151" s="11"/>
      <c r="E151" s="11"/>
      <c r="F151" s="11"/>
      <c r="G151" s="11"/>
      <c r="H151" s="11"/>
      <c r="I151" s="5">
        <f t="shared" si="518"/>
        <v>15300</v>
      </c>
      <c r="K151" s="5">
        <f>129*K20</f>
        <v>0</v>
      </c>
      <c r="L151" s="11">
        <f>150*(L20)</f>
        <v>12450</v>
      </c>
      <c r="M151" s="11"/>
      <c r="N151" s="11"/>
      <c r="O151" s="11"/>
      <c r="P151" s="11"/>
      <c r="Q151" s="11"/>
      <c r="R151" s="5">
        <f t="shared" si="519"/>
        <v>12450</v>
      </c>
      <c r="T151" s="5">
        <f>129*T20</f>
        <v>0</v>
      </c>
      <c r="U151" s="11">
        <f>150*(U20)</f>
        <v>16500</v>
      </c>
      <c r="V151" s="11"/>
      <c r="W151" s="11"/>
      <c r="X151" s="11"/>
      <c r="Y151" s="11"/>
      <c r="Z151" s="11"/>
      <c r="AA151" s="5">
        <f t="shared" si="520"/>
        <v>16500</v>
      </c>
      <c r="AC151" s="5">
        <f>129*AC20</f>
        <v>0</v>
      </c>
      <c r="AD151" s="11">
        <f>150*(AD20)</f>
        <v>43650</v>
      </c>
      <c r="AE151" s="11"/>
      <c r="AF151" s="11"/>
      <c r="AG151" s="11"/>
      <c r="AH151" s="11"/>
      <c r="AI151" s="11"/>
      <c r="AJ151" s="5">
        <f t="shared" si="521"/>
        <v>43650</v>
      </c>
      <c r="AL151" s="5">
        <f>129*AL20</f>
        <v>0</v>
      </c>
      <c r="AM151" s="11">
        <f>150*(AM20)</f>
        <v>31650</v>
      </c>
      <c r="AN151" s="11"/>
      <c r="AO151" s="11"/>
      <c r="AP151" s="11"/>
      <c r="AQ151" s="11"/>
      <c r="AR151" s="11"/>
      <c r="AS151" s="5">
        <f t="shared" si="522"/>
        <v>31650</v>
      </c>
      <c r="AU151" s="5"/>
      <c r="AV151" s="11">
        <f>150*(AV20)</f>
        <v>1500</v>
      </c>
      <c r="AW151" s="11"/>
      <c r="AX151" s="11"/>
      <c r="AY151" s="11"/>
      <c r="AZ151" s="11"/>
      <c r="BA151" s="11"/>
      <c r="BB151" s="5">
        <f t="shared" si="523"/>
        <v>1500</v>
      </c>
      <c r="BD151" s="5">
        <f>129*BD20</f>
        <v>0</v>
      </c>
      <c r="BE151" s="11">
        <f>150*(BE20)</f>
        <v>2250</v>
      </c>
      <c r="BF151" s="11"/>
      <c r="BG151" s="11"/>
      <c r="BH151" s="11"/>
      <c r="BI151" s="11"/>
      <c r="BJ151" s="11"/>
      <c r="BK151" s="5">
        <f t="shared" si="524"/>
        <v>2250</v>
      </c>
      <c r="BM151" s="5">
        <f>129*BM20</f>
        <v>0</v>
      </c>
      <c r="BN151" s="11">
        <f>150*(BN20)</f>
        <v>0</v>
      </c>
      <c r="BO151" s="11"/>
      <c r="BP151" s="11"/>
      <c r="BQ151" s="11"/>
      <c r="BR151" s="11"/>
      <c r="BS151" s="11"/>
      <c r="BT151" s="5">
        <f t="shared" si="525"/>
        <v>0</v>
      </c>
      <c r="BV151" s="5">
        <f t="shared" si="533"/>
        <v>0</v>
      </c>
      <c r="BW151" s="5">
        <f t="shared" si="534"/>
        <v>123300</v>
      </c>
      <c r="BX151" s="5">
        <f t="shared" si="535"/>
        <v>0</v>
      </c>
      <c r="BY151" s="5">
        <f t="shared" si="536"/>
        <v>0</v>
      </c>
      <c r="BZ151" s="5">
        <f t="shared" si="537"/>
        <v>0</v>
      </c>
      <c r="CA151" s="5">
        <f t="shared" si="538"/>
        <v>0</v>
      </c>
      <c r="CB151" s="11"/>
      <c r="CC151" s="5">
        <f t="shared" si="532"/>
        <v>123300</v>
      </c>
    </row>
    <row r="152" spans="1:83">
      <c r="A152" s="29" t="s">
        <v>134</v>
      </c>
      <c r="B152" s="5">
        <v>0</v>
      </c>
      <c r="C152" s="5"/>
      <c r="D152" s="5"/>
      <c r="E152" s="5"/>
      <c r="F152" s="5"/>
      <c r="G152" s="5"/>
      <c r="H152" s="5"/>
      <c r="I152" s="5">
        <f t="shared" si="518"/>
        <v>0</v>
      </c>
      <c r="K152" s="5">
        <v>0</v>
      </c>
      <c r="L152" s="5"/>
      <c r="M152" s="5"/>
      <c r="N152" s="5"/>
      <c r="O152" s="5"/>
      <c r="P152" s="5"/>
      <c r="Q152" s="5"/>
      <c r="R152" s="5">
        <f t="shared" si="519"/>
        <v>0</v>
      </c>
      <c r="T152" s="5">
        <v>0</v>
      </c>
      <c r="U152" s="5"/>
      <c r="V152" s="5"/>
      <c r="W152" s="5"/>
      <c r="X152" s="5"/>
      <c r="Y152" s="5"/>
      <c r="Z152" s="5"/>
      <c r="AA152" s="5">
        <f t="shared" si="520"/>
        <v>0</v>
      </c>
      <c r="AC152" s="5">
        <v>100000</v>
      </c>
      <c r="AD152" s="5"/>
      <c r="AE152" s="5"/>
      <c r="AF152" s="5"/>
      <c r="AG152" s="5"/>
      <c r="AH152" s="5"/>
      <c r="AI152" s="5"/>
      <c r="AJ152" s="5">
        <f t="shared" si="521"/>
        <v>100000</v>
      </c>
      <c r="AL152" s="5">
        <v>100000</v>
      </c>
      <c r="AM152" s="5"/>
      <c r="AN152" s="5"/>
      <c r="AO152" s="5"/>
      <c r="AP152" s="5"/>
      <c r="AQ152" s="5"/>
      <c r="AR152" s="5"/>
      <c r="AS152" s="5">
        <f t="shared" si="522"/>
        <v>100000</v>
      </c>
      <c r="AU152" s="5">
        <v>0</v>
      </c>
      <c r="AV152" s="5"/>
      <c r="AW152" s="5"/>
      <c r="AX152" s="5"/>
      <c r="AY152" s="5"/>
      <c r="AZ152" s="5"/>
      <c r="BA152" s="5"/>
      <c r="BB152" s="5">
        <f t="shared" si="523"/>
        <v>0</v>
      </c>
      <c r="BD152" s="5">
        <v>0</v>
      </c>
      <c r="BE152" s="5"/>
      <c r="BF152" s="5"/>
      <c r="BG152" s="5"/>
      <c r="BH152" s="5"/>
      <c r="BI152" s="5"/>
      <c r="BJ152" s="5"/>
      <c r="BK152" s="5">
        <f t="shared" si="524"/>
        <v>0</v>
      </c>
      <c r="BM152" s="5">
        <v>0</v>
      </c>
      <c r="BN152" s="5"/>
      <c r="BO152" s="5"/>
      <c r="BP152" s="5"/>
      <c r="BQ152" s="5"/>
      <c r="BR152" s="5"/>
      <c r="BS152" s="5"/>
      <c r="BT152" s="5">
        <f t="shared" si="525"/>
        <v>0</v>
      </c>
      <c r="BV152" s="5">
        <f t="shared" si="533"/>
        <v>200000</v>
      </c>
      <c r="BW152" s="5">
        <f t="shared" si="534"/>
        <v>0</v>
      </c>
      <c r="BX152" s="5">
        <f t="shared" si="535"/>
        <v>0</v>
      </c>
      <c r="BY152" s="5">
        <f t="shared" si="536"/>
        <v>0</v>
      </c>
      <c r="BZ152" s="5">
        <f t="shared" si="537"/>
        <v>0</v>
      </c>
      <c r="CA152" s="5">
        <f t="shared" si="538"/>
        <v>0</v>
      </c>
      <c r="CB152" s="5"/>
      <c r="CC152" s="5">
        <f t="shared" si="532"/>
        <v>200000</v>
      </c>
    </row>
    <row r="153" spans="1:83">
      <c r="A153" s="78" t="s">
        <v>135</v>
      </c>
      <c r="B153" s="79">
        <f>42*B17</f>
        <v>38136</v>
      </c>
      <c r="C153" s="5"/>
      <c r="D153" s="5"/>
      <c r="E153" s="5"/>
      <c r="F153" s="5"/>
      <c r="G153" s="5"/>
      <c r="H153" s="5"/>
      <c r="I153" s="5">
        <f t="shared" si="518"/>
        <v>38136</v>
      </c>
      <c r="K153" s="79">
        <f>42*K17</f>
        <v>42924</v>
      </c>
      <c r="L153" s="5"/>
      <c r="M153" s="5"/>
      <c r="N153" s="5"/>
      <c r="O153" s="5"/>
      <c r="P153" s="5"/>
      <c r="Q153" s="5"/>
      <c r="R153" s="5">
        <f>SUM(K153:Q153)</f>
        <v>42924</v>
      </c>
      <c r="T153" s="79">
        <f>42*T17</f>
        <v>49980</v>
      </c>
      <c r="U153" s="5"/>
      <c r="V153" s="5"/>
      <c r="W153" s="5"/>
      <c r="X153" s="5"/>
      <c r="Y153" s="5"/>
      <c r="Z153" s="5"/>
      <c r="AA153" s="5">
        <f>SUM(T153:Z153)</f>
        <v>49980</v>
      </c>
      <c r="AC153" s="79">
        <f>42*AC17</f>
        <v>94248</v>
      </c>
      <c r="AD153" s="5"/>
      <c r="AE153" s="5"/>
      <c r="AF153" s="5"/>
      <c r="AG153" s="5"/>
      <c r="AH153" s="5"/>
      <c r="AI153" s="5"/>
      <c r="AJ153" s="5">
        <f>SUM(AC153:AI153)</f>
        <v>94248</v>
      </c>
      <c r="AL153" s="79">
        <f>42*AL17</f>
        <v>91980</v>
      </c>
      <c r="AM153" s="5"/>
      <c r="AN153" s="5"/>
      <c r="AO153" s="5"/>
      <c r="AP153" s="5"/>
      <c r="AQ153" s="5"/>
      <c r="AR153" s="5"/>
      <c r="AS153" s="5">
        <f>SUM(AL153:AR153)</f>
        <v>91980</v>
      </c>
      <c r="AU153" s="79">
        <v>0</v>
      </c>
      <c r="AV153" s="5"/>
      <c r="AW153" s="5"/>
      <c r="AX153" s="5"/>
      <c r="AY153" s="5"/>
      <c r="AZ153" s="5"/>
      <c r="BA153" s="5"/>
      <c r="BB153" s="5">
        <f>SUM(AU153:BA153)</f>
        <v>0</v>
      </c>
      <c r="BD153" s="79">
        <f>42*BD17</f>
        <v>7728</v>
      </c>
      <c r="BE153" s="5"/>
      <c r="BF153" s="5"/>
      <c r="BG153" s="5"/>
      <c r="BH153" s="5"/>
      <c r="BI153" s="5"/>
      <c r="BJ153" s="5"/>
      <c r="BK153" s="5">
        <f>SUM(BD153:BJ153)</f>
        <v>7728</v>
      </c>
      <c r="BM153" s="79">
        <f>45*BM17</f>
        <v>0</v>
      </c>
      <c r="BN153" s="5"/>
      <c r="BO153" s="5"/>
      <c r="BP153" s="5"/>
      <c r="BQ153" s="5"/>
      <c r="BR153" s="5"/>
      <c r="BS153" s="5"/>
      <c r="BT153" s="5">
        <f>SUM(BM153:BS153)</f>
        <v>0</v>
      </c>
      <c r="BV153" s="5">
        <f t="shared" si="533"/>
        <v>324996</v>
      </c>
      <c r="BW153" s="5">
        <f t="shared" si="534"/>
        <v>0</v>
      </c>
      <c r="BX153" s="5">
        <f t="shared" si="535"/>
        <v>0</v>
      </c>
      <c r="BY153" s="5">
        <f t="shared" si="536"/>
        <v>0</v>
      </c>
      <c r="BZ153" s="5">
        <f t="shared" si="537"/>
        <v>0</v>
      </c>
      <c r="CA153" s="5">
        <f t="shared" si="538"/>
        <v>0</v>
      </c>
      <c r="CB153" s="5"/>
      <c r="CC153" s="5">
        <f>SUM(BV153:CB153)</f>
        <v>324996</v>
      </c>
    </row>
    <row r="154" spans="1:83" ht="15">
      <c r="A154" s="70" t="s">
        <v>136</v>
      </c>
      <c r="B154" s="71">
        <f>SUM(B144:B153)</f>
        <v>304640</v>
      </c>
      <c r="C154" s="71">
        <f t="shared" ref="C154:I154" si="539">SUM(C144:C153)</f>
        <v>15300</v>
      </c>
      <c r="D154" s="71">
        <f t="shared" si="539"/>
        <v>3500</v>
      </c>
      <c r="E154" s="71">
        <f t="shared" si="539"/>
        <v>0</v>
      </c>
      <c r="F154" s="71">
        <f t="shared" si="539"/>
        <v>0</v>
      </c>
      <c r="G154" s="71">
        <f t="shared" si="539"/>
        <v>0</v>
      </c>
      <c r="H154" s="71">
        <f t="shared" si="539"/>
        <v>0</v>
      </c>
      <c r="I154" s="71">
        <f t="shared" si="539"/>
        <v>323440</v>
      </c>
      <c r="J154" s="7"/>
      <c r="K154" s="71">
        <f>SUM(K144:K153)</f>
        <v>309260</v>
      </c>
      <c r="L154" s="71">
        <f t="shared" ref="L154:R154" si="540">SUM(L144:L153)</f>
        <v>12450</v>
      </c>
      <c r="M154" s="71">
        <f t="shared" si="540"/>
        <v>2500</v>
      </c>
      <c r="N154" s="71"/>
      <c r="O154" s="71">
        <f t="shared" si="540"/>
        <v>0</v>
      </c>
      <c r="P154" s="71">
        <f t="shared" si="540"/>
        <v>0</v>
      </c>
      <c r="Q154" s="71">
        <f t="shared" si="540"/>
        <v>0</v>
      </c>
      <c r="R154" s="71">
        <f t="shared" si="540"/>
        <v>324210</v>
      </c>
      <c r="T154" s="71">
        <f>SUM(T144:T153)</f>
        <v>377700</v>
      </c>
      <c r="U154" s="71">
        <f t="shared" ref="U154:AA154" si="541">SUM(U144:U153)</f>
        <v>16500</v>
      </c>
      <c r="V154" s="71">
        <f t="shared" si="541"/>
        <v>0</v>
      </c>
      <c r="W154" s="71"/>
      <c r="X154" s="71">
        <f t="shared" si="541"/>
        <v>0</v>
      </c>
      <c r="Y154" s="71">
        <f t="shared" si="541"/>
        <v>0</v>
      </c>
      <c r="Z154" s="71">
        <f t="shared" si="541"/>
        <v>0</v>
      </c>
      <c r="AA154" s="71">
        <f t="shared" si="541"/>
        <v>394200</v>
      </c>
      <c r="AC154" s="71">
        <f>SUM(AC144:AC153)</f>
        <v>1178020</v>
      </c>
      <c r="AD154" s="71">
        <f t="shared" ref="AD154:AJ154" si="542">SUM(AD144:AD153)</f>
        <v>43650</v>
      </c>
      <c r="AE154" s="71">
        <f t="shared" si="542"/>
        <v>3500</v>
      </c>
      <c r="AF154" s="71">
        <f t="shared" si="542"/>
        <v>0</v>
      </c>
      <c r="AG154" s="71">
        <f t="shared" si="542"/>
        <v>0</v>
      </c>
      <c r="AH154" s="71">
        <f t="shared" si="542"/>
        <v>0</v>
      </c>
      <c r="AI154" s="71">
        <f t="shared" si="542"/>
        <v>0</v>
      </c>
      <c r="AJ154" s="71">
        <f t="shared" si="542"/>
        <v>1225170</v>
      </c>
      <c r="AL154" s="71">
        <f>SUM(AL144:AL153)</f>
        <v>1232500</v>
      </c>
      <c r="AM154" s="71">
        <f t="shared" ref="AM154:AS154" si="543">SUM(AM144:AM153)</f>
        <v>31650</v>
      </c>
      <c r="AN154" s="71">
        <f t="shared" si="543"/>
        <v>3500</v>
      </c>
      <c r="AO154" s="71"/>
      <c r="AP154" s="71">
        <f t="shared" si="543"/>
        <v>0</v>
      </c>
      <c r="AQ154" s="71">
        <f t="shared" si="543"/>
        <v>0</v>
      </c>
      <c r="AR154" s="71">
        <f t="shared" si="543"/>
        <v>0</v>
      </c>
      <c r="AS154" s="71">
        <f t="shared" si="543"/>
        <v>1267650</v>
      </c>
      <c r="AU154" s="71">
        <f>SUM(AU144:AU153)</f>
        <v>64800</v>
      </c>
      <c r="AV154" s="71">
        <f t="shared" ref="AV154:BB154" si="544">SUM(AV144:AV153)</f>
        <v>1500</v>
      </c>
      <c r="AW154" s="71">
        <f t="shared" si="544"/>
        <v>3500</v>
      </c>
      <c r="AX154" s="71">
        <f t="shared" si="544"/>
        <v>0</v>
      </c>
      <c r="AY154" s="71">
        <f t="shared" si="544"/>
        <v>0</v>
      </c>
      <c r="AZ154" s="71">
        <f t="shared" si="544"/>
        <v>0</v>
      </c>
      <c r="BA154" s="71">
        <f t="shared" si="544"/>
        <v>0</v>
      </c>
      <c r="BB154" s="71">
        <f t="shared" si="544"/>
        <v>69800</v>
      </c>
      <c r="BD154" s="71">
        <f>SUM(BD144:BD153)</f>
        <v>38920</v>
      </c>
      <c r="BE154" s="71">
        <f t="shared" ref="BE154:BK154" si="545">SUM(BE144:BE153)</f>
        <v>2250</v>
      </c>
      <c r="BF154" s="71">
        <f t="shared" si="545"/>
        <v>2500</v>
      </c>
      <c r="BG154" s="71">
        <f t="shared" si="545"/>
        <v>425000</v>
      </c>
      <c r="BH154" s="71">
        <f t="shared" si="545"/>
        <v>0</v>
      </c>
      <c r="BI154" s="71">
        <f t="shared" si="545"/>
        <v>0</v>
      </c>
      <c r="BJ154" s="71">
        <f t="shared" si="545"/>
        <v>0</v>
      </c>
      <c r="BK154" s="71">
        <f t="shared" si="545"/>
        <v>468670</v>
      </c>
      <c r="BM154" s="71">
        <f>SUM(BM144:BM153)</f>
        <v>0</v>
      </c>
      <c r="BN154" s="71">
        <f t="shared" ref="BN154:BT154" si="546">SUM(BN144:BN153)</f>
        <v>0</v>
      </c>
      <c r="BO154" s="71">
        <f t="shared" si="546"/>
        <v>0</v>
      </c>
      <c r="BP154" s="71">
        <f t="shared" si="546"/>
        <v>0</v>
      </c>
      <c r="BQ154" s="71">
        <f t="shared" si="546"/>
        <v>0</v>
      </c>
      <c r="BR154" s="71">
        <f t="shared" si="546"/>
        <v>0</v>
      </c>
      <c r="BS154" s="71">
        <f t="shared" si="546"/>
        <v>0</v>
      </c>
      <c r="BT154" s="71">
        <f t="shared" si="546"/>
        <v>0</v>
      </c>
      <c r="BV154" s="71">
        <f>SUM(BV144:BV153)</f>
        <v>3505840</v>
      </c>
      <c r="BW154" s="71">
        <f t="shared" ref="BW154:CC154" si="547">SUM(BW144:BW153)</f>
        <v>123300</v>
      </c>
      <c r="BX154" s="71">
        <f t="shared" si="547"/>
        <v>19000</v>
      </c>
      <c r="BY154" s="71">
        <f t="shared" si="547"/>
        <v>425000</v>
      </c>
      <c r="BZ154" s="71">
        <f t="shared" si="547"/>
        <v>0</v>
      </c>
      <c r="CA154" s="71">
        <f t="shared" si="547"/>
        <v>0</v>
      </c>
      <c r="CB154" s="71">
        <f t="shared" si="547"/>
        <v>0</v>
      </c>
      <c r="CC154" s="71">
        <f t="shared" si="547"/>
        <v>4073140</v>
      </c>
    </row>
    <row r="155" spans="1:83" ht="15">
      <c r="A155" s="75" t="s">
        <v>137</v>
      </c>
      <c r="B155" s="18" t="str">
        <f t="shared" ref="B155:I155" si="548">B1</f>
        <v>Operating</v>
      </c>
      <c r="C155" s="18" t="str">
        <f t="shared" si="548"/>
        <v>SPED</v>
      </c>
      <c r="D155" s="18" t="str">
        <f t="shared" si="548"/>
        <v>NSLP</v>
      </c>
      <c r="E155" s="18" t="str">
        <f t="shared" si="548"/>
        <v>Other</v>
      </c>
      <c r="F155" s="18" t="str">
        <f t="shared" si="548"/>
        <v>Title I</v>
      </c>
      <c r="G155" s="18" t="str">
        <f t="shared" si="548"/>
        <v>SGF</v>
      </c>
      <c r="H155" s="18" t="str">
        <f t="shared" si="548"/>
        <v>Title III</v>
      </c>
      <c r="I155" s="18" t="str">
        <f t="shared" si="548"/>
        <v>Horizon</v>
      </c>
      <c r="J155" s="7"/>
      <c r="K155" s="18" t="str">
        <f t="shared" ref="K155:R155" si="549">K1</f>
        <v>Operating</v>
      </c>
      <c r="L155" s="18" t="str">
        <f t="shared" si="549"/>
        <v>SPED</v>
      </c>
      <c r="M155" s="18" t="str">
        <f t="shared" si="549"/>
        <v>NSLP</v>
      </c>
      <c r="N155" s="18" t="str">
        <f t="shared" si="549"/>
        <v>Other</v>
      </c>
      <c r="O155" s="18" t="str">
        <f t="shared" si="549"/>
        <v>Title I</v>
      </c>
      <c r="P155" s="18" t="str">
        <f t="shared" si="549"/>
        <v>SGF</v>
      </c>
      <c r="Q155" s="18" t="str">
        <f t="shared" si="549"/>
        <v>Title III</v>
      </c>
      <c r="R155" s="18" t="str">
        <f t="shared" si="549"/>
        <v>St. Rose</v>
      </c>
      <c r="T155" s="18" t="str">
        <f t="shared" ref="T155:AA155" si="550">T1</f>
        <v>Operating</v>
      </c>
      <c r="U155" s="18" t="str">
        <f t="shared" si="550"/>
        <v>SPED</v>
      </c>
      <c r="V155" s="18" t="str">
        <f t="shared" si="550"/>
        <v>NSLP</v>
      </c>
      <c r="W155" s="18" t="str">
        <f t="shared" si="550"/>
        <v>Other</v>
      </c>
      <c r="X155" s="18" t="str">
        <f t="shared" si="550"/>
        <v>Title I</v>
      </c>
      <c r="Y155" s="18" t="str">
        <f t="shared" si="550"/>
        <v>SGF</v>
      </c>
      <c r="Z155" s="18" t="str">
        <f t="shared" si="550"/>
        <v>Title III</v>
      </c>
      <c r="AA155" s="18" t="str">
        <f t="shared" si="550"/>
        <v>Inspirada</v>
      </c>
      <c r="AC155" s="18" t="str">
        <f t="shared" ref="AC155:AJ155" si="551">AC1</f>
        <v>Operating</v>
      </c>
      <c r="AD155" s="18" t="str">
        <f t="shared" si="551"/>
        <v>SPED</v>
      </c>
      <c r="AE155" s="18" t="str">
        <f t="shared" si="551"/>
        <v>NSLP</v>
      </c>
      <c r="AF155" s="18" t="str">
        <f t="shared" si="551"/>
        <v>Other</v>
      </c>
      <c r="AG155" s="18" t="str">
        <f t="shared" si="551"/>
        <v>Title I</v>
      </c>
      <c r="AH155" s="18" t="str">
        <f t="shared" si="551"/>
        <v>SGF</v>
      </c>
      <c r="AI155" s="18" t="str">
        <f t="shared" si="551"/>
        <v>Title III</v>
      </c>
      <c r="AJ155" s="18" t="str">
        <f t="shared" si="551"/>
        <v>Cadence</v>
      </c>
      <c r="AL155" s="18" t="str">
        <f t="shared" ref="AL155:AS155" si="552">AL1</f>
        <v>Operating</v>
      </c>
      <c r="AM155" s="18" t="str">
        <f t="shared" si="552"/>
        <v>SPED</v>
      </c>
      <c r="AN155" s="18" t="str">
        <f t="shared" si="552"/>
        <v>NSLP</v>
      </c>
      <c r="AO155" s="18" t="str">
        <f t="shared" si="552"/>
        <v>Other</v>
      </c>
      <c r="AP155" s="18" t="str">
        <f t="shared" si="552"/>
        <v>Title I</v>
      </c>
      <c r="AQ155" s="18" t="str">
        <f t="shared" si="552"/>
        <v>SGF</v>
      </c>
      <c r="AR155" s="18" t="str">
        <f t="shared" si="552"/>
        <v>Title III</v>
      </c>
      <c r="AS155" s="18" t="str">
        <f t="shared" si="552"/>
        <v>Sloan</v>
      </c>
      <c r="AU155" s="18" t="str">
        <f t="shared" ref="AU155:BB155" si="553">AU1</f>
        <v>Operating</v>
      </c>
      <c r="AV155" s="18" t="str">
        <f t="shared" si="553"/>
        <v>SPED</v>
      </c>
      <c r="AW155" s="18" t="str">
        <f t="shared" si="553"/>
        <v>NSLP</v>
      </c>
      <c r="AX155" s="18" t="str">
        <f t="shared" si="553"/>
        <v>Other</v>
      </c>
      <c r="AY155" s="18" t="str">
        <f t="shared" si="553"/>
        <v>Title I</v>
      </c>
      <c r="AZ155" s="18" t="str">
        <f t="shared" si="553"/>
        <v>SGF</v>
      </c>
      <c r="BA155" s="18" t="str">
        <f t="shared" si="553"/>
        <v>Title III</v>
      </c>
      <c r="BB155" s="18" t="str">
        <f t="shared" si="553"/>
        <v>Virtual</v>
      </c>
      <c r="BD155" s="18" t="str">
        <f t="shared" ref="BD155:BK155" si="554">BD1</f>
        <v>Operating</v>
      </c>
      <c r="BE155" s="18" t="str">
        <f t="shared" si="554"/>
        <v>SPED</v>
      </c>
      <c r="BF155" s="18" t="str">
        <f t="shared" si="554"/>
        <v>NSLP</v>
      </c>
      <c r="BG155" s="18" t="str">
        <f t="shared" si="554"/>
        <v>Other</v>
      </c>
      <c r="BH155" s="18" t="str">
        <f t="shared" si="554"/>
        <v>Title I</v>
      </c>
      <c r="BI155" s="18" t="str">
        <f t="shared" si="554"/>
        <v>SGF</v>
      </c>
      <c r="BJ155" s="18" t="str">
        <f t="shared" si="554"/>
        <v>Title III</v>
      </c>
      <c r="BK155" s="18" t="str">
        <f t="shared" si="554"/>
        <v>Springs</v>
      </c>
      <c r="BM155" s="18" t="str">
        <f t="shared" ref="BM155:BT155" si="555">BM1</f>
        <v>Operating</v>
      </c>
      <c r="BN155" s="18" t="str">
        <f t="shared" si="555"/>
        <v>SPED</v>
      </c>
      <c r="BO155" s="18" t="str">
        <f t="shared" si="555"/>
        <v>NSLP</v>
      </c>
      <c r="BP155" s="18" t="str">
        <f t="shared" si="555"/>
        <v>Other</v>
      </c>
      <c r="BQ155" s="18" t="str">
        <f t="shared" si="555"/>
        <v>Title I</v>
      </c>
      <c r="BR155" s="18" t="str">
        <f t="shared" si="555"/>
        <v>SGF</v>
      </c>
      <c r="BS155" s="18" t="str">
        <f t="shared" si="555"/>
        <v>Title III</v>
      </c>
      <c r="BT155" s="18" t="str">
        <f t="shared" si="555"/>
        <v>Exec. Office</v>
      </c>
      <c r="BV155" s="18" t="str">
        <f t="shared" ref="BV155:CC155" si="556">BV1</f>
        <v>Operating</v>
      </c>
      <c r="BW155" s="18" t="str">
        <f t="shared" si="556"/>
        <v>SPED</v>
      </c>
      <c r="BX155" s="18" t="str">
        <f t="shared" si="556"/>
        <v>NSLP</v>
      </c>
      <c r="BY155" s="18" t="str">
        <f t="shared" si="556"/>
        <v>Other</v>
      </c>
      <c r="BZ155" s="18" t="str">
        <f t="shared" si="556"/>
        <v>Title I</v>
      </c>
      <c r="CA155" s="18" t="str">
        <f t="shared" si="556"/>
        <v>SGF</v>
      </c>
      <c r="CB155" s="18" t="str">
        <f t="shared" si="556"/>
        <v>Title III</v>
      </c>
      <c r="CC155" s="18" t="str">
        <f t="shared" si="556"/>
        <v>Systemwide</v>
      </c>
    </row>
    <row r="156" spans="1:83">
      <c r="A156" s="29" t="s">
        <v>138</v>
      </c>
      <c r="B156" s="11">
        <f>8500*1.05 +5000</f>
        <v>13925</v>
      </c>
      <c r="C156" s="11"/>
      <c r="D156" s="11"/>
      <c r="E156" s="11"/>
      <c r="F156" s="11"/>
      <c r="G156" s="11"/>
      <c r="H156" s="11"/>
      <c r="I156" s="5">
        <f t="shared" ref="I156:I169" si="557">SUM(B156:H156)</f>
        <v>13925</v>
      </c>
      <c r="K156" s="11">
        <f>12600+10000</f>
        <v>22600</v>
      </c>
      <c r="L156" s="11"/>
      <c r="M156" s="11"/>
      <c r="N156" s="11"/>
      <c r="O156" s="11"/>
      <c r="P156" s="11"/>
      <c r="Q156" s="11"/>
      <c r="R156" s="5">
        <f t="shared" ref="R156:R169" si="558">SUM(K156:Q156)</f>
        <v>22600</v>
      </c>
      <c r="T156" s="11">
        <f>12600+5000</f>
        <v>17600</v>
      </c>
      <c r="U156" s="11"/>
      <c r="V156" s="11"/>
      <c r="W156" s="11"/>
      <c r="X156" s="11"/>
      <c r="Y156" s="11"/>
      <c r="Z156" s="11"/>
      <c r="AA156" s="5">
        <f t="shared" ref="AA156:AA169" si="559">SUM(T156:Z156)</f>
        <v>17600</v>
      </c>
      <c r="AC156" s="11">
        <f>18900+15000</f>
        <v>33900</v>
      </c>
      <c r="AD156" s="11"/>
      <c r="AE156" s="11"/>
      <c r="AF156" s="11"/>
      <c r="AG156" s="11"/>
      <c r="AH156" s="11"/>
      <c r="AI156" s="11"/>
      <c r="AJ156" s="5">
        <f t="shared" ref="AJ156:AJ169" si="560">SUM(AC156:AI156)</f>
        <v>33900</v>
      </c>
      <c r="AL156" s="11">
        <f>18900+10000</f>
        <v>28900</v>
      </c>
      <c r="AM156" s="11"/>
      <c r="AN156" s="11"/>
      <c r="AO156" s="11"/>
      <c r="AP156" s="11"/>
      <c r="AQ156" s="11"/>
      <c r="AR156" s="11"/>
      <c r="AS156" s="5">
        <f t="shared" ref="AS156:AS169" si="561">SUM(AL156:AR156)</f>
        <v>28900</v>
      </c>
      <c r="AU156" s="11">
        <f>6300+2500</f>
        <v>8800</v>
      </c>
      <c r="AV156" s="11"/>
      <c r="AW156" s="11"/>
      <c r="AX156" s="11"/>
      <c r="AY156" s="11"/>
      <c r="AZ156" s="11"/>
      <c r="BA156" s="11"/>
      <c r="BB156" s="5">
        <f t="shared" ref="BB156:BB169" si="562">SUM(AU156:BA156)</f>
        <v>8800</v>
      </c>
      <c r="BD156" s="11">
        <v>3000</v>
      </c>
      <c r="BE156" s="11"/>
      <c r="BF156" s="11"/>
      <c r="BG156" s="11"/>
      <c r="BH156" s="11"/>
      <c r="BI156" s="11"/>
      <c r="BJ156" s="11"/>
      <c r="BK156" s="5">
        <f t="shared" ref="BK156:BK169" si="563">SUM(BD156:BJ156)</f>
        <v>3000</v>
      </c>
      <c r="BM156" s="11">
        <v>0</v>
      </c>
      <c r="BN156" s="11"/>
      <c r="BO156" s="11"/>
      <c r="BP156" s="11"/>
      <c r="BQ156" s="11"/>
      <c r="BR156" s="11"/>
      <c r="BS156" s="11"/>
      <c r="BT156" s="5">
        <f t="shared" ref="BT156:BT169" si="564">SUM(BM156:BS156)</f>
        <v>0</v>
      </c>
      <c r="BV156" s="5">
        <f t="shared" ref="BV156" si="565">B156+K156+T156+AC156+AL156+AU156+BD156+BM156</f>
        <v>128725</v>
      </c>
      <c r="BW156" s="5">
        <f t="shared" ref="BW156" si="566">C156+L156+U156+AD156+AM156+AV156+BE156+BN156</f>
        <v>0</v>
      </c>
      <c r="BX156" s="5">
        <f t="shared" ref="BX156" si="567">D156+M156+V156+AE156+AN156+AW156+BF156+BO156</f>
        <v>0</v>
      </c>
      <c r="BY156" s="5">
        <f t="shared" ref="BY156" si="568">E156+N156+W156+AF156+AO156+AX156+BG156+BP156</f>
        <v>0</v>
      </c>
      <c r="BZ156" s="5">
        <f t="shared" ref="BZ156" si="569">F156+O156+X156+AG156+AP156+AY156+BH156+BQ156</f>
        <v>0</v>
      </c>
      <c r="CA156" s="5">
        <f t="shared" ref="CA156" si="570">G156+P156+Y156+AH156+AQ156+AZ156+BI156+BR156</f>
        <v>0</v>
      </c>
      <c r="CB156" s="11"/>
      <c r="CC156" s="5">
        <f t="shared" ref="CC156:CC169" si="571">SUM(BV156:CB156)</f>
        <v>128725</v>
      </c>
    </row>
    <row r="157" spans="1:83">
      <c r="A157" s="29" t="s">
        <v>139</v>
      </c>
      <c r="B157" s="11">
        <v>0</v>
      </c>
      <c r="C157" s="5">
        <f>575*B17</f>
        <v>522100</v>
      </c>
      <c r="D157" s="5"/>
      <c r="E157" s="5"/>
      <c r="F157" s="5"/>
      <c r="G157" s="5"/>
      <c r="H157" s="5"/>
      <c r="I157" s="5">
        <f t="shared" si="557"/>
        <v>522100</v>
      </c>
      <c r="K157" s="11">
        <v>0</v>
      </c>
      <c r="L157" s="5">
        <f>165*K17</f>
        <v>168630</v>
      </c>
      <c r="M157" s="5"/>
      <c r="N157" s="5"/>
      <c r="O157" s="5"/>
      <c r="P157" s="5"/>
      <c r="Q157" s="5"/>
      <c r="R157" s="5">
        <f t="shared" si="558"/>
        <v>168630</v>
      </c>
      <c r="T157" s="11">
        <v>0</v>
      </c>
      <c r="U157" s="5">
        <f>80*T17</f>
        <v>95200</v>
      </c>
      <c r="V157" s="5"/>
      <c r="W157" s="5"/>
      <c r="X157" s="5"/>
      <c r="Y157" s="5"/>
      <c r="Z157" s="5"/>
      <c r="AA157" s="5">
        <f t="shared" si="559"/>
        <v>95200</v>
      </c>
      <c r="AC157" s="11">
        <v>0</v>
      </c>
      <c r="AD157" s="5">
        <f>145*AC17</f>
        <v>325380</v>
      </c>
      <c r="AE157" s="5"/>
      <c r="AF157" s="5"/>
      <c r="AG157" s="5"/>
      <c r="AH157" s="5"/>
      <c r="AI157" s="5"/>
      <c r="AJ157" s="5">
        <f t="shared" si="560"/>
        <v>325380</v>
      </c>
      <c r="AL157" s="11">
        <v>0</v>
      </c>
      <c r="AM157" s="5">
        <f>260*AL17</f>
        <v>569400</v>
      </c>
      <c r="AN157" s="5"/>
      <c r="AO157" s="5"/>
      <c r="AP157" s="5"/>
      <c r="AQ157" s="5"/>
      <c r="AR157" s="5"/>
      <c r="AS157" s="5">
        <f t="shared" si="561"/>
        <v>569400</v>
      </c>
      <c r="AU157" s="11">
        <v>0</v>
      </c>
      <c r="AV157" s="5">
        <f>200*AU17</f>
        <v>24000</v>
      </c>
      <c r="AW157" s="5"/>
      <c r="AX157" s="5"/>
      <c r="AY157" s="5"/>
      <c r="AZ157" s="5"/>
      <c r="BA157" s="5"/>
      <c r="BB157" s="5">
        <f t="shared" si="562"/>
        <v>24000</v>
      </c>
      <c r="BD157" s="11">
        <v>0</v>
      </c>
      <c r="BE157" s="5">
        <f>400*BD17</f>
        <v>73600</v>
      </c>
      <c r="BF157" s="5"/>
      <c r="BG157" s="5"/>
      <c r="BH157" s="5"/>
      <c r="BI157" s="5"/>
      <c r="BJ157" s="5"/>
      <c r="BK157" s="5">
        <f t="shared" si="563"/>
        <v>73600</v>
      </c>
      <c r="BM157" s="11">
        <v>0</v>
      </c>
      <c r="BN157" s="5">
        <f>375*BM17</f>
        <v>0</v>
      </c>
      <c r="BO157" s="5"/>
      <c r="BP157" s="5"/>
      <c r="BQ157" s="5"/>
      <c r="BR157" s="5"/>
      <c r="BS157" s="5"/>
      <c r="BT157" s="5">
        <f t="shared" si="564"/>
        <v>0</v>
      </c>
      <c r="BV157" s="5">
        <f t="shared" ref="BV157:BV169" si="572">B157+K157+T157+AC157+AL157+AU157+BD157+BM157</f>
        <v>0</v>
      </c>
      <c r="BW157" s="5">
        <f t="shared" ref="BW157:BW169" si="573">C157+L157+U157+AD157+AM157+AV157+BE157+BN157</f>
        <v>1778310</v>
      </c>
      <c r="BX157" s="5">
        <f t="shared" ref="BX157:BX169" si="574">D157+M157+V157+AE157+AN157+AW157+BF157+BO157</f>
        <v>0</v>
      </c>
      <c r="BY157" s="5">
        <f t="shared" ref="BY157:BY169" si="575">E157+N157+W157+AF157+AO157+AX157+BG157+BP157</f>
        <v>0</v>
      </c>
      <c r="BZ157" s="5">
        <f t="shared" ref="BZ157:BZ169" si="576">F157+O157+X157+AG157+AP157+AY157+BH157+BQ157</f>
        <v>0</v>
      </c>
      <c r="CA157" s="5">
        <f t="shared" ref="CA157:CA169" si="577">G157+P157+Y157+AH157+AQ157+AZ157+BI157+BR157</f>
        <v>0</v>
      </c>
      <c r="CB157" s="5"/>
      <c r="CC157" s="5">
        <f t="shared" si="571"/>
        <v>1778310</v>
      </c>
      <c r="CE157" s="7">
        <f>CC157/CC17</f>
        <v>226.30567574446425</v>
      </c>
    </row>
    <row r="158" spans="1:83">
      <c r="A158" s="29" t="s">
        <v>279</v>
      </c>
      <c r="B158" s="11">
        <v>0</v>
      </c>
      <c r="C158" s="5"/>
      <c r="D158" s="5"/>
      <c r="E158" s="5"/>
      <c r="F158" s="5"/>
      <c r="G158" s="5"/>
      <c r="H158" s="5"/>
      <c r="I158" s="5">
        <f t="shared" si="557"/>
        <v>0</v>
      </c>
      <c r="K158" s="11">
        <f>1400*10*2</f>
        <v>28000</v>
      </c>
      <c r="L158" s="5"/>
      <c r="M158" s="5"/>
      <c r="N158" s="5"/>
      <c r="O158" s="5"/>
      <c r="P158" s="5"/>
      <c r="Q158" s="5"/>
      <c r="R158" s="5">
        <f t="shared" si="558"/>
        <v>28000</v>
      </c>
      <c r="T158" s="11">
        <v>0</v>
      </c>
      <c r="U158" s="5"/>
      <c r="V158" s="5"/>
      <c r="W158" s="5"/>
      <c r="X158" s="5"/>
      <c r="Y158" s="5"/>
      <c r="Z158" s="5"/>
      <c r="AA158" s="5">
        <f t="shared" si="559"/>
        <v>0</v>
      </c>
      <c r="AC158" s="11">
        <v>0</v>
      </c>
      <c r="AD158" s="5"/>
      <c r="AE158" s="5"/>
      <c r="AF158" s="5"/>
      <c r="AG158" s="5"/>
      <c r="AH158" s="5"/>
      <c r="AI158" s="5"/>
      <c r="AJ158" s="5">
        <f t="shared" si="560"/>
        <v>0</v>
      </c>
      <c r="AL158" s="11">
        <v>0</v>
      </c>
      <c r="AM158" s="5"/>
      <c r="AN158" s="5"/>
      <c r="AO158" s="5"/>
      <c r="AP158" s="5"/>
      <c r="AQ158" s="5"/>
      <c r="AR158" s="5"/>
      <c r="AS158" s="5">
        <f t="shared" si="561"/>
        <v>0</v>
      </c>
      <c r="AU158" s="11">
        <f>(90*12)*AU17</f>
        <v>129600</v>
      </c>
      <c r="AV158" s="5"/>
      <c r="AW158" s="5"/>
      <c r="AX158" s="5"/>
      <c r="AY158" s="5"/>
      <c r="AZ158" s="5"/>
      <c r="BA158" s="5"/>
      <c r="BB158" s="5">
        <f t="shared" si="562"/>
        <v>129600</v>
      </c>
      <c r="BD158" s="11">
        <v>0</v>
      </c>
      <c r="BE158" s="5"/>
      <c r="BF158" s="5"/>
      <c r="BG158" s="5"/>
      <c r="BH158" s="5"/>
      <c r="BI158" s="5"/>
      <c r="BJ158" s="5"/>
      <c r="BK158" s="5">
        <f t="shared" si="563"/>
        <v>0</v>
      </c>
      <c r="BM158" s="11">
        <v>0</v>
      </c>
      <c r="BN158" s="5"/>
      <c r="BO158" s="5"/>
      <c r="BP158" s="5"/>
      <c r="BQ158" s="5"/>
      <c r="BR158" s="5"/>
      <c r="BS158" s="5"/>
      <c r="BT158" s="5">
        <f t="shared" si="564"/>
        <v>0</v>
      </c>
      <c r="BV158" s="5">
        <f t="shared" si="572"/>
        <v>157600</v>
      </c>
      <c r="BW158" s="5">
        <f t="shared" si="573"/>
        <v>0</v>
      </c>
      <c r="BX158" s="5">
        <f t="shared" si="574"/>
        <v>0</v>
      </c>
      <c r="BY158" s="5">
        <f t="shared" si="575"/>
        <v>0</v>
      </c>
      <c r="BZ158" s="5">
        <f t="shared" si="576"/>
        <v>0</v>
      </c>
      <c r="CA158" s="5">
        <f t="shared" si="577"/>
        <v>0</v>
      </c>
      <c r="CB158" s="5"/>
      <c r="CC158" s="5">
        <f t="shared" si="571"/>
        <v>157600</v>
      </c>
    </row>
    <row r="159" spans="1:83">
      <c r="A159" s="29" t="s">
        <v>280</v>
      </c>
      <c r="B159" s="11">
        <v>0</v>
      </c>
      <c r="C159" s="5"/>
      <c r="D159" s="5"/>
      <c r="E159" s="5"/>
      <c r="F159" s="5"/>
      <c r="G159" s="5"/>
      <c r="H159" s="5"/>
      <c r="I159" s="5">
        <f t="shared" si="557"/>
        <v>0</v>
      </c>
      <c r="K159" s="11">
        <v>0</v>
      </c>
      <c r="L159" s="5"/>
      <c r="M159" s="5"/>
      <c r="N159" s="5"/>
      <c r="O159" s="5"/>
      <c r="P159" s="5"/>
      <c r="Q159" s="5"/>
      <c r="R159" s="5">
        <f t="shared" si="558"/>
        <v>0</v>
      </c>
      <c r="T159" s="11">
        <v>0</v>
      </c>
      <c r="U159" s="5"/>
      <c r="V159" s="5"/>
      <c r="W159" s="5"/>
      <c r="X159" s="5"/>
      <c r="Y159" s="5"/>
      <c r="Z159" s="5"/>
      <c r="AA159" s="5">
        <f t="shared" si="559"/>
        <v>0</v>
      </c>
      <c r="AC159" s="11">
        <v>0</v>
      </c>
      <c r="AD159" s="5"/>
      <c r="AE159" s="5"/>
      <c r="AF159" s="5"/>
      <c r="AG159" s="5"/>
      <c r="AH159" s="5"/>
      <c r="AI159" s="5"/>
      <c r="AJ159" s="5">
        <f t="shared" si="560"/>
        <v>0</v>
      </c>
      <c r="AL159" s="11">
        <v>0</v>
      </c>
      <c r="AM159" s="5"/>
      <c r="AN159" s="5"/>
      <c r="AO159" s="5"/>
      <c r="AP159" s="5"/>
      <c r="AQ159" s="5"/>
      <c r="AR159" s="5"/>
      <c r="AS159" s="5">
        <f t="shared" si="561"/>
        <v>0</v>
      </c>
      <c r="AU159" s="99">
        <f>750*AU17</f>
        <v>90000</v>
      </c>
      <c r="AV159" s="5"/>
      <c r="AW159" s="5"/>
      <c r="AX159" s="5"/>
      <c r="AY159" s="5"/>
      <c r="AZ159" s="5"/>
      <c r="BA159" s="5"/>
      <c r="BB159" s="5">
        <f t="shared" si="562"/>
        <v>90000</v>
      </c>
      <c r="BD159" s="11">
        <v>0</v>
      </c>
      <c r="BE159" s="5"/>
      <c r="BF159" s="5"/>
      <c r="BG159" s="5"/>
      <c r="BH159" s="5"/>
      <c r="BI159" s="5"/>
      <c r="BJ159" s="5"/>
      <c r="BK159" s="5">
        <f t="shared" si="563"/>
        <v>0</v>
      </c>
      <c r="BM159" s="11">
        <v>0</v>
      </c>
      <c r="BN159" s="5"/>
      <c r="BO159" s="5"/>
      <c r="BP159" s="5"/>
      <c r="BQ159" s="5"/>
      <c r="BR159" s="5"/>
      <c r="BS159" s="5"/>
      <c r="BT159" s="5">
        <f t="shared" si="564"/>
        <v>0</v>
      </c>
      <c r="BV159" s="5">
        <f t="shared" si="572"/>
        <v>90000</v>
      </c>
      <c r="BW159" s="5">
        <f t="shared" si="573"/>
        <v>0</v>
      </c>
      <c r="BX159" s="5">
        <f t="shared" si="574"/>
        <v>0</v>
      </c>
      <c r="BY159" s="5">
        <f t="shared" si="575"/>
        <v>0</v>
      </c>
      <c r="BZ159" s="5">
        <f t="shared" si="576"/>
        <v>0</v>
      </c>
      <c r="CA159" s="5">
        <f t="shared" si="577"/>
        <v>0</v>
      </c>
      <c r="CB159" s="5"/>
      <c r="CC159" s="5">
        <f t="shared" si="571"/>
        <v>90000</v>
      </c>
    </row>
    <row r="160" spans="1:83">
      <c r="A160" s="29" t="s">
        <v>140</v>
      </c>
      <c r="B160" s="11">
        <f>495*B17</f>
        <v>449460</v>
      </c>
      <c r="C160" s="5"/>
      <c r="D160" s="5"/>
      <c r="E160" s="5"/>
      <c r="F160" s="5"/>
      <c r="G160" s="5"/>
      <c r="H160" s="5"/>
      <c r="I160" s="5">
        <f t="shared" si="557"/>
        <v>449460</v>
      </c>
      <c r="K160" s="11">
        <f>495*K17</f>
        <v>505890</v>
      </c>
      <c r="L160" s="5"/>
      <c r="M160" s="5"/>
      <c r="N160" s="5"/>
      <c r="O160" s="5"/>
      <c r="P160" s="5"/>
      <c r="Q160" s="5"/>
      <c r="R160" s="5">
        <f t="shared" si="558"/>
        <v>505890</v>
      </c>
      <c r="T160" s="11">
        <f>495*T17</f>
        <v>589050</v>
      </c>
      <c r="U160" s="5"/>
      <c r="V160" s="5"/>
      <c r="W160" s="5"/>
      <c r="X160" s="5"/>
      <c r="Y160" s="5"/>
      <c r="Z160" s="5"/>
      <c r="AA160" s="5">
        <f t="shared" si="559"/>
        <v>589050</v>
      </c>
      <c r="AC160" s="11">
        <f>495*AC17</f>
        <v>1110780</v>
      </c>
      <c r="AD160" s="5"/>
      <c r="AE160" s="5"/>
      <c r="AF160" s="5"/>
      <c r="AG160" s="5"/>
      <c r="AH160" s="5"/>
      <c r="AI160" s="5"/>
      <c r="AJ160" s="5">
        <f t="shared" si="560"/>
        <v>1110780</v>
      </c>
      <c r="AL160" s="11">
        <f>495*AL17</f>
        <v>1084050</v>
      </c>
      <c r="AM160" s="5"/>
      <c r="AN160" s="5"/>
      <c r="AO160" s="5"/>
      <c r="AP160" s="5"/>
      <c r="AQ160" s="5"/>
      <c r="AR160" s="5"/>
      <c r="AS160" s="5">
        <f t="shared" si="561"/>
        <v>1084050</v>
      </c>
      <c r="AU160" s="11">
        <f>495*AU17</f>
        <v>59400</v>
      </c>
      <c r="AV160" s="5"/>
      <c r="AW160" s="5"/>
      <c r="AX160" s="5"/>
      <c r="AY160" s="5"/>
      <c r="AZ160" s="5"/>
      <c r="BA160" s="5"/>
      <c r="BB160" s="5">
        <f t="shared" si="562"/>
        <v>59400</v>
      </c>
      <c r="BD160" s="11">
        <f>495*BD17</f>
        <v>91080</v>
      </c>
      <c r="BE160" s="5"/>
      <c r="BF160" s="5"/>
      <c r="BG160" s="5"/>
      <c r="BH160" s="5"/>
      <c r="BI160" s="5"/>
      <c r="BJ160" s="5"/>
      <c r="BK160" s="5">
        <f t="shared" si="563"/>
        <v>91080</v>
      </c>
      <c r="BM160" s="11">
        <f>450*BM17</f>
        <v>0</v>
      </c>
      <c r="BN160" s="5"/>
      <c r="BO160" s="5"/>
      <c r="BP160" s="5"/>
      <c r="BQ160" s="5"/>
      <c r="BR160" s="5"/>
      <c r="BS160" s="5"/>
      <c r="BT160" s="5">
        <f t="shared" si="564"/>
        <v>0</v>
      </c>
      <c r="BV160" s="5">
        <f t="shared" si="572"/>
        <v>3889710</v>
      </c>
      <c r="BW160" s="5">
        <f t="shared" si="573"/>
        <v>0</v>
      </c>
      <c r="BX160" s="5">
        <f t="shared" si="574"/>
        <v>0</v>
      </c>
      <c r="BY160" s="5">
        <f t="shared" si="575"/>
        <v>0</v>
      </c>
      <c r="BZ160" s="5">
        <f t="shared" si="576"/>
        <v>0</v>
      </c>
      <c r="CA160" s="5">
        <f t="shared" si="577"/>
        <v>0</v>
      </c>
      <c r="CB160" s="5"/>
      <c r="CC160" s="5">
        <f t="shared" si="571"/>
        <v>3889710</v>
      </c>
    </row>
    <row r="161" spans="1:81">
      <c r="A161" s="29" t="s">
        <v>141</v>
      </c>
      <c r="B161" s="11">
        <v>16500</v>
      </c>
      <c r="C161" s="11">
        <v>2000</v>
      </c>
      <c r="D161" s="11">
        <v>500</v>
      </c>
      <c r="E161" s="11"/>
      <c r="F161" s="11">
        <f>(240*F65)</f>
        <v>0</v>
      </c>
      <c r="G161" s="11">
        <f>(240*G65)</f>
        <v>0</v>
      </c>
      <c r="H161" s="11">
        <f>(240*H65)</f>
        <v>0</v>
      </c>
      <c r="I161" s="5">
        <f t="shared" si="557"/>
        <v>19000</v>
      </c>
      <c r="K161" s="11">
        <v>18500</v>
      </c>
      <c r="L161" s="11">
        <v>2750</v>
      </c>
      <c r="M161" s="11">
        <v>500</v>
      </c>
      <c r="N161" s="11"/>
      <c r="O161" s="11">
        <f>(240*O65)</f>
        <v>0</v>
      </c>
      <c r="P161" s="11">
        <f>(240*P65)</f>
        <v>0</v>
      </c>
      <c r="Q161" s="11">
        <f>(240*Q65)</f>
        <v>0</v>
      </c>
      <c r="R161" s="5">
        <f t="shared" si="558"/>
        <v>21750</v>
      </c>
      <c r="T161" s="11">
        <v>21500</v>
      </c>
      <c r="U161" s="11">
        <v>3000</v>
      </c>
      <c r="V161" s="11">
        <v>500</v>
      </c>
      <c r="W161" s="11"/>
      <c r="X161" s="11">
        <f>(240*X65)</f>
        <v>0</v>
      </c>
      <c r="Y161" s="11">
        <f>(240*Y65)</f>
        <v>0</v>
      </c>
      <c r="Z161" s="11">
        <f>(240*Z65)</f>
        <v>0</v>
      </c>
      <c r="AA161" s="5">
        <f t="shared" si="559"/>
        <v>25000</v>
      </c>
      <c r="AC161" s="11">
        <v>38500</v>
      </c>
      <c r="AD161" s="11">
        <v>5000</v>
      </c>
      <c r="AE161" s="11">
        <v>1000</v>
      </c>
      <c r="AF161" s="11"/>
      <c r="AG161" s="11">
        <f>(240*AG65)</f>
        <v>0</v>
      </c>
      <c r="AH161" s="11">
        <f>(240*AH65)</f>
        <v>0</v>
      </c>
      <c r="AI161" s="11">
        <f>(240*AI65)</f>
        <v>0</v>
      </c>
      <c r="AJ161" s="5">
        <f t="shared" si="560"/>
        <v>44500</v>
      </c>
      <c r="AL161" s="11">
        <v>36500</v>
      </c>
      <c r="AM161" s="11">
        <v>5500</v>
      </c>
      <c r="AN161" s="11">
        <v>1000</v>
      </c>
      <c r="AO161" s="11"/>
      <c r="AP161" s="11">
        <f>(240*AP65)</f>
        <v>0</v>
      </c>
      <c r="AQ161" s="11">
        <f>(240*AQ65)</f>
        <v>0</v>
      </c>
      <c r="AR161" s="11">
        <f>(240*AR65)</f>
        <v>0</v>
      </c>
      <c r="AS161" s="5">
        <f t="shared" si="561"/>
        <v>43000</v>
      </c>
      <c r="AU161" s="11">
        <v>1500</v>
      </c>
      <c r="AV161" s="11">
        <v>750</v>
      </c>
      <c r="AW161" s="11">
        <v>0</v>
      </c>
      <c r="AX161" s="11"/>
      <c r="AY161" s="11">
        <f>(240*AY65)</f>
        <v>0</v>
      </c>
      <c r="AZ161" s="11">
        <f>(240*AZ65)</f>
        <v>0</v>
      </c>
      <c r="BA161" s="11">
        <f>(240*BA65)</f>
        <v>0</v>
      </c>
      <c r="BB161" s="5">
        <f t="shared" si="562"/>
        <v>2250</v>
      </c>
      <c r="BD161" s="11">
        <v>2500</v>
      </c>
      <c r="BE161" s="11">
        <v>750</v>
      </c>
      <c r="BF161" s="11">
        <v>300</v>
      </c>
      <c r="BG161" s="11"/>
      <c r="BH161" s="11">
        <v>0</v>
      </c>
      <c r="BI161" s="11">
        <f>(240*BI65)</f>
        <v>0</v>
      </c>
      <c r="BJ161" s="11">
        <f>(240*BJ65)</f>
        <v>0</v>
      </c>
      <c r="BK161" s="5">
        <f t="shared" si="563"/>
        <v>3550</v>
      </c>
      <c r="BM161" s="11">
        <f>(250*BM65)+1000</f>
        <v>1750</v>
      </c>
      <c r="BN161" s="11"/>
      <c r="BO161" s="11">
        <f>(245*BO65)+20</f>
        <v>265</v>
      </c>
      <c r="BP161" s="11"/>
      <c r="BQ161" s="11">
        <f>(240*BQ65)</f>
        <v>0</v>
      </c>
      <c r="BR161" s="11">
        <f>(240*BR65)</f>
        <v>0</v>
      </c>
      <c r="BS161" s="11">
        <f>(240*BS65)</f>
        <v>0</v>
      </c>
      <c r="BT161" s="5">
        <f t="shared" si="564"/>
        <v>2015</v>
      </c>
      <c r="BV161" s="5">
        <f t="shared" si="572"/>
        <v>137250</v>
      </c>
      <c r="BW161" s="5">
        <f t="shared" si="573"/>
        <v>19750</v>
      </c>
      <c r="BX161" s="5">
        <f t="shared" si="574"/>
        <v>4065</v>
      </c>
      <c r="BY161" s="5">
        <f t="shared" si="575"/>
        <v>0</v>
      </c>
      <c r="BZ161" s="5">
        <f t="shared" si="576"/>
        <v>0</v>
      </c>
      <c r="CA161" s="5">
        <f t="shared" si="577"/>
        <v>0</v>
      </c>
      <c r="CB161" s="11">
        <f>(240*CB65)</f>
        <v>0</v>
      </c>
      <c r="CC161" s="5">
        <f t="shared" si="571"/>
        <v>161065</v>
      </c>
    </row>
    <row r="162" spans="1:81">
      <c r="A162" s="29" t="s">
        <v>142</v>
      </c>
      <c r="B162" s="11">
        <v>18500</v>
      </c>
      <c r="C162" s="5"/>
      <c r="D162" s="5"/>
      <c r="E162" s="5"/>
      <c r="F162" s="5"/>
      <c r="G162" s="5"/>
      <c r="H162" s="5"/>
      <c r="I162" s="5">
        <f t="shared" si="557"/>
        <v>18500</v>
      </c>
      <c r="K162" s="11">
        <v>18500</v>
      </c>
      <c r="L162" s="5"/>
      <c r="M162" s="5"/>
      <c r="N162" s="5"/>
      <c r="O162" s="5"/>
      <c r="P162" s="5"/>
      <c r="Q162" s="5"/>
      <c r="R162" s="5">
        <f t="shared" si="558"/>
        <v>18500</v>
      </c>
      <c r="T162" s="11">
        <v>18500</v>
      </c>
      <c r="U162" s="5"/>
      <c r="V162" s="5"/>
      <c r="W162" s="5"/>
      <c r="X162" s="5"/>
      <c r="Y162" s="5"/>
      <c r="Z162" s="5"/>
      <c r="AA162" s="5">
        <f t="shared" si="559"/>
        <v>18500</v>
      </c>
      <c r="AC162" s="11">
        <v>18500</v>
      </c>
      <c r="AD162" s="5"/>
      <c r="AE162" s="5"/>
      <c r="AF162" s="5"/>
      <c r="AG162" s="5"/>
      <c r="AH162" s="5"/>
      <c r="AI162" s="5"/>
      <c r="AJ162" s="5">
        <f t="shared" si="560"/>
        <v>18500</v>
      </c>
      <c r="AL162" s="11">
        <v>18500</v>
      </c>
      <c r="AM162" s="5"/>
      <c r="AN162" s="5"/>
      <c r="AO162" s="5"/>
      <c r="AP162" s="5"/>
      <c r="AQ162" s="5"/>
      <c r="AR162" s="5"/>
      <c r="AS162" s="5">
        <f t="shared" si="561"/>
        <v>18500</v>
      </c>
      <c r="AU162" s="11">
        <v>15000</v>
      </c>
      <c r="AV162" s="5"/>
      <c r="AW162" s="5"/>
      <c r="AX162" s="5"/>
      <c r="AY162" s="5"/>
      <c r="AZ162" s="5"/>
      <c r="BA162" s="5"/>
      <c r="BB162" s="5">
        <f t="shared" si="562"/>
        <v>15000</v>
      </c>
      <c r="BD162" s="11">
        <v>0</v>
      </c>
      <c r="BE162" s="5"/>
      <c r="BF162" s="5"/>
      <c r="BG162" s="5"/>
      <c r="BH162" s="5"/>
      <c r="BI162" s="5"/>
      <c r="BJ162" s="5"/>
      <c r="BK162" s="5">
        <f t="shared" si="563"/>
        <v>0</v>
      </c>
      <c r="BM162" s="11">
        <v>0</v>
      </c>
      <c r="BN162" s="5"/>
      <c r="BO162" s="5"/>
      <c r="BP162" s="5"/>
      <c r="BQ162" s="5"/>
      <c r="BR162" s="5"/>
      <c r="BS162" s="5"/>
      <c r="BT162" s="5">
        <f t="shared" si="564"/>
        <v>0</v>
      </c>
      <c r="BV162" s="5">
        <f t="shared" si="572"/>
        <v>107500</v>
      </c>
      <c r="BW162" s="5">
        <f t="shared" si="573"/>
        <v>0</v>
      </c>
      <c r="BX162" s="5">
        <f t="shared" si="574"/>
        <v>0</v>
      </c>
      <c r="BY162" s="5">
        <f t="shared" si="575"/>
        <v>0</v>
      </c>
      <c r="BZ162" s="5">
        <f t="shared" si="576"/>
        <v>0</v>
      </c>
      <c r="CA162" s="5">
        <f t="shared" si="577"/>
        <v>0</v>
      </c>
      <c r="CB162" s="5"/>
      <c r="CC162" s="5">
        <f t="shared" si="571"/>
        <v>107500</v>
      </c>
    </row>
    <row r="163" spans="1:81">
      <c r="A163" s="29" t="s">
        <v>143</v>
      </c>
      <c r="B163" s="11">
        <v>7500</v>
      </c>
      <c r="C163" s="5"/>
      <c r="D163" s="5"/>
      <c r="E163" s="5"/>
      <c r="F163" s="5"/>
      <c r="G163" s="5"/>
      <c r="H163" s="5"/>
      <c r="I163" s="5">
        <f t="shared" si="557"/>
        <v>7500</v>
      </c>
      <c r="K163" s="11">
        <v>8000</v>
      </c>
      <c r="L163" s="5"/>
      <c r="M163" s="5"/>
      <c r="N163" s="5"/>
      <c r="O163" s="5"/>
      <c r="P163" s="5"/>
      <c r="Q163" s="5"/>
      <c r="R163" s="5">
        <f t="shared" si="558"/>
        <v>8000</v>
      </c>
      <c r="T163" s="11">
        <v>8000</v>
      </c>
      <c r="U163" s="5"/>
      <c r="V163" s="5"/>
      <c r="W163" s="5"/>
      <c r="X163" s="5"/>
      <c r="Y163" s="5"/>
      <c r="Z163" s="5"/>
      <c r="AA163" s="5">
        <f t="shared" si="559"/>
        <v>8000</v>
      </c>
      <c r="AC163" s="11">
        <v>12000</v>
      </c>
      <c r="AD163" s="5"/>
      <c r="AE163" s="5"/>
      <c r="AF163" s="5"/>
      <c r="AG163" s="5"/>
      <c r="AH163" s="5"/>
      <c r="AI163" s="5"/>
      <c r="AJ163" s="5">
        <f t="shared" si="560"/>
        <v>12000</v>
      </c>
      <c r="AL163" s="11">
        <v>10000</v>
      </c>
      <c r="AM163" s="5"/>
      <c r="AN163" s="5"/>
      <c r="AO163" s="5"/>
      <c r="AP163" s="5"/>
      <c r="AQ163" s="5"/>
      <c r="AR163" s="5"/>
      <c r="AS163" s="5">
        <f t="shared" si="561"/>
        <v>10000</v>
      </c>
      <c r="AU163" s="11">
        <v>6000</v>
      </c>
      <c r="AV163" s="5"/>
      <c r="AW163" s="5"/>
      <c r="AX163" s="5"/>
      <c r="AY163" s="5"/>
      <c r="AZ163" s="5"/>
      <c r="BA163" s="5"/>
      <c r="BB163" s="5">
        <f t="shared" si="562"/>
        <v>6000</v>
      </c>
      <c r="BD163" s="11">
        <v>4500</v>
      </c>
      <c r="BE163" s="5"/>
      <c r="BF163" s="5"/>
      <c r="BG163" s="5"/>
      <c r="BH163" s="5"/>
      <c r="BI163" s="5"/>
      <c r="BJ163" s="5"/>
      <c r="BK163" s="5">
        <f t="shared" si="563"/>
        <v>4500</v>
      </c>
      <c r="BM163" s="11">
        <v>0</v>
      </c>
      <c r="BN163" s="5"/>
      <c r="BO163" s="5"/>
      <c r="BP163" s="5"/>
      <c r="BQ163" s="5"/>
      <c r="BR163" s="5"/>
      <c r="BS163" s="5"/>
      <c r="BT163" s="5">
        <f t="shared" si="564"/>
        <v>0</v>
      </c>
      <c r="BV163" s="5">
        <f t="shared" si="572"/>
        <v>56000</v>
      </c>
      <c r="BW163" s="5">
        <f t="shared" si="573"/>
        <v>0</v>
      </c>
      <c r="BX163" s="5">
        <f t="shared" si="574"/>
        <v>0</v>
      </c>
      <c r="BY163" s="5">
        <f t="shared" si="575"/>
        <v>0</v>
      </c>
      <c r="BZ163" s="5">
        <f t="shared" si="576"/>
        <v>0</v>
      </c>
      <c r="CA163" s="5">
        <f t="shared" si="577"/>
        <v>0</v>
      </c>
      <c r="CB163" s="5"/>
      <c r="CC163" s="5">
        <f t="shared" si="571"/>
        <v>56000</v>
      </c>
    </row>
    <row r="164" spans="1:81">
      <c r="A164" s="29" t="s">
        <v>144</v>
      </c>
      <c r="B164" s="11">
        <f>48*B17+(60*12)</f>
        <v>44304</v>
      </c>
      <c r="C164" s="5"/>
      <c r="D164" s="5"/>
      <c r="E164" s="5"/>
      <c r="F164" s="5"/>
      <c r="G164" s="5"/>
      <c r="H164" s="5"/>
      <c r="I164" s="5">
        <f t="shared" si="557"/>
        <v>44304</v>
      </c>
      <c r="K164" s="11">
        <f>48*K17+(60*12)</f>
        <v>49776</v>
      </c>
      <c r="L164" s="5"/>
      <c r="M164" s="5"/>
      <c r="N164" s="5"/>
      <c r="O164" s="5"/>
      <c r="P164" s="5"/>
      <c r="Q164" s="5"/>
      <c r="R164" s="5">
        <f t="shared" si="558"/>
        <v>49776</v>
      </c>
      <c r="T164" s="11">
        <f>48*T17+(60*12)</f>
        <v>57840</v>
      </c>
      <c r="U164" s="5"/>
      <c r="V164" s="5"/>
      <c r="W164" s="5"/>
      <c r="X164" s="5"/>
      <c r="Y164" s="5"/>
      <c r="Z164" s="5"/>
      <c r="AA164" s="5">
        <f t="shared" si="559"/>
        <v>57840</v>
      </c>
      <c r="AC164" s="11">
        <f>48*AC17+(60*12)</f>
        <v>108432</v>
      </c>
      <c r="AD164" s="5"/>
      <c r="AE164" s="5"/>
      <c r="AF164" s="5"/>
      <c r="AG164" s="5"/>
      <c r="AH164" s="5"/>
      <c r="AI164" s="5"/>
      <c r="AJ164" s="5">
        <f t="shared" si="560"/>
        <v>108432</v>
      </c>
      <c r="AL164" s="11">
        <f>48*AL17+(60*12)</f>
        <v>105840</v>
      </c>
      <c r="AM164" s="5"/>
      <c r="AN164" s="5"/>
      <c r="AO164" s="5"/>
      <c r="AP164" s="5"/>
      <c r="AQ164" s="5"/>
      <c r="AR164" s="5"/>
      <c r="AS164" s="5">
        <f t="shared" si="561"/>
        <v>105840</v>
      </c>
      <c r="AU164" s="11">
        <f>48*AU17+(60*12)</f>
        <v>6480</v>
      </c>
      <c r="AV164" s="5"/>
      <c r="AW164" s="5"/>
      <c r="AX164" s="5"/>
      <c r="AY164" s="5"/>
      <c r="AZ164" s="5"/>
      <c r="BA164" s="5"/>
      <c r="BB164" s="5">
        <f t="shared" si="562"/>
        <v>6480</v>
      </c>
      <c r="BD164" s="11">
        <f>48*BD17+(60*12)</f>
        <v>9552</v>
      </c>
      <c r="BE164" s="5"/>
      <c r="BF164" s="5"/>
      <c r="BG164" s="5"/>
      <c r="BH164" s="5"/>
      <c r="BI164" s="5"/>
      <c r="BJ164" s="5"/>
      <c r="BK164" s="5">
        <f t="shared" si="563"/>
        <v>9552</v>
      </c>
      <c r="BM164" s="11">
        <v>0</v>
      </c>
      <c r="BN164" s="5"/>
      <c r="BO164" s="5"/>
      <c r="BP164" s="5"/>
      <c r="BQ164" s="5"/>
      <c r="BR164" s="5"/>
      <c r="BS164" s="5"/>
      <c r="BT164" s="5">
        <f t="shared" si="564"/>
        <v>0</v>
      </c>
      <c r="BV164" s="5">
        <f t="shared" si="572"/>
        <v>382224</v>
      </c>
      <c r="BW164" s="5">
        <f t="shared" si="573"/>
        <v>0</v>
      </c>
      <c r="BX164" s="5">
        <f t="shared" si="574"/>
        <v>0</v>
      </c>
      <c r="BY164" s="5">
        <f t="shared" si="575"/>
        <v>0</v>
      </c>
      <c r="BZ164" s="5">
        <f t="shared" si="576"/>
        <v>0</v>
      </c>
      <c r="CA164" s="5">
        <f t="shared" si="577"/>
        <v>0</v>
      </c>
      <c r="CB164" s="5"/>
      <c r="CC164" s="5">
        <f t="shared" si="571"/>
        <v>382224</v>
      </c>
    </row>
    <row r="165" spans="1:81">
      <c r="A165" s="29" t="s">
        <v>145</v>
      </c>
      <c r="B165" s="11">
        <v>25000</v>
      </c>
      <c r="C165" s="5"/>
      <c r="D165" s="5"/>
      <c r="E165" s="5"/>
      <c r="F165" s="5"/>
      <c r="G165" s="5"/>
      <c r="H165" s="5"/>
      <c r="I165" s="5">
        <f t="shared" si="557"/>
        <v>25000</v>
      </c>
      <c r="K165" s="11">
        <v>27500</v>
      </c>
      <c r="L165" s="5"/>
      <c r="M165" s="5"/>
      <c r="N165" s="5"/>
      <c r="O165" s="5"/>
      <c r="P165" s="5"/>
      <c r="Q165" s="5"/>
      <c r="R165" s="5">
        <f t="shared" si="558"/>
        <v>27500</v>
      </c>
      <c r="T165" s="11">
        <v>30000</v>
      </c>
      <c r="U165" s="5"/>
      <c r="V165" s="5"/>
      <c r="W165" s="5"/>
      <c r="X165" s="5"/>
      <c r="Y165" s="5"/>
      <c r="Z165" s="5"/>
      <c r="AA165" s="5">
        <f t="shared" si="559"/>
        <v>30000</v>
      </c>
      <c r="AC165" s="11">
        <v>32500</v>
      </c>
      <c r="AD165" s="5"/>
      <c r="AE165" s="5"/>
      <c r="AF165" s="5"/>
      <c r="AG165" s="5"/>
      <c r="AH165" s="5"/>
      <c r="AI165" s="5"/>
      <c r="AJ165" s="5">
        <f t="shared" si="560"/>
        <v>32500</v>
      </c>
      <c r="AL165" s="11">
        <v>40000</v>
      </c>
      <c r="AM165" s="5"/>
      <c r="AN165" s="5"/>
      <c r="AO165" s="5"/>
      <c r="AP165" s="5"/>
      <c r="AQ165" s="5"/>
      <c r="AR165" s="5"/>
      <c r="AS165" s="5">
        <f t="shared" si="561"/>
        <v>40000</v>
      </c>
      <c r="AU165" s="11">
        <v>17000</v>
      </c>
      <c r="AV165" s="5"/>
      <c r="AW165" s="149"/>
      <c r="AX165" s="5"/>
      <c r="AY165" s="5"/>
      <c r="AZ165" s="5"/>
      <c r="BA165" s="5"/>
      <c r="BB165" s="5">
        <f t="shared" si="562"/>
        <v>17000</v>
      </c>
      <c r="BD165" s="11">
        <v>6000</v>
      </c>
      <c r="BE165" s="5"/>
      <c r="BF165" s="5"/>
      <c r="BG165" s="5"/>
      <c r="BH165" s="5"/>
      <c r="BI165" s="5"/>
      <c r="BJ165" s="5"/>
      <c r="BK165" s="5">
        <f t="shared" si="563"/>
        <v>6000</v>
      </c>
      <c r="BM165" s="11">
        <v>0</v>
      </c>
      <c r="BN165" s="5"/>
      <c r="BO165" s="5"/>
      <c r="BP165" s="5"/>
      <c r="BQ165" s="5"/>
      <c r="BR165" s="5"/>
      <c r="BS165" s="5"/>
      <c r="BT165" s="5">
        <f t="shared" si="564"/>
        <v>0</v>
      </c>
      <c r="BV165" s="5">
        <f t="shared" si="572"/>
        <v>178000</v>
      </c>
      <c r="BW165" s="5">
        <f t="shared" si="573"/>
        <v>0</v>
      </c>
      <c r="BX165" s="5">
        <f t="shared" si="574"/>
        <v>0</v>
      </c>
      <c r="BY165" s="5">
        <f t="shared" si="575"/>
        <v>0</v>
      </c>
      <c r="BZ165" s="5">
        <f t="shared" si="576"/>
        <v>0</v>
      </c>
      <c r="CA165" s="5">
        <f t="shared" si="577"/>
        <v>0</v>
      </c>
      <c r="CB165" s="5"/>
      <c r="CC165" s="5">
        <f t="shared" si="571"/>
        <v>178000</v>
      </c>
    </row>
    <row r="166" spans="1:81">
      <c r="A166" s="29" t="s">
        <v>146</v>
      </c>
      <c r="B166" s="11">
        <f>B74*0.0125</f>
        <v>101764.1</v>
      </c>
      <c r="C166" s="5"/>
      <c r="D166" s="5"/>
      <c r="E166" s="5"/>
      <c r="F166" s="5"/>
      <c r="G166" s="5"/>
      <c r="H166" s="5"/>
      <c r="I166" s="5">
        <f t="shared" si="557"/>
        <v>101764.1</v>
      </c>
      <c r="J166" s="80"/>
      <c r="K166" s="11">
        <f>K74*0.0125</f>
        <v>114540.65000000001</v>
      </c>
      <c r="L166" s="5"/>
      <c r="M166" s="5"/>
      <c r="N166" s="5"/>
      <c r="O166" s="5"/>
      <c r="P166" s="5"/>
      <c r="Q166" s="5"/>
      <c r="R166" s="5">
        <f t="shared" si="558"/>
        <v>114540.65000000001</v>
      </c>
      <c r="T166" s="11">
        <f>T74*0.0125</f>
        <v>133369.25</v>
      </c>
      <c r="U166" s="5"/>
      <c r="V166" s="5"/>
      <c r="W166" s="5"/>
      <c r="X166" s="5"/>
      <c r="Y166" s="5"/>
      <c r="Z166" s="5"/>
      <c r="AA166" s="5">
        <f t="shared" si="559"/>
        <v>133369.25</v>
      </c>
      <c r="AC166" s="11">
        <f>AC74*0.0125</f>
        <v>253737.80000000002</v>
      </c>
      <c r="AD166" s="5"/>
      <c r="AE166" s="5"/>
      <c r="AF166" s="5"/>
      <c r="AG166" s="5"/>
      <c r="AH166" s="5"/>
      <c r="AI166" s="5"/>
      <c r="AJ166" s="5">
        <f t="shared" si="560"/>
        <v>253737.80000000002</v>
      </c>
      <c r="AL166" s="11">
        <f>AL74*0.0125</f>
        <v>245444.25</v>
      </c>
      <c r="AM166" s="5"/>
      <c r="AN166" s="5"/>
      <c r="AO166" s="5"/>
      <c r="AP166" s="5"/>
      <c r="AQ166" s="5"/>
      <c r="AR166" s="5"/>
      <c r="AS166" s="5">
        <f t="shared" si="561"/>
        <v>245444.25</v>
      </c>
      <c r="AU166" s="11">
        <f>AU74*0.0125</f>
        <v>13449</v>
      </c>
      <c r="AV166" s="5"/>
      <c r="AW166" s="5"/>
      <c r="AX166" s="5"/>
      <c r="AY166" s="5"/>
      <c r="AZ166" s="5"/>
      <c r="BA166" s="5"/>
      <c r="BB166" s="5">
        <f t="shared" si="562"/>
        <v>13449</v>
      </c>
      <c r="BD166" s="11">
        <f>BD74*0.0125</f>
        <v>20621.800000000003</v>
      </c>
      <c r="BE166" s="5"/>
      <c r="BF166" s="5"/>
      <c r="BG166" s="5"/>
      <c r="BH166" s="5"/>
      <c r="BI166" s="5"/>
      <c r="BJ166" s="5"/>
      <c r="BK166" s="5">
        <f t="shared" si="563"/>
        <v>20621.800000000003</v>
      </c>
      <c r="BM166" s="11">
        <f>BM74*0.0125</f>
        <v>0</v>
      </c>
      <c r="BN166" s="5"/>
      <c r="BO166" s="5"/>
      <c r="BP166" s="5"/>
      <c r="BQ166" s="5"/>
      <c r="BR166" s="5"/>
      <c r="BS166" s="5"/>
      <c r="BT166" s="5">
        <f t="shared" si="564"/>
        <v>0</v>
      </c>
      <c r="BV166" s="5">
        <f t="shared" si="572"/>
        <v>882926.85000000009</v>
      </c>
      <c r="BW166" s="5">
        <f t="shared" si="573"/>
        <v>0</v>
      </c>
      <c r="BX166" s="5">
        <f t="shared" si="574"/>
        <v>0</v>
      </c>
      <c r="BY166" s="5">
        <f t="shared" si="575"/>
        <v>0</v>
      </c>
      <c r="BZ166" s="5">
        <f t="shared" si="576"/>
        <v>0</v>
      </c>
      <c r="CA166" s="5">
        <f t="shared" si="577"/>
        <v>0</v>
      </c>
      <c r="CB166" s="5"/>
      <c r="CC166" s="5">
        <f t="shared" si="571"/>
        <v>882926.85000000009</v>
      </c>
    </row>
    <row r="167" spans="1:81">
      <c r="A167" s="29" t="s">
        <v>147</v>
      </c>
      <c r="B167" s="11">
        <f>B74*0.005</f>
        <v>40705.64</v>
      </c>
      <c r="C167" s="5"/>
      <c r="D167" s="5"/>
      <c r="E167" s="5"/>
      <c r="F167" s="5"/>
      <c r="G167" s="5"/>
      <c r="H167" s="5"/>
      <c r="I167" s="5">
        <f t="shared" si="557"/>
        <v>40705.64</v>
      </c>
      <c r="J167" s="80"/>
      <c r="K167" s="11">
        <f>K74*0.005</f>
        <v>45816.26</v>
      </c>
      <c r="L167" s="5"/>
      <c r="M167" s="5"/>
      <c r="N167" s="5"/>
      <c r="O167" s="5"/>
      <c r="P167" s="5"/>
      <c r="Q167" s="5"/>
      <c r="R167" s="5">
        <f t="shared" si="558"/>
        <v>45816.26</v>
      </c>
      <c r="T167" s="11">
        <f>T74*0.005</f>
        <v>53347.700000000004</v>
      </c>
      <c r="U167" s="5"/>
      <c r="V167" s="5"/>
      <c r="W167" s="5"/>
      <c r="X167" s="5"/>
      <c r="Y167" s="5"/>
      <c r="Z167" s="5"/>
      <c r="AA167" s="5">
        <f t="shared" si="559"/>
        <v>53347.700000000004</v>
      </c>
      <c r="AC167" s="11">
        <f>AC74*0.005</f>
        <v>101495.12</v>
      </c>
      <c r="AD167" s="5"/>
      <c r="AE167" s="5"/>
      <c r="AF167" s="5"/>
      <c r="AG167" s="5"/>
      <c r="AH167" s="5"/>
      <c r="AI167" s="5"/>
      <c r="AJ167" s="5">
        <f t="shared" si="560"/>
        <v>101495.12</v>
      </c>
      <c r="AL167" s="11">
        <f>AL74*0.005</f>
        <v>98177.7</v>
      </c>
      <c r="AM167" s="5"/>
      <c r="AN167" s="5"/>
      <c r="AO167" s="5"/>
      <c r="AP167" s="5"/>
      <c r="AQ167" s="5"/>
      <c r="AR167" s="5"/>
      <c r="AS167" s="5">
        <f t="shared" si="561"/>
        <v>98177.7</v>
      </c>
      <c r="AU167" s="11">
        <f>AU74*0.005</f>
        <v>5379.6</v>
      </c>
      <c r="AV167" s="5"/>
      <c r="AW167" s="5"/>
      <c r="AX167" s="5"/>
      <c r="AY167" s="5"/>
      <c r="AZ167" s="5"/>
      <c r="BA167" s="5"/>
      <c r="BB167" s="5">
        <f t="shared" si="562"/>
        <v>5379.6</v>
      </c>
      <c r="BD167" s="11">
        <f>BD74*0.005</f>
        <v>8248.7199999999993</v>
      </c>
      <c r="BE167" s="5"/>
      <c r="BF167" s="5"/>
      <c r="BG167" s="5"/>
      <c r="BH167" s="5"/>
      <c r="BI167" s="5"/>
      <c r="BJ167" s="5"/>
      <c r="BK167" s="5">
        <f t="shared" si="563"/>
        <v>8248.7199999999993</v>
      </c>
      <c r="BM167" s="11">
        <f>BM74*0.005</f>
        <v>0</v>
      </c>
      <c r="BN167" s="5"/>
      <c r="BO167" s="5"/>
      <c r="BP167" s="5"/>
      <c r="BQ167" s="5"/>
      <c r="BR167" s="5"/>
      <c r="BS167" s="5"/>
      <c r="BT167" s="5">
        <f t="shared" si="564"/>
        <v>0</v>
      </c>
      <c r="BV167" s="5">
        <f t="shared" si="572"/>
        <v>353170.73999999993</v>
      </c>
      <c r="BW167" s="5">
        <f t="shared" si="573"/>
        <v>0</v>
      </c>
      <c r="BX167" s="5">
        <f t="shared" si="574"/>
        <v>0</v>
      </c>
      <c r="BY167" s="5">
        <f t="shared" si="575"/>
        <v>0</v>
      </c>
      <c r="BZ167" s="5">
        <f t="shared" si="576"/>
        <v>0</v>
      </c>
      <c r="CA167" s="5">
        <f t="shared" si="577"/>
        <v>0</v>
      </c>
      <c r="CB167" s="5"/>
      <c r="CC167" s="5">
        <f t="shared" si="571"/>
        <v>353170.73999999993</v>
      </c>
    </row>
    <row r="168" spans="1:81">
      <c r="A168" s="29" t="s">
        <v>148</v>
      </c>
      <c r="B168" s="11">
        <f>B74*0.005</f>
        <v>40705.64</v>
      </c>
      <c r="C168" s="5"/>
      <c r="D168" s="5"/>
      <c r="E168" s="5"/>
      <c r="F168" s="5"/>
      <c r="G168" s="5"/>
      <c r="H168" s="5"/>
      <c r="I168" s="5">
        <f t="shared" si="557"/>
        <v>40705.64</v>
      </c>
      <c r="J168" s="80"/>
      <c r="K168" s="11">
        <f>K74*0.005</f>
        <v>45816.26</v>
      </c>
      <c r="L168" s="5"/>
      <c r="M168" s="5"/>
      <c r="N168" s="5"/>
      <c r="O168" s="5"/>
      <c r="P168" s="5"/>
      <c r="Q168" s="5"/>
      <c r="R168" s="5">
        <f t="shared" si="558"/>
        <v>45816.26</v>
      </c>
      <c r="T168" s="11">
        <f>T74*0.005</f>
        <v>53347.700000000004</v>
      </c>
      <c r="U168" s="5"/>
      <c r="V168" s="5"/>
      <c r="W168" s="5"/>
      <c r="X168" s="5"/>
      <c r="Y168" s="5"/>
      <c r="Z168" s="5"/>
      <c r="AA168" s="5">
        <f t="shared" si="559"/>
        <v>53347.700000000004</v>
      </c>
      <c r="AC168" s="11">
        <f>AC74*0.005</f>
        <v>101495.12</v>
      </c>
      <c r="AD168" s="5"/>
      <c r="AE168" s="5"/>
      <c r="AF168" s="5"/>
      <c r="AG168" s="5"/>
      <c r="AH168" s="5"/>
      <c r="AI168" s="5"/>
      <c r="AJ168" s="5">
        <f t="shared" si="560"/>
        <v>101495.12</v>
      </c>
      <c r="AL168" s="11">
        <f>AL74*0.005</f>
        <v>98177.7</v>
      </c>
      <c r="AM168" s="5"/>
      <c r="AN168" s="5"/>
      <c r="AO168" s="5"/>
      <c r="AP168" s="5"/>
      <c r="AQ168" s="5"/>
      <c r="AR168" s="5"/>
      <c r="AS168" s="5">
        <f t="shared" si="561"/>
        <v>98177.7</v>
      </c>
      <c r="AU168" s="11">
        <f>AU74*0.005</f>
        <v>5379.6</v>
      </c>
      <c r="AV168" s="5"/>
      <c r="AW168" s="5"/>
      <c r="AX168" s="5"/>
      <c r="AY168" s="5"/>
      <c r="AZ168" s="5"/>
      <c r="BA168" s="5"/>
      <c r="BB168" s="5">
        <f t="shared" si="562"/>
        <v>5379.6</v>
      </c>
      <c r="BD168" s="11">
        <f>BD74*0.005</f>
        <v>8248.7199999999993</v>
      </c>
      <c r="BE168" s="5"/>
      <c r="BF168" s="5"/>
      <c r="BG168" s="5"/>
      <c r="BH168" s="5"/>
      <c r="BI168" s="5"/>
      <c r="BJ168" s="5"/>
      <c r="BK168" s="5">
        <f t="shared" si="563"/>
        <v>8248.7199999999993</v>
      </c>
      <c r="BM168" s="11">
        <f>BM74*0.005</f>
        <v>0</v>
      </c>
      <c r="BN168" s="5"/>
      <c r="BO168" s="5"/>
      <c r="BP168" s="5"/>
      <c r="BQ168" s="5"/>
      <c r="BR168" s="5"/>
      <c r="BS168" s="5"/>
      <c r="BT168" s="5">
        <f t="shared" si="564"/>
        <v>0</v>
      </c>
      <c r="BV168" s="5">
        <f t="shared" si="572"/>
        <v>353170.73999999993</v>
      </c>
      <c r="BW168" s="5">
        <f t="shared" si="573"/>
        <v>0</v>
      </c>
      <c r="BX168" s="5">
        <f t="shared" si="574"/>
        <v>0</v>
      </c>
      <c r="BY168" s="5">
        <f t="shared" si="575"/>
        <v>0</v>
      </c>
      <c r="BZ168" s="5">
        <f t="shared" si="576"/>
        <v>0</v>
      </c>
      <c r="CA168" s="5">
        <f t="shared" si="577"/>
        <v>0</v>
      </c>
      <c r="CB168" s="5"/>
      <c r="CC168" s="5">
        <f t="shared" si="571"/>
        <v>353170.73999999993</v>
      </c>
    </row>
    <row r="169" spans="1:81">
      <c r="A169" s="78" t="s">
        <v>149</v>
      </c>
      <c r="B169" s="11">
        <v>0</v>
      </c>
      <c r="C169" s="5"/>
      <c r="D169" s="5"/>
      <c r="E169" s="5"/>
      <c r="F169" s="5"/>
      <c r="G169" s="5"/>
      <c r="H169" s="5"/>
      <c r="I169" s="5">
        <f t="shared" si="557"/>
        <v>0</v>
      </c>
      <c r="J169" s="80"/>
      <c r="K169" s="11">
        <v>0</v>
      </c>
      <c r="L169" s="5"/>
      <c r="M169" s="5"/>
      <c r="N169" s="5"/>
      <c r="O169" s="5"/>
      <c r="P169" s="5"/>
      <c r="Q169" s="5"/>
      <c r="R169" s="5">
        <f t="shared" si="558"/>
        <v>0</v>
      </c>
      <c r="T169" s="11">
        <v>0</v>
      </c>
      <c r="U169" s="5"/>
      <c r="V169" s="5"/>
      <c r="W169" s="5"/>
      <c r="X169" s="5"/>
      <c r="Y169" s="5"/>
      <c r="Z169" s="5"/>
      <c r="AA169" s="5">
        <f t="shared" si="559"/>
        <v>0</v>
      </c>
      <c r="AC169" s="11">
        <v>0</v>
      </c>
      <c r="AD169" s="5"/>
      <c r="AE169" s="5"/>
      <c r="AF169" s="5"/>
      <c r="AG169" s="5"/>
      <c r="AH169" s="5"/>
      <c r="AI169" s="5"/>
      <c r="AJ169" s="5">
        <f t="shared" si="560"/>
        <v>0</v>
      </c>
      <c r="AL169" s="11">
        <v>0</v>
      </c>
      <c r="AM169" s="5"/>
      <c r="AN169" s="5"/>
      <c r="AO169" s="5"/>
      <c r="AP169" s="5"/>
      <c r="AQ169" s="5"/>
      <c r="AR169" s="5"/>
      <c r="AS169" s="5">
        <f t="shared" si="561"/>
        <v>0</v>
      </c>
      <c r="AU169" s="11">
        <v>0</v>
      </c>
      <c r="AV169" s="5"/>
      <c r="AW169" s="5"/>
      <c r="AX169" s="5"/>
      <c r="AY169" s="5"/>
      <c r="AZ169" s="5"/>
      <c r="BA169" s="5"/>
      <c r="BB169" s="5">
        <f t="shared" si="562"/>
        <v>0</v>
      </c>
      <c r="BD169" s="11">
        <v>0</v>
      </c>
      <c r="BE169" s="5"/>
      <c r="BF169" s="5"/>
      <c r="BG169" s="5"/>
      <c r="BH169" s="5"/>
      <c r="BI169" s="5"/>
      <c r="BJ169" s="5"/>
      <c r="BK169" s="5">
        <f t="shared" si="563"/>
        <v>0</v>
      </c>
      <c r="BM169" s="11">
        <v>0</v>
      </c>
      <c r="BN169" s="5"/>
      <c r="BO169" s="5"/>
      <c r="BP169" s="5"/>
      <c r="BQ169" s="5"/>
      <c r="BR169" s="5"/>
      <c r="BS169" s="5"/>
      <c r="BT169" s="5">
        <f t="shared" si="564"/>
        <v>0</v>
      </c>
      <c r="BV169" s="5">
        <f t="shared" si="572"/>
        <v>0</v>
      </c>
      <c r="BW169" s="5">
        <f t="shared" si="573"/>
        <v>0</v>
      </c>
      <c r="BX169" s="5">
        <f t="shared" si="574"/>
        <v>0</v>
      </c>
      <c r="BY169" s="5">
        <f t="shared" si="575"/>
        <v>0</v>
      </c>
      <c r="BZ169" s="5">
        <f t="shared" si="576"/>
        <v>0</v>
      </c>
      <c r="CA169" s="5">
        <f t="shared" si="577"/>
        <v>0</v>
      </c>
      <c r="CB169" s="5"/>
      <c r="CC169" s="5">
        <f t="shared" si="571"/>
        <v>0</v>
      </c>
    </row>
    <row r="170" spans="1:81" ht="15">
      <c r="A170" s="70" t="s">
        <v>150</v>
      </c>
      <c r="B170" s="71">
        <f>SUM(B156:B169)</f>
        <v>758364.38</v>
      </c>
      <c r="C170" s="71">
        <f t="shared" ref="C170:H170" si="578">SUM(C156:C169)</f>
        <v>524100</v>
      </c>
      <c r="D170" s="71">
        <f t="shared" si="578"/>
        <v>500</v>
      </c>
      <c r="E170" s="71">
        <f t="shared" si="578"/>
        <v>0</v>
      </c>
      <c r="F170" s="71">
        <f t="shared" si="578"/>
        <v>0</v>
      </c>
      <c r="G170" s="71">
        <f t="shared" si="578"/>
        <v>0</v>
      </c>
      <c r="H170" s="71">
        <f t="shared" si="578"/>
        <v>0</v>
      </c>
      <c r="I170" s="71">
        <f>SUM(I156:I169)</f>
        <v>1282964.3799999999</v>
      </c>
      <c r="J170" s="7"/>
      <c r="K170" s="71">
        <f>SUM(K156:K169)</f>
        <v>884939.17</v>
      </c>
      <c r="L170" s="71">
        <f t="shared" ref="L170:Q170" si="579">SUM(L156:L169)</f>
        <v>171380</v>
      </c>
      <c r="M170" s="71">
        <f t="shared" si="579"/>
        <v>500</v>
      </c>
      <c r="N170" s="71">
        <f t="shared" si="579"/>
        <v>0</v>
      </c>
      <c r="O170" s="71">
        <f t="shared" si="579"/>
        <v>0</v>
      </c>
      <c r="P170" s="71">
        <f t="shared" si="579"/>
        <v>0</v>
      </c>
      <c r="Q170" s="71">
        <f t="shared" si="579"/>
        <v>0</v>
      </c>
      <c r="R170" s="71">
        <f>SUM(R156:R169)</f>
        <v>1056819.17</v>
      </c>
      <c r="T170" s="71">
        <f>SUM(T156:T169)</f>
        <v>982554.64999999991</v>
      </c>
      <c r="U170" s="71">
        <f t="shared" ref="U170:Z170" si="580">SUM(U156:U169)</f>
        <v>98200</v>
      </c>
      <c r="V170" s="71">
        <f t="shared" si="580"/>
        <v>500</v>
      </c>
      <c r="W170" s="71">
        <f t="shared" si="580"/>
        <v>0</v>
      </c>
      <c r="X170" s="71">
        <f t="shared" si="580"/>
        <v>0</v>
      </c>
      <c r="Y170" s="71">
        <f t="shared" si="580"/>
        <v>0</v>
      </c>
      <c r="Z170" s="71">
        <f t="shared" si="580"/>
        <v>0</v>
      </c>
      <c r="AA170" s="71">
        <f>SUM(AA156:AA169)</f>
        <v>1081254.6499999999</v>
      </c>
      <c r="AC170" s="71">
        <f>SUM(AC156:AC169)</f>
        <v>1811340.04</v>
      </c>
      <c r="AD170" s="71">
        <f t="shared" ref="AD170:AI170" si="581">SUM(AD156:AD169)</f>
        <v>330380</v>
      </c>
      <c r="AE170" s="71">
        <f t="shared" si="581"/>
        <v>1000</v>
      </c>
      <c r="AF170" s="71">
        <f t="shared" si="581"/>
        <v>0</v>
      </c>
      <c r="AG170" s="71">
        <f t="shared" si="581"/>
        <v>0</v>
      </c>
      <c r="AH170" s="71">
        <f t="shared" si="581"/>
        <v>0</v>
      </c>
      <c r="AI170" s="71">
        <f t="shared" si="581"/>
        <v>0</v>
      </c>
      <c r="AJ170" s="71">
        <f>SUM(AJ156:AJ169)</f>
        <v>2142720.04</v>
      </c>
      <c r="AL170" s="71">
        <f>SUM(AL156:AL169)</f>
        <v>1765589.65</v>
      </c>
      <c r="AM170" s="71">
        <f t="shared" ref="AM170:AR170" si="582">SUM(AM156:AM169)</f>
        <v>574900</v>
      </c>
      <c r="AN170" s="71">
        <f t="shared" si="582"/>
        <v>1000</v>
      </c>
      <c r="AO170" s="71">
        <f t="shared" si="582"/>
        <v>0</v>
      </c>
      <c r="AP170" s="71">
        <f t="shared" si="582"/>
        <v>0</v>
      </c>
      <c r="AQ170" s="71">
        <f t="shared" si="582"/>
        <v>0</v>
      </c>
      <c r="AR170" s="71">
        <f t="shared" si="582"/>
        <v>0</v>
      </c>
      <c r="AS170" s="71">
        <f>SUM(AS156:AS169)</f>
        <v>2341489.6500000004</v>
      </c>
      <c r="AU170" s="71">
        <f>SUM(AU156:AU169)</f>
        <v>357988.19999999995</v>
      </c>
      <c r="AV170" s="71">
        <f t="shared" ref="AV170:BA170" si="583">SUM(AV156:AV169)</f>
        <v>24750</v>
      </c>
      <c r="AW170" s="71">
        <f t="shared" si="583"/>
        <v>0</v>
      </c>
      <c r="AX170" s="71">
        <f t="shared" si="583"/>
        <v>0</v>
      </c>
      <c r="AY170" s="71">
        <f t="shared" si="583"/>
        <v>0</v>
      </c>
      <c r="AZ170" s="71">
        <f t="shared" si="583"/>
        <v>0</v>
      </c>
      <c r="BA170" s="71">
        <f t="shared" si="583"/>
        <v>0</v>
      </c>
      <c r="BB170" s="71">
        <f>SUM(BB156:BB169)</f>
        <v>382738.19999999995</v>
      </c>
      <c r="BD170" s="71">
        <f>SUM(BD156:BD169)</f>
        <v>153751.24</v>
      </c>
      <c r="BE170" s="71">
        <f t="shared" ref="BE170:BJ170" si="584">SUM(BE156:BE169)</f>
        <v>74350</v>
      </c>
      <c r="BF170" s="71">
        <f t="shared" si="584"/>
        <v>300</v>
      </c>
      <c r="BG170" s="71">
        <f t="shared" si="584"/>
        <v>0</v>
      </c>
      <c r="BH170" s="71">
        <f t="shared" si="584"/>
        <v>0</v>
      </c>
      <c r="BI170" s="71">
        <f t="shared" si="584"/>
        <v>0</v>
      </c>
      <c r="BJ170" s="71">
        <f t="shared" si="584"/>
        <v>0</v>
      </c>
      <c r="BK170" s="71">
        <f>SUM(BK156:BK169)</f>
        <v>228401.24</v>
      </c>
      <c r="BM170" s="71">
        <f>SUM(BM156:BM169)</f>
        <v>1750</v>
      </c>
      <c r="BN170" s="71">
        <f t="shared" ref="BN170:BS170" si="585">SUM(BN156:BN169)</f>
        <v>0</v>
      </c>
      <c r="BO170" s="71">
        <f t="shared" si="585"/>
        <v>265</v>
      </c>
      <c r="BP170" s="71">
        <f t="shared" si="585"/>
        <v>0</v>
      </c>
      <c r="BQ170" s="71">
        <f t="shared" si="585"/>
        <v>0</v>
      </c>
      <c r="BR170" s="71">
        <f t="shared" si="585"/>
        <v>0</v>
      </c>
      <c r="BS170" s="71">
        <f t="shared" si="585"/>
        <v>0</v>
      </c>
      <c r="BT170" s="71">
        <f>SUM(BT156:BT169)</f>
        <v>2015</v>
      </c>
      <c r="BV170" s="71">
        <f>SUM(BV156:BV169)</f>
        <v>6716277.3300000001</v>
      </c>
      <c r="BW170" s="71">
        <f t="shared" ref="BW170:CB170" si="586">SUM(BW156:BW169)</f>
        <v>1798060</v>
      </c>
      <c r="BX170" s="71">
        <f t="shared" si="586"/>
        <v>4065</v>
      </c>
      <c r="BY170" s="71">
        <f t="shared" si="586"/>
        <v>0</v>
      </c>
      <c r="BZ170" s="71">
        <f t="shared" si="586"/>
        <v>0</v>
      </c>
      <c r="CA170" s="71">
        <f t="shared" si="586"/>
        <v>0</v>
      </c>
      <c r="CB170" s="71">
        <f t="shared" si="586"/>
        <v>0</v>
      </c>
      <c r="CC170" s="71">
        <f>SUM(CC156:CC169)</f>
        <v>8518402.3300000001</v>
      </c>
    </row>
    <row r="171" spans="1:81" ht="15">
      <c r="A171" s="75" t="s">
        <v>151</v>
      </c>
      <c r="B171" s="18" t="str">
        <f t="shared" ref="B171:I171" si="587">B1</f>
        <v>Operating</v>
      </c>
      <c r="C171" s="18" t="str">
        <f t="shared" si="587"/>
        <v>SPED</v>
      </c>
      <c r="D171" s="18" t="str">
        <f t="shared" si="587"/>
        <v>NSLP</v>
      </c>
      <c r="E171" s="18" t="str">
        <f t="shared" si="587"/>
        <v>Other</v>
      </c>
      <c r="F171" s="18" t="str">
        <f t="shared" si="587"/>
        <v>Title I</v>
      </c>
      <c r="G171" s="18" t="str">
        <f t="shared" si="587"/>
        <v>SGF</v>
      </c>
      <c r="H171" s="18" t="str">
        <f t="shared" si="587"/>
        <v>Title III</v>
      </c>
      <c r="I171" s="18" t="str">
        <f t="shared" si="587"/>
        <v>Horizon</v>
      </c>
      <c r="J171" s="7"/>
      <c r="K171" s="18" t="str">
        <f t="shared" ref="K171:R171" si="588">K1</f>
        <v>Operating</v>
      </c>
      <c r="L171" s="18" t="str">
        <f t="shared" si="588"/>
        <v>SPED</v>
      </c>
      <c r="M171" s="18" t="str">
        <f t="shared" si="588"/>
        <v>NSLP</v>
      </c>
      <c r="N171" s="18" t="str">
        <f t="shared" si="588"/>
        <v>Other</v>
      </c>
      <c r="O171" s="18" t="str">
        <f t="shared" si="588"/>
        <v>Title I</v>
      </c>
      <c r="P171" s="18" t="str">
        <f t="shared" si="588"/>
        <v>SGF</v>
      </c>
      <c r="Q171" s="18" t="str">
        <f t="shared" si="588"/>
        <v>Title III</v>
      </c>
      <c r="R171" s="18" t="str">
        <f t="shared" si="588"/>
        <v>St. Rose</v>
      </c>
      <c r="T171" s="18" t="str">
        <f t="shared" ref="T171:AA171" si="589">T1</f>
        <v>Operating</v>
      </c>
      <c r="U171" s="18" t="str">
        <f t="shared" si="589"/>
        <v>SPED</v>
      </c>
      <c r="V171" s="18" t="str">
        <f t="shared" si="589"/>
        <v>NSLP</v>
      </c>
      <c r="W171" s="18" t="str">
        <f t="shared" si="589"/>
        <v>Other</v>
      </c>
      <c r="X171" s="18" t="str">
        <f t="shared" si="589"/>
        <v>Title I</v>
      </c>
      <c r="Y171" s="18" t="str">
        <f t="shared" si="589"/>
        <v>SGF</v>
      </c>
      <c r="Z171" s="18" t="str">
        <f t="shared" si="589"/>
        <v>Title III</v>
      </c>
      <c r="AA171" s="18" t="str">
        <f t="shared" si="589"/>
        <v>Inspirada</v>
      </c>
      <c r="AC171" s="18" t="str">
        <f t="shared" ref="AC171:AJ171" si="590">AC1</f>
        <v>Operating</v>
      </c>
      <c r="AD171" s="18" t="str">
        <f t="shared" si="590"/>
        <v>SPED</v>
      </c>
      <c r="AE171" s="18" t="str">
        <f t="shared" si="590"/>
        <v>NSLP</v>
      </c>
      <c r="AF171" s="18" t="str">
        <f t="shared" si="590"/>
        <v>Other</v>
      </c>
      <c r="AG171" s="18" t="str">
        <f t="shared" si="590"/>
        <v>Title I</v>
      </c>
      <c r="AH171" s="18" t="str">
        <f t="shared" si="590"/>
        <v>SGF</v>
      </c>
      <c r="AI171" s="18" t="str">
        <f t="shared" si="590"/>
        <v>Title III</v>
      </c>
      <c r="AJ171" s="18" t="str">
        <f t="shared" si="590"/>
        <v>Cadence</v>
      </c>
      <c r="AL171" s="18" t="str">
        <f t="shared" ref="AL171:AS171" si="591">AL1</f>
        <v>Operating</v>
      </c>
      <c r="AM171" s="18" t="str">
        <f t="shared" si="591"/>
        <v>SPED</v>
      </c>
      <c r="AN171" s="18" t="str">
        <f t="shared" si="591"/>
        <v>NSLP</v>
      </c>
      <c r="AO171" s="18" t="str">
        <f t="shared" si="591"/>
        <v>Other</v>
      </c>
      <c r="AP171" s="18" t="str">
        <f t="shared" si="591"/>
        <v>Title I</v>
      </c>
      <c r="AQ171" s="18" t="str">
        <f t="shared" si="591"/>
        <v>SGF</v>
      </c>
      <c r="AR171" s="18" t="str">
        <f t="shared" si="591"/>
        <v>Title III</v>
      </c>
      <c r="AS171" s="18" t="str">
        <f t="shared" si="591"/>
        <v>Sloan</v>
      </c>
      <c r="AU171" s="18" t="str">
        <f t="shared" ref="AU171:BB171" si="592">AU1</f>
        <v>Operating</v>
      </c>
      <c r="AV171" s="18" t="str">
        <f t="shared" si="592"/>
        <v>SPED</v>
      </c>
      <c r="AW171" s="18" t="str">
        <f t="shared" si="592"/>
        <v>NSLP</v>
      </c>
      <c r="AX171" s="18" t="str">
        <f t="shared" si="592"/>
        <v>Other</v>
      </c>
      <c r="AY171" s="18" t="str">
        <f t="shared" si="592"/>
        <v>Title I</v>
      </c>
      <c r="AZ171" s="18" t="str">
        <f t="shared" si="592"/>
        <v>SGF</v>
      </c>
      <c r="BA171" s="18" t="str">
        <f t="shared" si="592"/>
        <v>Title III</v>
      </c>
      <c r="BB171" s="18" t="str">
        <f t="shared" si="592"/>
        <v>Virtual</v>
      </c>
      <c r="BD171" s="18" t="str">
        <f t="shared" ref="BD171:BK171" si="593">BD1</f>
        <v>Operating</v>
      </c>
      <c r="BE171" s="18" t="str">
        <f t="shared" si="593"/>
        <v>SPED</v>
      </c>
      <c r="BF171" s="18" t="str">
        <f t="shared" si="593"/>
        <v>NSLP</v>
      </c>
      <c r="BG171" s="18" t="str">
        <f t="shared" si="593"/>
        <v>Other</v>
      </c>
      <c r="BH171" s="18" t="str">
        <f t="shared" si="593"/>
        <v>Title I</v>
      </c>
      <c r="BI171" s="18" t="str">
        <f t="shared" si="593"/>
        <v>SGF</v>
      </c>
      <c r="BJ171" s="18" t="str">
        <f t="shared" si="593"/>
        <v>Title III</v>
      </c>
      <c r="BK171" s="18" t="str">
        <f t="shared" si="593"/>
        <v>Springs</v>
      </c>
      <c r="BM171" s="18" t="str">
        <f t="shared" ref="BM171:BT171" si="594">BM1</f>
        <v>Operating</v>
      </c>
      <c r="BN171" s="18" t="str">
        <f t="shared" si="594"/>
        <v>SPED</v>
      </c>
      <c r="BO171" s="18" t="str">
        <f t="shared" si="594"/>
        <v>NSLP</v>
      </c>
      <c r="BP171" s="18" t="str">
        <f t="shared" si="594"/>
        <v>Other</v>
      </c>
      <c r="BQ171" s="18" t="str">
        <f t="shared" si="594"/>
        <v>Title I</v>
      </c>
      <c r="BR171" s="18" t="str">
        <f t="shared" si="594"/>
        <v>SGF</v>
      </c>
      <c r="BS171" s="18" t="str">
        <f t="shared" si="594"/>
        <v>Title III</v>
      </c>
      <c r="BT171" s="18" t="str">
        <f t="shared" si="594"/>
        <v>Exec. Office</v>
      </c>
      <c r="BV171" s="18" t="str">
        <f t="shared" ref="BV171:CC171" si="595">BV1</f>
        <v>Operating</v>
      </c>
      <c r="BW171" s="18" t="str">
        <f t="shared" si="595"/>
        <v>SPED</v>
      </c>
      <c r="BX171" s="18" t="str">
        <f t="shared" si="595"/>
        <v>NSLP</v>
      </c>
      <c r="BY171" s="18" t="str">
        <f t="shared" si="595"/>
        <v>Other</v>
      </c>
      <c r="BZ171" s="18" t="str">
        <f t="shared" si="595"/>
        <v>Title I</v>
      </c>
      <c r="CA171" s="18" t="str">
        <f t="shared" si="595"/>
        <v>SGF</v>
      </c>
      <c r="CB171" s="18" t="str">
        <f t="shared" si="595"/>
        <v>Title III</v>
      </c>
      <c r="CC171" s="18" t="str">
        <f t="shared" si="595"/>
        <v>Systemwide</v>
      </c>
    </row>
    <row r="172" spans="1:81">
      <c r="A172" s="81" t="s">
        <v>152</v>
      </c>
      <c r="B172" s="79">
        <f>(311+120)*12.5</f>
        <v>5387.5</v>
      </c>
      <c r="C172" s="5"/>
      <c r="D172" s="5"/>
      <c r="E172" s="5"/>
      <c r="F172" s="5"/>
      <c r="G172" s="5"/>
      <c r="H172" s="5"/>
      <c r="I172" s="5">
        <f t="shared" ref="I172:I196" si="596">SUM(B172:H172)</f>
        <v>5387.5</v>
      </c>
      <c r="K172" s="79">
        <f>400*12</f>
        <v>4800</v>
      </c>
      <c r="L172" s="5"/>
      <c r="M172" s="5"/>
      <c r="N172" s="5"/>
      <c r="O172" s="5"/>
      <c r="P172" s="5"/>
      <c r="Q172" s="5"/>
      <c r="R172" s="5">
        <f t="shared" ref="R172:R178" si="597">SUM(K172:Q172)</f>
        <v>4800</v>
      </c>
      <c r="T172" s="62">
        <v>5340</v>
      </c>
      <c r="U172" s="5"/>
      <c r="V172" s="5"/>
      <c r="W172" s="5"/>
      <c r="X172" s="5"/>
      <c r="Y172" s="5"/>
      <c r="Z172" s="5"/>
      <c r="AA172" s="5">
        <f t="shared" ref="AA172:AA178" si="598">SUM(T172:Z172)</f>
        <v>5340</v>
      </c>
      <c r="AC172" s="79">
        <f>750*12</f>
        <v>9000</v>
      </c>
      <c r="AD172" s="5"/>
      <c r="AE172" s="5"/>
      <c r="AF172" s="5"/>
      <c r="AG172" s="5"/>
      <c r="AH172" s="5"/>
      <c r="AI172" s="5"/>
      <c r="AJ172" s="5">
        <f t="shared" ref="AJ172:AJ178" si="599">SUM(AC172:AI172)</f>
        <v>9000</v>
      </c>
      <c r="AL172" s="79">
        <f>550*12</f>
        <v>6600</v>
      </c>
      <c r="AM172" s="5"/>
      <c r="AN172" s="5"/>
      <c r="AO172" s="5"/>
      <c r="AP172" s="5"/>
      <c r="AQ172" s="5"/>
      <c r="AR172" s="5"/>
      <c r="AS172" s="5">
        <f t="shared" ref="AS172:AS178" si="600">SUM(AL172:AR172)</f>
        <v>6600</v>
      </c>
      <c r="AU172" s="79"/>
      <c r="AV172" s="5"/>
      <c r="AW172" s="5"/>
      <c r="AX172" s="5"/>
      <c r="AY172" s="5"/>
      <c r="AZ172" s="5"/>
      <c r="BA172" s="5"/>
      <c r="BB172" s="5">
        <f t="shared" ref="BB172:BB178" si="601">SUM(AU172:BA172)</f>
        <v>0</v>
      </c>
      <c r="BD172" s="62">
        <v>4800</v>
      </c>
      <c r="BE172" s="5"/>
      <c r="BF172" s="5"/>
      <c r="BG172" s="5"/>
      <c r="BH172" s="5"/>
      <c r="BI172" s="5"/>
      <c r="BJ172" s="5"/>
      <c r="BK172" s="5">
        <f t="shared" ref="BK172:BK178" si="602">SUM(BD172:BJ172)</f>
        <v>4800</v>
      </c>
      <c r="BM172" s="79"/>
      <c r="BN172" s="5"/>
      <c r="BO172" s="5"/>
      <c r="BP172" s="5"/>
      <c r="BQ172" s="5"/>
      <c r="BR172" s="5"/>
      <c r="BS172" s="5"/>
      <c r="BT172" s="5">
        <f t="shared" ref="BT172:BT178" si="603">SUM(BM172:BS172)</f>
        <v>0</v>
      </c>
      <c r="BV172" s="5">
        <f t="shared" ref="BV172" si="604">B172+K172+T172+AC172+AL172+AU172+BD172+BM172</f>
        <v>35927.5</v>
      </c>
      <c r="BW172" s="5">
        <f t="shared" ref="BW172" si="605">C172+L172+U172+AD172+AM172+AV172+BE172+BN172</f>
        <v>0</v>
      </c>
      <c r="BX172" s="5">
        <f t="shared" ref="BX172" si="606">D172+M172+V172+AE172+AN172+AW172+BF172+BO172</f>
        <v>0</v>
      </c>
      <c r="BY172" s="5">
        <f t="shared" ref="BY172" si="607">E172+N172+W172+AF172+AO172+AX172+BG172+BP172</f>
        <v>0</v>
      </c>
      <c r="BZ172" s="5">
        <f t="shared" ref="BZ172" si="608">F172+O172+X172+AG172+AP172+AY172+BH172+BQ172</f>
        <v>0</v>
      </c>
      <c r="CA172" s="5">
        <f t="shared" ref="CA172" si="609">G172+P172+Y172+AH172+AQ172+AZ172+BI172+BR172</f>
        <v>0</v>
      </c>
      <c r="CB172" s="5"/>
      <c r="CC172" s="5">
        <f t="shared" ref="CC172:CC178" si="610">SUM(BV172:CB172)</f>
        <v>35927.5</v>
      </c>
    </row>
    <row r="173" spans="1:81">
      <c r="A173" s="29" t="s">
        <v>153</v>
      </c>
      <c r="B173" s="62">
        <f>((408+100)+500)*12.5</f>
        <v>12600</v>
      </c>
      <c r="C173" s="5"/>
      <c r="D173" s="5"/>
      <c r="E173" s="5"/>
      <c r="F173" s="5"/>
      <c r="G173" s="5"/>
      <c r="H173" s="5"/>
      <c r="I173" s="5">
        <f t="shared" si="596"/>
        <v>12600</v>
      </c>
      <c r="K173" s="79">
        <f>(850*12)+((408+100)*12)</f>
        <v>16296</v>
      </c>
      <c r="L173" s="5"/>
      <c r="M173" s="5"/>
      <c r="N173" s="5"/>
      <c r="O173" s="5"/>
      <c r="P173" s="5"/>
      <c r="Q173" s="5"/>
      <c r="R173" s="5">
        <f t="shared" si="597"/>
        <v>16296</v>
      </c>
      <c r="T173" s="62">
        <f>(2500*12)+((100+408)*12)</f>
        <v>36096</v>
      </c>
      <c r="U173" s="5"/>
      <c r="V173" s="5"/>
      <c r="W173" s="5"/>
      <c r="X173" s="5"/>
      <c r="Y173" s="5"/>
      <c r="Z173" s="5"/>
      <c r="AA173" s="5">
        <f t="shared" si="598"/>
        <v>36096</v>
      </c>
      <c r="AC173" s="62">
        <f>(2500*12)+((100+408)*12)</f>
        <v>36096</v>
      </c>
      <c r="AD173" s="5"/>
      <c r="AE173" s="5"/>
      <c r="AF173" s="5"/>
      <c r="AG173" s="5"/>
      <c r="AH173" s="5"/>
      <c r="AI173" s="5"/>
      <c r="AJ173" s="5">
        <f t="shared" si="599"/>
        <v>36096</v>
      </c>
      <c r="AL173" s="79">
        <f>(1650*12)+((408+100)*12)</f>
        <v>25896</v>
      </c>
      <c r="AM173" s="5"/>
      <c r="AN173" s="5"/>
      <c r="AO173" s="5"/>
      <c r="AP173" s="5"/>
      <c r="AQ173" s="5"/>
      <c r="AR173" s="5"/>
      <c r="AS173" s="5">
        <f t="shared" si="600"/>
        <v>25896</v>
      </c>
      <c r="AU173" s="62"/>
      <c r="AV173" s="5"/>
      <c r="AW173" s="5"/>
      <c r="AX173" s="5"/>
      <c r="AY173" s="5"/>
      <c r="AZ173" s="5"/>
      <c r="BA173" s="5"/>
      <c r="BB173" s="5">
        <f t="shared" si="601"/>
        <v>0</v>
      </c>
      <c r="BD173" s="62">
        <v>1750</v>
      </c>
      <c r="BE173" s="5"/>
      <c r="BF173" s="5"/>
      <c r="BG173" s="5"/>
      <c r="BH173" s="5"/>
      <c r="BI173" s="5"/>
      <c r="BJ173" s="5"/>
      <c r="BK173" s="5">
        <f t="shared" si="602"/>
        <v>1750</v>
      </c>
      <c r="BM173" s="62"/>
      <c r="BN173" s="5"/>
      <c r="BO173" s="5"/>
      <c r="BP173" s="5"/>
      <c r="BQ173" s="5"/>
      <c r="BR173" s="5"/>
      <c r="BS173" s="5"/>
      <c r="BT173" s="5">
        <f t="shared" si="603"/>
        <v>0</v>
      </c>
      <c r="BV173" s="5">
        <f t="shared" ref="BV173:BV196" si="611">B173+K173+T173+AC173+AL173+AU173+BD173+BM173</f>
        <v>128734</v>
      </c>
      <c r="BW173" s="5">
        <f t="shared" ref="BW173:BW196" si="612">C173+L173+U173+AD173+AM173+AV173+BE173+BN173</f>
        <v>0</v>
      </c>
      <c r="BX173" s="5">
        <f t="shared" ref="BX173:BX196" si="613">D173+M173+V173+AE173+AN173+AW173+BF173+BO173</f>
        <v>0</v>
      </c>
      <c r="BY173" s="5">
        <f t="shared" ref="BY173:BY196" si="614">E173+N173+W173+AF173+AO173+AX173+BG173+BP173</f>
        <v>0</v>
      </c>
      <c r="BZ173" s="5">
        <f t="shared" ref="BZ173:BZ196" si="615">F173+O173+X173+AG173+AP173+AY173+BH173+BQ173</f>
        <v>0</v>
      </c>
      <c r="CA173" s="5">
        <f t="shared" ref="CA173:CA196" si="616">G173+P173+Y173+AH173+AQ173+AZ173+BI173+BR173</f>
        <v>0</v>
      </c>
      <c r="CB173" s="5"/>
      <c r="CC173" s="5">
        <f t="shared" si="610"/>
        <v>128734</v>
      </c>
    </row>
    <row r="174" spans="1:81">
      <c r="A174" s="29" t="s">
        <v>154</v>
      </c>
      <c r="B174" s="79"/>
      <c r="C174" s="5"/>
      <c r="D174" s="5"/>
      <c r="E174" s="5"/>
      <c r="F174" s="5"/>
      <c r="G174" s="5"/>
      <c r="H174" s="5"/>
      <c r="I174" s="5">
        <f t="shared" si="596"/>
        <v>0</v>
      </c>
      <c r="K174" s="79"/>
      <c r="L174" s="5"/>
      <c r="M174" s="5"/>
      <c r="N174" s="5"/>
      <c r="O174" s="5"/>
      <c r="P174" s="5"/>
      <c r="Q174" s="5"/>
      <c r="R174" s="5">
        <f t="shared" si="597"/>
        <v>0</v>
      </c>
      <c r="T174" s="79"/>
      <c r="U174" s="5"/>
      <c r="V174" s="5"/>
      <c r="W174" s="5"/>
      <c r="X174" s="5"/>
      <c r="Y174" s="5"/>
      <c r="Z174" s="5"/>
      <c r="AA174" s="5">
        <f t="shared" si="598"/>
        <v>0</v>
      </c>
      <c r="AC174" s="79"/>
      <c r="AD174" s="5"/>
      <c r="AE174" s="5"/>
      <c r="AF174" s="5"/>
      <c r="AG174" s="5"/>
      <c r="AH174" s="5"/>
      <c r="AI174" s="5"/>
      <c r="AJ174" s="5">
        <f t="shared" si="599"/>
        <v>0</v>
      </c>
      <c r="AL174" s="79"/>
      <c r="AM174" s="5"/>
      <c r="AN174" s="5"/>
      <c r="AO174" s="5"/>
      <c r="AP174" s="5"/>
      <c r="AQ174" s="5"/>
      <c r="AR174" s="5"/>
      <c r="AS174" s="5">
        <f t="shared" si="600"/>
        <v>0</v>
      </c>
      <c r="AU174" s="79"/>
      <c r="AV174" s="5"/>
      <c r="AW174" s="5"/>
      <c r="AX174" s="5"/>
      <c r="AY174" s="5"/>
      <c r="AZ174" s="5"/>
      <c r="BA174" s="5"/>
      <c r="BB174" s="5">
        <f t="shared" si="601"/>
        <v>0</v>
      </c>
      <c r="BD174" s="79"/>
      <c r="BE174" s="5"/>
      <c r="BF174" s="5"/>
      <c r="BG174" s="5"/>
      <c r="BH174" s="5"/>
      <c r="BI174" s="5"/>
      <c r="BJ174" s="5"/>
      <c r="BK174" s="5">
        <f t="shared" si="602"/>
        <v>0</v>
      </c>
      <c r="BM174" s="79"/>
      <c r="BN174" s="5"/>
      <c r="BO174" s="5"/>
      <c r="BP174" s="5"/>
      <c r="BQ174" s="5"/>
      <c r="BR174" s="5"/>
      <c r="BS174" s="5"/>
      <c r="BT174" s="5">
        <f t="shared" si="603"/>
        <v>0</v>
      </c>
      <c r="BV174" s="5">
        <f t="shared" si="611"/>
        <v>0</v>
      </c>
      <c r="BW174" s="5">
        <f t="shared" si="612"/>
        <v>0</v>
      </c>
      <c r="BX174" s="5">
        <f t="shared" si="613"/>
        <v>0</v>
      </c>
      <c r="BY174" s="5">
        <f t="shared" si="614"/>
        <v>0</v>
      </c>
      <c r="BZ174" s="5">
        <f t="shared" si="615"/>
        <v>0</v>
      </c>
      <c r="CA174" s="5">
        <f t="shared" si="616"/>
        <v>0</v>
      </c>
      <c r="CB174" s="5"/>
      <c r="CC174" s="5">
        <f t="shared" si="610"/>
        <v>0</v>
      </c>
    </row>
    <row r="175" spans="1:81">
      <c r="A175" s="29" t="s">
        <v>155</v>
      </c>
      <c r="B175" s="79">
        <v>1100</v>
      </c>
      <c r="C175" s="5"/>
      <c r="D175" s="5"/>
      <c r="E175" s="5"/>
      <c r="F175" s="5"/>
      <c r="G175" s="5"/>
      <c r="H175" s="5"/>
      <c r="I175" s="5">
        <f t="shared" si="596"/>
        <v>1100</v>
      </c>
      <c r="K175" s="79">
        <v>1250</v>
      </c>
      <c r="L175" s="5"/>
      <c r="M175" s="5"/>
      <c r="N175" s="5"/>
      <c r="O175" s="5"/>
      <c r="P175" s="5"/>
      <c r="Q175" s="5"/>
      <c r="R175" s="5">
        <f t="shared" si="597"/>
        <v>1250</v>
      </c>
      <c r="T175" s="79">
        <v>1250</v>
      </c>
      <c r="U175" s="5"/>
      <c r="V175" s="5"/>
      <c r="W175" s="5"/>
      <c r="X175" s="5"/>
      <c r="Y175" s="5"/>
      <c r="Z175" s="5"/>
      <c r="AA175" s="5">
        <f t="shared" si="598"/>
        <v>1250</v>
      </c>
      <c r="AC175" s="79">
        <v>2000</v>
      </c>
      <c r="AD175" s="5"/>
      <c r="AE175" s="5"/>
      <c r="AF175" s="5"/>
      <c r="AG175" s="5"/>
      <c r="AH175" s="5"/>
      <c r="AI175" s="5"/>
      <c r="AJ175" s="5">
        <f t="shared" si="599"/>
        <v>2000</v>
      </c>
      <c r="AL175" s="79">
        <v>1250</v>
      </c>
      <c r="AM175" s="5"/>
      <c r="AN175" s="5"/>
      <c r="AO175" s="5"/>
      <c r="AP175" s="5"/>
      <c r="AQ175" s="5"/>
      <c r="AR175" s="5"/>
      <c r="AS175" s="5">
        <f t="shared" si="600"/>
        <v>1250</v>
      </c>
      <c r="AU175" s="79"/>
      <c r="AV175" s="5"/>
      <c r="AW175" s="5"/>
      <c r="AX175" s="5"/>
      <c r="AY175" s="5"/>
      <c r="AZ175" s="5"/>
      <c r="BA175" s="5"/>
      <c r="BB175" s="5">
        <f t="shared" si="601"/>
        <v>0</v>
      </c>
      <c r="BD175" s="79">
        <v>1000</v>
      </c>
      <c r="BE175" s="5"/>
      <c r="BF175" s="5"/>
      <c r="BG175" s="5"/>
      <c r="BH175" s="5"/>
      <c r="BI175" s="5"/>
      <c r="BJ175" s="5"/>
      <c r="BK175" s="5">
        <f t="shared" si="602"/>
        <v>1000</v>
      </c>
      <c r="BM175" s="79"/>
      <c r="BN175" s="5"/>
      <c r="BO175" s="5"/>
      <c r="BP175" s="5"/>
      <c r="BQ175" s="5"/>
      <c r="BR175" s="5"/>
      <c r="BS175" s="5"/>
      <c r="BT175" s="5">
        <f t="shared" si="603"/>
        <v>0</v>
      </c>
      <c r="BV175" s="5">
        <f t="shared" si="611"/>
        <v>7850</v>
      </c>
      <c r="BW175" s="5">
        <f t="shared" si="612"/>
        <v>0</v>
      </c>
      <c r="BX175" s="5">
        <f t="shared" si="613"/>
        <v>0</v>
      </c>
      <c r="BY175" s="5">
        <f t="shared" si="614"/>
        <v>0</v>
      </c>
      <c r="BZ175" s="5">
        <f t="shared" si="615"/>
        <v>0</v>
      </c>
      <c r="CA175" s="5">
        <f t="shared" si="616"/>
        <v>0</v>
      </c>
      <c r="CB175" s="5"/>
      <c r="CC175" s="5">
        <f t="shared" si="610"/>
        <v>7850</v>
      </c>
    </row>
    <row r="176" spans="1:81">
      <c r="A176" s="29" t="s">
        <v>156</v>
      </c>
      <c r="B176" s="79">
        <v>5500</v>
      </c>
      <c r="C176" s="5"/>
      <c r="D176" s="5"/>
      <c r="E176" s="5"/>
      <c r="F176" s="5"/>
      <c r="G176" s="5"/>
      <c r="H176" s="5"/>
      <c r="I176" s="5">
        <f t="shared" si="596"/>
        <v>5500</v>
      </c>
      <c r="K176" s="79">
        <v>5500</v>
      </c>
      <c r="L176" s="5"/>
      <c r="M176" s="5"/>
      <c r="N176" s="5"/>
      <c r="O176" s="5"/>
      <c r="P176" s="5"/>
      <c r="Q176" s="5"/>
      <c r="R176" s="5">
        <f t="shared" si="597"/>
        <v>5500</v>
      </c>
      <c r="T176" s="79">
        <v>5500</v>
      </c>
      <c r="U176" s="5"/>
      <c r="V176" s="5"/>
      <c r="W176" s="5"/>
      <c r="X176" s="5"/>
      <c r="Y176" s="5"/>
      <c r="Z176" s="5"/>
      <c r="AA176" s="5">
        <f t="shared" si="598"/>
        <v>5500</v>
      </c>
      <c r="AC176" s="79">
        <v>5500</v>
      </c>
      <c r="AD176" s="5"/>
      <c r="AE176" s="5"/>
      <c r="AF176" s="5"/>
      <c r="AG176" s="5"/>
      <c r="AH176" s="5"/>
      <c r="AI176" s="5"/>
      <c r="AJ176" s="5">
        <f t="shared" si="599"/>
        <v>5500</v>
      </c>
      <c r="AL176" s="79">
        <v>5500</v>
      </c>
      <c r="AM176" s="5"/>
      <c r="AN176" s="5"/>
      <c r="AO176" s="5"/>
      <c r="AP176" s="5"/>
      <c r="AQ176" s="5"/>
      <c r="AR176" s="5"/>
      <c r="AS176" s="5">
        <f t="shared" si="600"/>
        <v>5500</v>
      </c>
      <c r="AU176" s="79">
        <v>5500</v>
      </c>
      <c r="AV176" s="5"/>
      <c r="AW176" s="5"/>
      <c r="AX176" s="5"/>
      <c r="AY176" s="5"/>
      <c r="AZ176" s="5"/>
      <c r="BA176" s="5"/>
      <c r="BB176" s="5">
        <f t="shared" si="601"/>
        <v>5500</v>
      </c>
      <c r="BD176" s="79">
        <v>5500</v>
      </c>
      <c r="BE176" s="5"/>
      <c r="BF176" s="5"/>
      <c r="BG176" s="5"/>
      <c r="BH176" s="5"/>
      <c r="BI176" s="5"/>
      <c r="BJ176" s="5"/>
      <c r="BK176" s="5">
        <f t="shared" si="602"/>
        <v>5500</v>
      </c>
      <c r="BM176" s="79"/>
      <c r="BN176" s="5"/>
      <c r="BO176" s="5"/>
      <c r="BP176" s="5"/>
      <c r="BQ176" s="5"/>
      <c r="BR176" s="5"/>
      <c r="BS176" s="5"/>
      <c r="BT176" s="5">
        <f t="shared" si="603"/>
        <v>0</v>
      </c>
      <c r="BV176" s="5">
        <f t="shared" si="611"/>
        <v>38500</v>
      </c>
      <c r="BW176" s="5">
        <f t="shared" si="612"/>
        <v>0</v>
      </c>
      <c r="BX176" s="5">
        <f t="shared" si="613"/>
        <v>0</v>
      </c>
      <c r="BY176" s="5">
        <f t="shared" si="614"/>
        <v>0</v>
      </c>
      <c r="BZ176" s="5">
        <f t="shared" si="615"/>
        <v>0</v>
      </c>
      <c r="CA176" s="5">
        <f t="shared" si="616"/>
        <v>0</v>
      </c>
      <c r="CB176" s="5"/>
      <c r="CC176" s="5">
        <f t="shared" si="610"/>
        <v>38500</v>
      </c>
    </row>
    <row r="177" spans="1:81">
      <c r="A177" s="29" t="s">
        <v>157</v>
      </c>
      <c r="B177" s="62">
        <v>45000</v>
      </c>
      <c r="C177" s="5"/>
      <c r="D177" s="5"/>
      <c r="E177" s="5"/>
      <c r="F177" s="5"/>
      <c r="G177" s="5"/>
      <c r="H177" s="5"/>
      <c r="I177" s="5">
        <f t="shared" si="596"/>
        <v>45000</v>
      </c>
      <c r="K177" s="62">
        <v>45000</v>
      </c>
      <c r="L177" s="5"/>
      <c r="M177" s="5"/>
      <c r="N177" s="5"/>
      <c r="O177" s="5"/>
      <c r="P177" s="5"/>
      <c r="Q177" s="5"/>
      <c r="R177" s="5">
        <f t="shared" si="597"/>
        <v>45000</v>
      </c>
      <c r="T177" s="62">
        <v>55000</v>
      </c>
      <c r="U177" s="5"/>
      <c r="V177" s="5"/>
      <c r="W177" s="5"/>
      <c r="X177" s="5"/>
      <c r="Y177" s="5"/>
      <c r="Z177" s="5"/>
      <c r="AA177" s="5">
        <f t="shared" si="598"/>
        <v>55000</v>
      </c>
      <c r="AC177" s="62">
        <v>90000</v>
      </c>
      <c r="AD177" s="5"/>
      <c r="AE177" s="5"/>
      <c r="AF177" s="5"/>
      <c r="AG177" s="5"/>
      <c r="AH177" s="5"/>
      <c r="AI177" s="5"/>
      <c r="AJ177" s="5">
        <f t="shared" si="599"/>
        <v>90000</v>
      </c>
      <c r="AL177" s="62">
        <v>100000</v>
      </c>
      <c r="AM177" s="5"/>
      <c r="AN177" s="5"/>
      <c r="AO177" s="5"/>
      <c r="AP177" s="5"/>
      <c r="AQ177" s="5"/>
      <c r="AR177" s="5"/>
      <c r="AS177" s="5">
        <f t="shared" si="600"/>
        <v>100000</v>
      </c>
      <c r="AU177" s="62"/>
      <c r="AV177" s="5"/>
      <c r="AW177" s="5"/>
      <c r="AX177" s="5"/>
      <c r="AY177" s="5"/>
      <c r="AZ177" s="5"/>
      <c r="BA177" s="5"/>
      <c r="BB177" s="5">
        <f t="shared" si="601"/>
        <v>0</v>
      </c>
      <c r="BD177" s="62">
        <v>15500</v>
      </c>
      <c r="BE177" s="5"/>
      <c r="BF177" s="5"/>
      <c r="BG177" s="5"/>
      <c r="BH177" s="5"/>
      <c r="BI177" s="5"/>
      <c r="BJ177" s="5"/>
      <c r="BK177" s="5">
        <f t="shared" si="602"/>
        <v>15500</v>
      </c>
      <c r="BM177" s="62"/>
      <c r="BN177" s="5"/>
      <c r="BO177" s="5"/>
      <c r="BP177" s="5"/>
      <c r="BQ177" s="5"/>
      <c r="BR177" s="5"/>
      <c r="BS177" s="5"/>
      <c r="BT177" s="5">
        <f t="shared" si="603"/>
        <v>0</v>
      </c>
      <c r="BV177" s="5">
        <f t="shared" si="611"/>
        <v>350500</v>
      </c>
      <c r="BW177" s="5">
        <f t="shared" si="612"/>
        <v>0</v>
      </c>
      <c r="BX177" s="5">
        <f t="shared" si="613"/>
        <v>0</v>
      </c>
      <c r="BY177" s="5">
        <f t="shared" si="614"/>
        <v>0</v>
      </c>
      <c r="BZ177" s="5">
        <f t="shared" si="615"/>
        <v>0</v>
      </c>
      <c r="CA177" s="5">
        <f t="shared" si="616"/>
        <v>0</v>
      </c>
      <c r="CB177" s="5"/>
      <c r="CC177" s="5">
        <f t="shared" si="610"/>
        <v>350500</v>
      </c>
    </row>
    <row r="178" spans="1:81">
      <c r="A178" s="78" t="s">
        <v>158</v>
      </c>
      <c r="B178" s="62">
        <f>(2.5*B17)+1500</f>
        <v>3770</v>
      </c>
      <c r="C178" s="5"/>
      <c r="D178" s="5"/>
      <c r="E178" s="5"/>
      <c r="F178" s="5"/>
      <c r="G178" s="5"/>
      <c r="H178" s="5"/>
      <c r="I178" s="5">
        <f t="shared" si="596"/>
        <v>3770</v>
      </c>
      <c r="K178" s="62">
        <f>(2.5*K17)+1500</f>
        <v>4055</v>
      </c>
      <c r="L178" s="5"/>
      <c r="M178" s="5"/>
      <c r="N178" s="5"/>
      <c r="O178" s="5"/>
      <c r="P178" s="5"/>
      <c r="Q178" s="5"/>
      <c r="R178" s="5">
        <f t="shared" si="597"/>
        <v>4055</v>
      </c>
      <c r="T178" s="62">
        <f>(2.5*T17)+1500</f>
        <v>4475</v>
      </c>
      <c r="U178" s="5"/>
      <c r="V178" s="5"/>
      <c r="W178" s="5"/>
      <c r="X178" s="5"/>
      <c r="Y178" s="5"/>
      <c r="Z178" s="5"/>
      <c r="AA178" s="5">
        <f t="shared" si="598"/>
        <v>4475</v>
      </c>
      <c r="AC178" s="62">
        <f>(2.5*AC17)+1500</f>
        <v>7110</v>
      </c>
      <c r="AD178" s="5"/>
      <c r="AE178" s="5"/>
      <c r="AF178" s="5"/>
      <c r="AG178" s="5"/>
      <c r="AH178" s="5"/>
      <c r="AI178" s="5"/>
      <c r="AJ178" s="5">
        <f t="shared" si="599"/>
        <v>7110</v>
      </c>
      <c r="AL178" s="62">
        <f>(2.5*AL17)+1500</f>
        <v>6975</v>
      </c>
      <c r="AM178" s="5"/>
      <c r="AN178" s="5"/>
      <c r="AO178" s="5"/>
      <c r="AP178" s="5"/>
      <c r="AQ178" s="5"/>
      <c r="AR178" s="5"/>
      <c r="AS178" s="5">
        <f t="shared" si="600"/>
        <v>6975</v>
      </c>
      <c r="AU178" s="62">
        <f>(2.5*AU17)+1500</f>
        <v>1800</v>
      </c>
      <c r="AV178" s="5"/>
      <c r="AW178" s="5"/>
      <c r="AX178" s="5"/>
      <c r="AY178" s="5"/>
      <c r="AZ178" s="5"/>
      <c r="BA178" s="5"/>
      <c r="BB178" s="5">
        <f t="shared" si="601"/>
        <v>1800</v>
      </c>
      <c r="BD178" s="62">
        <f>(2.5*BD17)+1500</f>
        <v>1960</v>
      </c>
      <c r="BE178" s="5"/>
      <c r="BF178" s="5"/>
      <c r="BG178" s="5"/>
      <c r="BH178" s="5"/>
      <c r="BI178" s="5"/>
      <c r="BJ178" s="5"/>
      <c r="BK178" s="5">
        <f t="shared" si="602"/>
        <v>1960</v>
      </c>
      <c r="BM178" s="62"/>
      <c r="BN178" s="5"/>
      <c r="BO178" s="5"/>
      <c r="BP178" s="5"/>
      <c r="BQ178" s="5"/>
      <c r="BR178" s="5"/>
      <c r="BS178" s="5"/>
      <c r="BT178" s="5">
        <f t="shared" si="603"/>
        <v>0</v>
      </c>
      <c r="BV178" s="5">
        <f t="shared" si="611"/>
        <v>30145</v>
      </c>
      <c r="BW178" s="5">
        <f t="shared" si="612"/>
        <v>0</v>
      </c>
      <c r="BX178" s="5">
        <f t="shared" si="613"/>
        <v>0</v>
      </c>
      <c r="BY178" s="5">
        <f t="shared" si="614"/>
        <v>0</v>
      </c>
      <c r="BZ178" s="5">
        <f t="shared" si="615"/>
        <v>0</v>
      </c>
      <c r="CA178" s="5">
        <f t="shared" si="616"/>
        <v>0</v>
      </c>
      <c r="CB178" s="5"/>
      <c r="CC178" s="5">
        <f t="shared" si="610"/>
        <v>30145</v>
      </c>
    </row>
    <row r="179" spans="1:81">
      <c r="A179" s="81" t="s">
        <v>159</v>
      </c>
      <c r="B179" s="62"/>
      <c r="C179" s="5"/>
      <c r="D179" s="5"/>
      <c r="E179" s="5"/>
      <c r="F179" s="5"/>
      <c r="G179" s="5"/>
      <c r="H179" s="5"/>
      <c r="I179" s="5">
        <f t="shared" si="596"/>
        <v>0</v>
      </c>
      <c r="K179" s="62"/>
      <c r="L179" s="5"/>
      <c r="M179" s="5"/>
      <c r="N179" s="5"/>
      <c r="O179" s="5"/>
      <c r="P179" s="5"/>
      <c r="Q179" s="5"/>
      <c r="R179" s="5">
        <f>SUM(K179:Q179)</f>
        <v>0</v>
      </c>
      <c r="T179" s="62"/>
      <c r="U179" s="5"/>
      <c r="V179" s="5"/>
      <c r="W179" s="5"/>
      <c r="X179" s="5"/>
      <c r="Y179" s="5"/>
      <c r="Z179" s="5"/>
      <c r="AA179" s="5">
        <f>SUM(T179:Z179)</f>
        <v>0</v>
      </c>
      <c r="AC179" s="62"/>
      <c r="AD179" s="5"/>
      <c r="AE179" s="5"/>
      <c r="AF179" s="5"/>
      <c r="AG179" s="5"/>
      <c r="AH179" s="5"/>
      <c r="AI179" s="5"/>
      <c r="AJ179" s="5">
        <f>SUM(AC179:AI179)</f>
        <v>0</v>
      </c>
      <c r="AL179" s="62"/>
      <c r="AM179" s="5"/>
      <c r="AN179" s="5"/>
      <c r="AO179" s="5"/>
      <c r="AP179" s="5"/>
      <c r="AQ179" s="5"/>
      <c r="AR179" s="5"/>
      <c r="AS179" s="5">
        <f>SUM(AL179:AR179)</f>
        <v>0</v>
      </c>
      <c r="AU179" s="62"/>
      <c r="AV179" s="5"/>
      <c r="AW179" s="5"/>
      <c r="AX179" s="5"/>
      <c r="AY179" s="5"/>
      <c r="AZ179" s="5"/>
      <c r="BA179" s="5"/>
      <c r="BB179" s="5">
        <f>SUM(AU179:BA179)</f>
        <v>0</v>
      </c>
      <c r="BD179" s="62"/>
      <c r="BE179" s="5"/>
      <c r="BF179" s="5"/>
      <c r="BG179" s="5"/>
      <c r="BH179" s="5"/>
      <c r="BI179" s="5"/>
      <c r="BJ179" s="5"/>
      <c r="BK179" s="5">
        <f>SUM(BD179:BJ179)</f>
        <v>0</v>
      </c>
      <c r="BM179" s="62"/>
      <c r="BN179" s="5"/>
      <c r="BO179" s="5"/>
      <c r="BP179" s="5"/>
      <c r="BQ179" s="5"/>
      <c r="BR179" s="5"/>
      <c r="BS179" s="5"/>
      <c r="BT179" s="5">
        <f>SUM(BM179:BS179)</f>
        <v>0</v>
      </c>
      <c r="BV179" s="5">
        <f t="shared" si="611"/>
        <v>0</v>
      </c>
      <c r="BW179" s="5">
        <f t="shared" si="612"/>
        <v>0</v>
      </c>
      <c r="BX179" s="5">
        <f t="shared" si="613"/>
        <v>0</v>
      </c>
      <c r="BY179" s="5">
        <f t="shared" si="614"/>
        <v>0</v>
      </c>
      <c r="BZ179" s="5">
        <f t="shared" si="615"/>
        <v>0</v>
      </c>
      <c r="CA179" s="5">
        <f t="shared" si="616"/>
        <v>0</v>
      </c>
      <c r="CB179" s="5"/>
      <c r="CC179" s="5">
        <f>SUM(BV179:CB179)</f>
        <v>0</v>
      </c>
    </row>
    <row r="180" spans="1:81">
      <c r="A180" s="29" t="s">
        <v>160</v>
      </c>
      <c r="B180" s="79"/>
      <c r="C180" s="5"/>
      <c r="D180" s="5"/>
      <c r="E180" s="5"/>
      <c r="F180" s="5"/>
      <c r="G180" s="5"/>
      <c r="H180" s="5"/>
      <c r="I180" s="5">
        <f t="shared" si="596"/>
        <v>0</v>
      </c>
      <c r="K180" s="79"/>
      <c r="L180" s="5"/>
      <c r="M180" s="5"/>
      <c r="N180" s="5"/>
      <c r="O180" s="5"/>
      <c r="P180" s="5"/>
      <c r="Q180" s="5"/>
      <c r="R180" s="5">
        <f>SUM(K180:Q180)</f>
        <v>0</v>
      </c>
      <c r="T180" s="79"/>
      <c r="U180" s="5"/>
      <c r="V180" s="5"/>
      <c r="W180" s="5"/>
      <c r="X180" s="5"/>
      <c r="Y180" s="5"/>
      <c r="Z180" s="5"/>
      <c r="AA180" s="5">
        <f>SUM(T180:Z180)</f>
        <v>0</v>
      </c>
      <c r="AC180" s="79"/>
      <c r="AD180" s="5"/>
      <c r="AE180" s="5"/>
      <c r="AF180" s="5"/>
      <c r="AG180" s="5"/>
      <c r="AH180" s="5"/>
      <c r="AI180" s="5"/>
      <c r="AJ180" s="5">
        <f>SUM(AC180:AI180)</f>
        <v>0</v>
      </c>
      <c r="AL180" s="79"/>
      <c r="AM180" s="5"/>
      <c r="AN180" s="5"/>
      <c r="AO180" s="5"/>
      <c r="AP180" s="5"/>
      <c r="AQ180" s="5"/>
      <c r="AR180" s="5"/>
      <c r="AS180" s="5">
        <f>SUM(AL180:AR180)</f>
        <v>0</v>
      </c>
      <c r="AU180" s="79"/>
      <c r="AV180" s="5"/>
      <c r="AW180" s="5"/>
      <c r="AX180" s="5"/>
      <c r="AY180" s="5"/>
      <c r="AZ180" s="5"/>
      <c r="BA180" s="5"/>
      <c r="BB180" s="5">
        <f>SUM(AU180:BA180)</f>
        <v>0</v>
      </c>
      <c r="BD180" s="62"/>
      <c r="BE180" s="5"/>
      <c r="BF180" s="5"/>
      <c r="BG180" s="5"/>
      <c r="BH180" s="5"/>
      <c r="BI180" s="5"/>
      <c r="BJ180" s="5"/>
      <c r="BK180" s="5">
        <f>SUM(BD180:BJ180)</f>
        <v>0</v>
      </c>
      <c r="BM180" s="79"/>
      <c r="BN180" s="5"/>
      <c r="BO180" s="5"/>
      <c r="BP180" s="5"/>
      <c r="BQ180" s="5"/>
      <c r="BR180" s="5"/>
      <c r="BS180" s="5"/>
      <c r="BT180" s="5">
        <f>SUM(BM180:BS180)</f>
        <v>0</v>
      </c>
      <c r="BV180" s="5">
        <f t="shared" si="611"/>
        <v>0</v>
      </c>
      <c r="BW180" s="5">
        <f t="shared" si="612"/>
        <v>0</v>
      </c>
      <c r="BX180" s="5">
        <f t="shared" si="613"/>
        <v>0</v>
      </c>
      <c r="BY180" s="5">
        <f t="shared" si="614"/>
        <v>0</v>
      </c>
      <c r="BZ180" s="5">
        <f t="shared" si="615"/>
        <v>0</v>
      </c>
      <c r="CA180" s="5">
        <f t="shared" si="616"/>
        <v>0</v>
      </c>
      <c r="CB180" s="5"/>
      <c r="CC180" s="5">
        <f>SUM(BV180:CB180)</f>
        <v>0</v>
      </c>
    </row>
    <row r="181" spans="1:81">
      <c r="A181" s="78" t="s">
        <v>161</v>
      </c>
      <c r="B181" s="79">
        <v>48150</v>
      </c>
      <c r="C181" s="5"/>
      <c r="D181" s="5"/>
      <c r="E181" s="5"/>
      <c r="F181" s="5"/>
      <c r="G181" s="5"/>
      <c r="H181" s="5"/>
      <c r="I181" s="5">
        <f t="shared" si="596"/>
        <v>48150</v>
      </c>
      <c r="K181" s="79">
        <v>54550</v>
      </c>
      <c r="L181" s="5"/>
      <c r="M181" s="5"/>
      <c r="N181" s="5"/>
      <c r="O181" s="5"/>
      <c r="P181" s="5"/>
      <c r="Q181" s="5"/>
      <c r="R181" s="5">
        <f>SUM(K181:Q181)</f>
        <v>54550</v>
      </c>
      <c r="T181" s="79">
        <v>63300</v>
      </c>
      <c r="U181" s="5"/>
      <c r="V181" s="5"/>
      <c r="W181" s="5"/>
      <c r="X181" s="5"/>
      <c r="Y181" s="5"/>
      <c r="Z181" s="5"/>
      <c r="AA181" s="5">
        <f>SUM(T181:Z181)</f>
        <v>63300</v>
      </c>
      <c r="AC181" s="79">
        <v>122625</v>
      </c>
      <c r="AD181" s="5"/>
      <c r="AE181" s="5"/>
      <c r="AF181" s="5"/>
      <c r="AG181" s="5"/>
      <c r="AH181" s="5"/>
      <c r="AI181" s="5"/>
      <c r="AJ181" s="5">
        <f>SUM(AC181:AI181)</f>
        <v>122625</v>
      </c>
      <c r="AL181" s="79">
        <v>115625</v>
      </c>
      <c r="AM181" s="5"/>
      <c r="AN181" s="5"/>
      <c r="AO181" s="5"/>
      <c r="AP181" s="5"/>
      <c r="AQ181" s="5"/>
      <c r="AR181" s="5"/>
      <c r="AS181" s="5">
        <f>SUM(AL181:AR181)</f>
        <v>115625</v>
      </c>
      <c r="AU181" s="79">
        <v>7950</v>
      </c>
      <c r="AV181" s="5"/>
      <c r="AW181" s="5"/>
      <c r="AX181" s="5"/>
      <c r="AY181" s="5"/>
      <c r="AZ181" s="5"/>
      <c r="BA181" s="5"/>
      <c r="BB181" s="5">
        <f>SUM(AU181:BA181)</f>
        <v>7950</v>
      </c>
      <c r="BD181" s="100">
        <v>9190</v>
      </c>
      <c r="BE181" s="5"/>
      <c r="BF181" s="5"/>
      <c r="BG181" s="5"/>
      <c r="BH181" s="5"/>
      <c r="BI181" s="5"/>
      <c r="BJ181" s="5"/>
      <c r="BK181" s="5">
        <f>SUM(BD181:BJ181)</f>
        <v>9190</v>
      </c>
      <c r="BM181" s="79"/>
      <c r="BN181" s="5"/>
      <c r="BO181" s="5"/>
      <c r="BP181" s="5"/>
      <c r="BQ181" s="5"/>
      <c r="BR181" s="5"/>
      <c r="BS181" s="5"/>
      <c r="BT181" s="5">
        <f>SUM(BM181:BS181)</f>
        <v>0</v>
      </c>
      <c r="BV181" s="5">
        <f t="shared" si="611"/>
        <v>421390</v>
      </c>
      <c r="BW181" s="5">
        <f t="shared" si="612"/>
        <v>0</v>
      </c>
      <c r="BX181" s="5">
        <f t="shared" si="613"/>
        <v>0</v>
      </c>
      <c r="BY181" s="5">
        <f t="shared" si="614"/>
        <v>0</v>
      </c>
      <c r="BZ181" s="5">
        <f t="shared" si="615"/>
        <v>0</v>
      </c>
      <c r="CA181" s="5">
        <f t="shared" si="616"/>
        <v>0</v>
      </c>
      <c r="CB181" s="5"/>
      <c r="CC181" s="5">
        <f>SUM(BV181:CB181)</f>
        <v>421390</v>
      </c>
    </row>
    <row r="182" spans="1:81">
      <c r="A182" s="81" t="s">
        <v>162</v>
      </c>
      <c r="B182" s="5"/>
      <c r="C182" s="5"/>
      <c r="D182" s="5"/>
      <c r="E182" s="5"/>
      <c r="F182" s="5"/>
      <c r="G182" s="5"/>
      <c r="H182" s="5"/>
      <c r="I182" s="5">
        <f t="shared" si="596"/>
        <v>0</v>
      </c>
      <c r="J182" s="82"/>
      <c r="K182" s="5"/>
      <c r="L182" s="5"/>
      <c r="M182" s="5">
        <v>0</v>
      </c>
      <c r="N182" s="5"/>
      <c r="O182" s="5"/>
      <c r="P182" s="5"/>
      <c r="Q182" s="5"/>
      <c r="R182" s="5">
        <f t="shared" ref="R182:R190" si="617">SUM(K182:Q182)</f>
        <v>0</v>
      </c>
      <c r="T182" s="5"/>
      <c r="U182" s="5"/>
      <c r="V182" s="5"/>
      <c r="W182" s="5"/>
      <c r="X182" s="5"/>
      <c r="Y182" s="5"/>
      <c r="Z182" s="5"/>
      <c r="AA182" s="5">
        <f t="shared" ref="AA182:AA190" si="618">SUM(T182:Z182)</f>
        <v>0</v>
      </c>
      <c r="AC182" s="5"/>
      <c r="AD182" s="5"/>
      <c r="AE182" s="5"/>
      <c r="AF182" s="5"/>
      <c r="AG182" s="5"/>
      <c r="AH182" s="5"/>
      <c r="AI182" s="5"/>
      <c r="AJ182" s="5">
        <f t="shared" ref="AJ182:AJ190" si="619">SUM(AC182:AI182)</f>
        <v>0</v>
      </c>
      <c r="AL182" s="5"/>
      <c r="AM182" s="5"/>
      <c r="AN182" s="5"/>
      <c r="AO182" s="5"/>
      <c r="AP182" s="5"/>
      <c r="AQ182" s="5"/>
      <c r="AR182" s="5"/>
      <c r="AS182" s="5">
        <f t="shared" ref="AS182:AS190" si="620">SUM(AL182:AR182)</f>
        <v>0</v>
      </c>
      <c r="AU182" s="5"/>
      <c r="AV182" s="5"/>
      <c r="AW182" s="5"/>
      <c r="AX182" s="5"/>
      <c r="AY182" s="5"/>
      <c r="AZ182" s="5"/>
      <c r="BA182" s="5"/>
      <c r="BB182" s="5">
        <f t="shared" ref="BB182:BB190" si="621">SUM(AU182:BA182)</f>
        <v>0</v>
      </c>
      <c r="BD182" s="5"/>
      <c r="BE182" s="5"/>
      <c r="BF182" s="5">
        <f>((BD17*0.94)*2.3*180)</f>
        <v>71605.439999999988</v>
      </c>
      <c r="BG182" s="5"/>
      <c r="BH182" s="5"/>
      <c r="BI182" s="5"/>
      <c r="BJ182" s="5"/>
      <c r="BK182" s="5">
        <f t="shared" ref="BK182:BK190" si="622">SUM(BD182:BJ182)</f>
        <v>71605.439999999988</v>
      </c>
      <c r="BM182" s="5"/>
      <c r="BN182" s="5"/>
      <c r="BO182" s="5"/>
      <c r="BP182" s="5"/>
      <c r="BQ182" s="5"/>
      <c r="BR182" s="5"/>
      <c r="BS182" s="5"/>
      <c r="BT182" s="5">
        <f t="shared" ref="BT182:BT190" si="623">SUM(BM182:BS182)</f>
        <v>0</v>
      </c>
      <c r="BV182" s="5">
        <f t="shared" si="611"/>
        <v>0</v>
      </c>
      <c r="BW182" s="5">
        <f t="shared" si="612"/>
        <v>0</v>
      </c>
      <c r="BX182" s="5">
        <f t="shared" si="613"/>
        <v>71605.439999999988</v>
      </c>
      <c r="BY182" s="5">
        <f t="shared" si="614"/>
        <v>0</v>
      </c>
      <c r="BZ182" s="5">
        <f t="shared" si="615"/>
        <v>0</v>
      </c>
      <c r="CA182" s="5">
        <f t="shared" si="616"/>
        <v>0</v>
      </c>
      <c r="CB182" s="5"/>
      <c r="CC182" s="5">
        <f t="shared" ref="CC182:CC190" si="624">SUM(BV182:CB182)</f>
        <v>71605.439999999988</v>
      </c>
    </row>
    <row r="183" spans="1:81">
      <c r="A183" s="29" t="s">
        <v>163</v>
      </c>
      <c r="B183" s="5"/>
      <c r="C183" s="5"/>
      <c r="D183" s="5">
        <f>((B17*0.6)*3.75*180)</f>
        <v>367739.99999999994</v>
      </c>
      <c r="E183" s="5"/>
      <c r="F183" s="5"/>
      <c r="G183" s="5"/>
      <c r="H183" s="5"/>
      <c r="I183" s="5">
        <f t="shared" si="596"/>
        <v>367739.99999999994</v>
      </c>
      <c r="J183" s="82"/>
      <c r="K183" s="5"/>
      <c r="L183" s="5"/>
      <c r="M183" s="5">
        <f>((K17*0.605)*3.75*180)</f>
        <v>417359.25</v>
      </c>
      <c r="N183" s="5"/>
      <c r="O183" s="5"/>
      <c r="P183" s="5"/>
      <c r="Q183" s="5"/>
      <c r="R183" s="5">
        <f t="shared" si="617"/>
        <v>417359.25</v>
      </c>
      <c r="T183" s="5"/>
      <c r="U183" s="5"/>
      <c r="V183" s="5">
        <f>((T17*0.405)*3.75*180)</f>
        <v>325316.25000000006</v>
      </c>
      <c r="W183" s="5"/>
      <c r="X183" s="5"/>
      <c r="Y183" s="5"/>
      <c r="Z183" s="5"/>
      <c r="AA183" s="5">
        <f t="shared" si="618"/>
        <v>325316.25000000006</v>
      </c>
      <c r="AC183" s="5"/>
      <c r="AD183" s="5"/>
      <c r="AE183" s="5">
        <f>((AC17*0.6)*3.75*180)</f>
        <v>908819.99999999988</v>
      </c>
      <c r="AF183" s="5"/>
      <c r="AG183" s="5"/>
      <c r="AH183" s="5"/>
      <c r="AI183" s="5"/>
      <c r="AJ183" s="5">
        <f t="shared" si="619"/>
        <v>908819.99999999988</v>
      </c>
      <c r="AL183" s="5"/>
      <c r="AM183" s="5"/>
      <c r="AN183" s="5">
        <f>((AL17*0.405)*3.75*180)</f>
        <v>598691.25</v>
      </c>
      <c r="AO183" s="5"/>
      <c r="AP183" s="5"/>
      <c r="AQ183" s="5"/>
      <c r="AR183" s="5"/>
      <c r="AS183" s="5">
        <f t="shared" si="620"/>
        <v>598691.25</v>
      </c>
      <c r="AU183" s="5"/>
      <c r="AV183" s="5"/>
      <c r="AW183" s="5">
        <f>((AU17*0.25)*3.75*180)</f>
        <v>20250</v>
      </c>
      <c r="AX183" s="5"/>
      <c r="AY183" s="5"/>
      <c r="AZ183" s="5"/>
      <c r="BA183" s="5"/>
      <c r="BB183" s="5">
        <f t="shared" si="621"/>
        <v>20250</v>
      </c>
      <c r="BD183" s="5"/>
      <c r="BE183" s="5"/>
      <c r="BF183" s="5">
        <f>((BD17*0.97)*3.75*180)</f>
        <v>120473.99999999999</v>
      </c>
      <c r="BG183" s="5"/>
      <c r="BH183" s="5"/>
      <c r="BI183" s="5"/>
      <c r="BJ183" s="5"/>
      <c r="BK183" s="5">
        <f t="shared" si="622"/>
        <v>120473.99999999999</v>
      </c>
      <c r="BM183" s="5"/>
      <c r="BN183" s="5"/>
      <c r="BO183" s="5">
        <f>((BM17*0.25)*3.75*180)</f>
        <v>0</v>
      </c>
      <c r="BP183" s="5"/>
      <c r="BQ183" s="5"/>
      <c r="BR183" s="5"/>
      <c r="BS183" s="5"/>
      <c r="BT183" s="5">
        <f t="shared" si="623"/>
        <v>0</v>
      </c>
      <c r="BV183" s="5">
        <f t="shared" si="611"/>
        <v>0</v>
      </c>
      <c r="BW183" s="5">
        <f t="shared" si="612"/>
        <v>0</v>
      </c>
      <c r="BX183" s="5">
        <f t="shared" si="613"/>
        <v>2758650.75</v>
      </c>
      <c r="BY183" s="5">
        <f t="shared" si="614"/>
        <v>0</v>
      </c>
      <c r="BZ183" s="5">
        <f t="shared" si="615"/>
        <v>0</v>
      </c>
      <c r="CA183" s="5">
        <f t="shared" si="616"/>
        <v>0</v>
      </c>
      <c r="CB183" s="5"/>
      <c r="CC183" s="5">
        <f t="shared" si="624"/>
        <v>2758650.75</v>
      </c>
    </row>
    <row r="184" spans="1:81">
      <c r="A184" s="29" t="s">
        <v>164</v>
      </c>
      <c r="B184" s="5">
        <v>7500</v>
      </c>
      <c r="C184" s="5"/>
      <c r="D184" s="5"/>
      <c r="E184" s="5"/>
      <c r="F184" s="5"/>
      <c r="G184" s="5"/>
      <c r="H184" s="5"/>
      <c r="I184" s="5">
        <f t="shared" si="596"/>
        <v>7500</v>
      </c>
      <c r="K184" s="5">
        <v>7500</v>
      </c>
      <c r="L184" s="5"/>
      <c r="M184" s="5"/>
      <c r="N184" s="5"/>
      <c r="O184" s="5"/>
      <c r="P184" s="5"/>
      <c r="Q184" s="5"/>
      <c r="R184" s="5">
        <f t="shared" si="617"/>
        <v>7500</v>
      </c>
      <c r="T184" s="5">
        <v>7500</v>
      </c>
      <c r="U184" s="5"/>
      <c r="V184" s="5"/>
      <c r="W184" s="5"/>
      <c r="X184" s="5"/>
      <c r="Y184" s="5"/>
      <c r="Z184" s="5"/>
      <c r="AA184" s="5">
        <f t="shared" si="618"/>
        <v>7500</v>
      </c>
      <c r="AC184" s="5">
        <v>10000</v>
      </c>
      <c r="AD184" s="5"/>
      <c r="AE184" s="5"/>
      <c r="AF184" s="5"/>
      <c r="AG184" s="5"/>
      <c r="AH184" s="5"/>
      <c r="AI184" s="5"/>
      <c r="AJ184" s="5">
        <f t="shared" si="619"/>
        <v>10000</v>
      </c>
      <c r="AL184" s="5">
        <v>7500</v>
      </c>
      <c r="AM184" s="5"/>
      <c r="AN184" s="5"/>
      <c r="AO184" s="5"/>
      <c r="AP184" s="5"/>
      <c r="AQ184" s="5"/>
      <c r="AR184" s="5"/>
      <c r="AS184" s="5">
        <f t="shared" si="620"/>
        <v>7500</v>
      </c>
      <c r="AU184" s="5">
        <v>15000</v>
      </c>
      <c r="AV184" s="5"/>
      <c r="AW184" s="5"/>
      <c r="AX184" s="5"/>
      <c r="AY184" s="5"/>
      <c r="AZ184" s="5"/>
      <c r="BA184" s="5"/>
      <c r="BB184" s="5">
        <f t="shared" si="621"/>
        <v>15000</v>
      </c>
      <c r="BD184" s="5">
        <v>5000</v>
      </c>
      <c r="BE184" s="5"/>
      <c r="BF184" s="5">
        <v>0</v>
      </c>
      <c r="BG184" s="5"/>
      <c r="BH184" s="5"/>
      <c r="BI184" s="5"/>
      <c r="BJ184" s="5"/>
      <c r="BK184" s="5">
        <f t="shared" si="622"/>
        <v>5000</v>
      </c>
      <c r="BM184" s="5"/>
      <c r="BN184" s="5"/>
      <c r="BO184" s="5"/>
      <c r="BP184" s="5"/>
      <c r="BQ184" s="5"/>
      <c r="BR184" s="5"/>
      <c r="BS184" s="5"/>
      <c r="BT184" s="5">
        <f t="shared" si="623"/>
        <v>0</v>
      </c>
      <c r="BV184" s="5">
        <f t="shared" si="611"/>
        <v>60000</v>
      </c>
      <c r="BW184" s="5">
        <f t="shared" si="612"/>
        <v>0</v>
      </c>
      <c r="BX184" s="5">
        <f t="shared" si="613"/>
        <v>0</v>
      </c>
      <c r="BY184" s="5">
        <f t="shared" si="614"/>
        <v>0</v>
      </c>
      <c r="BZ184" s="5">
        <f t="shared" si="615"/>
        <v>0</v>
      </c>
      <c r="CA184" s="5">
        <f t="shared" si="616"/>
        <v>0</v>
      </c>
      <c r="CB184" s="5"/>
      <c r="CC184" s="5">
        <f t="shared" si="624"/>
        <v>60000</v>
      </c>
    </row>
    <row r="185" spans="1:81">
      <c r="A185" s="29" t="s">
        <v>165</v>
      </c>
      <c r="B185" s="5">
        <v>1200</v>
      </c>
      <c r="C185" s="5"/>
      <c r="D185" s="5"/>
      <c r="E185" s="5"/>
      <c r="F185" s="5"/>
      <c r="G185" s="5"/>
      <c r="H185" s="5"/>
      <c r="I185" s="5">
        <f t="shared" si="596"/>
        <v>1200</v>
      </c>
      <c r="K185" s="5">
        <v>1500</v>
      </c>
      <c r="L185" s="5"/>
      <c r="M185" s="5"/>
      <c r="N185" s="5"/>
      <c r="O185" s="5"/>
      <c r="P185" s="5"/>
      <c r="Q185" s="5"/>
      <c r="R185" s="5">
        <f t="shared" si="617"/>
        <v>1500</v>
      </c>
      <c r="T185" s="5">
        <v>2000</v>
      </c>
      <c r="U185" s="5"/>
      <c r="V185" s="5"/>
      <c r="W185" s="5"/>
      <c r="X185" s="5"/>
      <c r="Y185" s="5"/>
      <c r="Z185" s="5"/>
      <c r="AA185" s="5">
        <f t="shared" si="618"/>
        <v>2000</v>
      </c>
      <c r="AC185" s="5">
        <v>2000</v>
      </c>
      <c r="AD185" s="5"/>
      <c r="AE185" s="5"/>
      <c r="AF185" s="5"/>
      <c r="AG185" s="5"/>
      <c r="AH185" s="5"/>
      <c r="AI185" s="5"/>
      <c r="AJ185" s="5">
        <f t="shared" si="619"/>
        <v>2000</v>
      </c>
      <c r="AL185" s="5">
        <v>2500</v>
      </c>
      <c r="AM185" s="5"/>
      <c r="AN185" s="5"/>
      <c r="AO185" s="5"/>
      <c r="AP185" s="5"/>
      <c r="AQ185" s="5"/>
      <c r="AR185" s="5"/>
      <c r="AS185" s="5">
        <f t="shared" si="620"/>
        <v>2500</v>
      </c>
      <c r="AU185" s="5">
        <v>800</v>
      </c>
      <c r="AV185" s="5"/>
      <c r="AW185" s="5"/>
      <c r="AX185" s="5"/>
      <c r="AY185" s="5"/>
      <c r="AZ185" s="5"/>
      <c r="BA185" s="5"/>
      <c r="BB185" s="5">
        <f t="shared" si="621"/>
        <v>800</v>
      </c>
      <c r="BD185" s="5">
        <v>800</v>
      </c>
      <c r="BE185" s="5"/>
      <c r="BF185" s="5"/>
      <c r="BG185" s="5"/>
      <c r="BH185" s="5"/>
      <c r="BI185" s="5"/>
      <c r="BJ185" s="5"/>
      <c r="BK185" s="5">
        <f t="shared" si="622"/>
        <v>800</v>
      </c>
      <c r="BM185" s="5">
        <v>2000</v>
      </c>
      <c r="BN185" s="5"/>
      <c r="BO185" s="5"/>
      <c r="BP185" s="5"/>
      <c r="BQ185" s="5"/>
      <c r="BR185" s="5"/>
      <c r="BS185" s="5"/>
      <c r="BT185" s="5">
        <f t="shared" si="623"/>
        <v>2000</v>
      </c>
      <c r="BV185" s="5">
        <f t="shared" si="611"/>
        <v>12800</v>
      </c>
      <c r="BW185" s="5">
        <f t="shared" si="612"/>
        <v>0</v>
      </c>
      <c r="BX185" s="5">
        <f t="shared" si="613"/>
        <v>0</v>
      </c>
      <c r="BY185" s="5">
        <f t="shared" si="614"/>
        <v>0</v>
      </c>
      <c r="BZ185" s="5">
        <f t="shared" si="615"/>
        <v>0</v>
      </c>
      <c r="CA185" s="5">
        <f t="shared" si="616"/>
        <v>0</v>
      </c>
      <c r="CB185" s="5"/>
      <c r="CC185" s="5">
        <f t="shared" si="624"/>
        <v>12800</v>
      </c>
    </row>
    <row r="186" spans="1:81">
      <c r="A186" s="29" t="s">
        <v>166</v>
      </c>
      <c r="B186" s="5">
        <v>1500</v>
      </c>
      <c r="C186" s="5">
        <v>0</v>
      </c>
      <c r="D186" s="5">
        <v>0</v>
      </c>
      <c r="E186" s="5"/>
      <c r="F186" s="5">
        <v>0</v>
      </c>
      <c r="G186" s="5">
        <v>0</v>
      </c>
      <c r="H186" s="5">
        <v>0</v>
      </c>
      <c r="I186" s="5">
        <f t="shared" si="596"/>
        <v>1500</v>
      </c>
      <c r="K186" s="5">
        <v>1250</v>
      </c>
      <c r="L186" s="5">
        <v>0</v>
      </c>
      <c r="M186" s="5">
        <v>0</v>
      </c>
      <c r="N186" s="5"/>
      <c r="O186" s="5">
        <v>0</v>
      </c>
      <c r="P186" s="5">
        <v>0</v>
      </c>
      <c r="Q186" s="5">
        <v>0</v>
      </c>
      <c r="R186" s="5">
        <f t="shared" si="617"/>
        <v>1250</v>
      </c>
      <c r="T186" s="5">
        <v>1500</v>
      </c>
      <c r="U186" s="5"/>
      <c r="V186" s="5"/>
      <c r="W186" s="5"/>
      <c r="X186" s="5">
        <v>0</v>
      </c>
      <c r="Y186" s="5">
        <v>0</v>
      </c>
      <c r="Z186" s="5">
        <v>0</v>
      </c>
      <c r="AA186" s="5">
        <f t="shared" si="618"/>
        <v>1500</v>
      </c>
      <c r="AC186" s="5">
        <v>5000</v>
      </c>
      <c r="AD186" s="5">
        <v>0</v>
      </c>
      <c r="AE186" s="5">
        <v>0</v>
      </c>
      <c r="AF186" s="5"/>
      <c r="AG186" s="5">
        <v>0</v>
      </c>
      <c r="AH186" s="5">
        <v>0</v>
      </c>
      <c r="AI186" s="5">
        <v>0</v>
      </c>
      <c r="AJ186" s="5">
        <f t="shared" si="619"/>
        <v>5000</v>
      </c>
      <c r="AL186" s="5">
        <v>2500</v>
      </c>
      <c r="AM186" s="5">
        <v>0</v>
      </c>
      <c r="AN186" s="5">
        <v>0</v>
      </c>
      <c r="AO186" s="5"/>
      <c r="AP186" s="5">
        <v>0</v>
      </c>
      <c r="AQ186" s="5">
        <v>0</v>
      </c>
      <c r="AR186" s="5">
        <v>0</v>
      </c>
      <c r="AS186" s="5">
        <f t="shared" si="620"/>
        <v>2500</v>
      </c>
      <c r="AU186" s="5">
        <v>500</v>
      </c>
      <c r="AV186" s="5">
        <v>0</v>
      </c>
      <c r="AW186" s="5">
        <v>0</v>
      </c>
      <c r="AX186" s="5"/>
      <c r="AY186" s="5">
        <v>0</v>
      </c>
      <c r="AZ186" s="5">
        <v>0</v>
      </c>
      <c r="BA186" s="5">
        <v>0</v>
      </c>
      <c r="BB186" s="5">
        <f t="shared" si="621"/>
        <v>500</v>
      </c>
      <c r="BD186" s="5">
        <v>800</v>
      </c>
      <c r="BE186" s="5">
        <v>0</v>
      </c>
      <c r="BF186" s="5">
        <v>0</v>
      </c>
      <c r="BG186" s="5"/>
      <c r="BH186" s="5">
        <v>0</v>
      </c>
      <c r="BI186" s="5">
        <v>0</v>
      </c>
      <c r="BJ186" s="5">
        <v>0</v>
      </c>
      <c r="BK186" s="5">
        <f t="shared" si="622"/>
        <v>800</v>
      </c>
      <c r="BM186" s="5"/>
      <c r="BN186" s="5">
        <v>0</v>
      </c>
      <c r="BO186" s="5">
        <v>0</v>
      </c>
      <c r="BP186" s="5"/>
      <c r="BQ186" s="5">
        <v>0</v>
      </c>
      <c r="BR186" s="5">
        <v>0</v>
      </c>
      <c r="BS186" s="5">
        <v>0</v>
      </c>
      <c r="BT186" s="5">
        <f t="shared" si="623"/>
        <v>0</v>
      </c>
      <c r="BV186" s="5">
        <f t="shared" si="611"/>
        <v>13050</v>
      </c>
      <c r="BW186" s="5">
        <f t="shared" si="612"/>
        <v>0</v>
      </c>
      <c r="BX186" s="5">
        <f t="shared" si="613"/>
        <v>0</v>
      </c>
      <c r="BY186" s="5">
        <f t="shared" si="614"/>
        <v>0</v>
      </c>
      <c r="BZ186" s="5">
        <f t="shared" si="615"/>
        <v>0</v>
      </c>
      <c r="CA186" s="5">
        <f t="shared" si="616"/>
        <v>0</v>
      </c>
      <c r="CB186" s="5">
        <v>0</v>
      </c>
      <c r="CC186" s="5">
        <f t="shared" si="624"/>
        <v>13050</v>
      </c>
    </row>
    <row r="187" spans="1:81">
      <c r="A187" s="29" t="s">
        <v>167</v>
      </c>
      <c r="B187" s="11">
        <f>(5*B17)+2000+3000+2000+2000</f>
        <v>13540</v>
      </c>
      <c r="C187" s="5"/>
      <c r="D187" s="5"/>
      <c r="E187" s="5"/>
      <c r="F187" s="5"/>
      <c r="G187" s="5"/>
      <c r="H187" s="5"/>
      <c r="I187" s="5">
        <f t="shared" si="596"/>
        <v>13540</v>
      </c>
      <c r="K187" s="11">
        <f>(5*K17)+1200+2000+3000+2000</f>
        <v>13310</v>
      </c>
      <c r="L187" s="5"/>
      <c r="M187" s="5"/>
      <c r="N187" s="5"/>
      <c r="O187" s="5"/>
      <c r="P187" s="5"/>
      <c r="Q187" s="5"/>
      <c r="R187" s="5">
        <f t="shared" si="617"/>
        <v>13310</v>
      </c>
      <c r="T187" s="11">
        <f>(5*T17)+2000+3000+2000+1500</f>
        <v>14450</v>
      </c>
      <c r="U187" s="5"/>
      <c r="V187" s="5"/>
      <c r="W187" s="5"/>
      <c r="X187" s="5"/>
      <c r="Y187" s="5"/>
      <c r="Z187" s="5"/>
      <c r="AA187" s="5">
        <f t="shared" si="618"/>
        <v>14450</v>
      </c>
      <c r="AC187" s="11">
        <f>(5*AC17)+3000+5000+2000+2000+1500</f>
        <v>24720</v>
      </c>
      <c r="AD187" s="5"/>
      <c r="AE187" s="5"/>
      <c r="AF187" s="5"/>
      <c r="AG187" s="5"/>
      <c r="AH187" s="5"/>
      <c r="AI187" s="5"/>
      <c r="AJ187" s="5">
        <f t="shared" si="619"/>
        <v>24720</v>
      </c>
      <c r="AL187" s="11">
        <f>(5*AL17)+3000+3000+2000+1500</f>
        <v>20450</v>
      </c>
      <c r="AM187" s="5"/>
      <c r="AN187" s="5"/>
      <c r="AO187" s="5"/>
      <c r="AP187" s="5"/>
      <c r="AQ187" s="5"/>
      <c r="AR187" s="5"/>
      <c r="AS187" s="5">
        <f t="shared" si="620"/>
        <v>20450</v>
      </c>
      <c r="AU187" s="11">
        <f>(5*AU17)+1200</f>
        <v>1800</v>
      </c>
      <c r="AV187" s="5"/>
      <c r="AW187" s="5"/>
      <c r="AX187" s="5"/>
      <c r="AY187" s="5"/>
      <c r="AZ187" s="5"/>
      <c r="BA187" s="5"/>
      <c r="BB187" s="5">
        <f t="shared" si="621"/>
        <v>1800</v>
      </c>
      <c r="BD187" s="11">
        <f>(5*BD17)+1200+1000</f>
        <v>3120</v>
      </c>
      <c r="BE187" s="5"/>
      <c r="BF187" s="5"/>
      <c r="BG187" s="5"/>
      <c r="BH187" s="5"/>
      <c r="BI187" s="5"/>
      <c r="BJ187" s="5"/>
      <c r="BK187" s="5">
        <f t="shared" si="622"/>
        <v>3120</v>
      </c>
      <c r="BM187" s="11"/>
      <c r="BN187" s="5"/>
      <c r="BO187" s="5"/>
      <c r="BP187" s="5"/>
      <c r="BQ187" s="5"/>
      <c r="BR187" s="5"/>
      <c r="BS187" s="5"/>
      <c r="BT187" s="5">
        <f t="shared" si="623"/>
        <v>0</v>
      </c>
      <c r="BV187" s="5">
        <f t="shared" si="611"/>
        <v>91390</v>
      </c>
      <c r="BW187" s="5">
        <f t="shared" si="612"/>
        <v>0</v>
      </c>
      <c r="BX187" s="5">
        <f t="shared" si="613"/>
        <v>0</v>
      </c>
      <c r="BY187" s="5">
        <f t="shared" si="614"/>
        <v>0</v>
      </c>
      <c r="BZ187" s="5">
        <f t="shared" si="615"/>
        <v>0</v>
      </c>
      <c r="CA187" s="5">
        <f t="shared" si="616"/>
        <v>0</v>
      </c>
      <c r="CB187" s="5"/>
      <c r="CC187" s="5">
        <f t="shared" si="624"/>
        <v>91390</v>
      </c>
    </row>
    <row r="188" spans="1:81">
      <c r="A188" s="29" t="s">
        <v>168</v>
      </c>
      <c r="B188" s="11"/>
      <c r="C188" s="5"/>
      <c r="D188" s="5"/>
      <c r="E188" s="5"/>
      <c r="F188" s="5"/>
      <c r="G188" s="5"/>
      <c r="H188" s="5"/>
      <c r="I188" s="5">
        <f t="shared" si="596"/>
        <v>0</v>
      </c>
      <c r="K188" s="11"/>
      <c r="L188" s="5"/>
      <c r="M188" s="5"/>
      <c r="N188" s="5"/>
      <c r="O188" s="5"/>
      <c r="P188" s="5"/>
      <c r="Q188" s="5"/>
      <c r="R188" s="5">
        <f t="shared" si="617"/>
        <v>0</v>
      </c>
      <c r="T188" s="11"/>
      <c r="U188" s="5"/>
      <c r="V188" s="5"/>
      <c r="W188" s="5"/>
      <c r="X188" s="5"/>
      <c r="Y188" s="5"/>
      <c r="Z188" s="5"/>
      <c r="AA188" s="5">
        <f t="shared" si="618"/>
        <v>0</v>
      </c>
      <c r="AC188" s="11"/>
      <c r="AD188" s="5"/>
      <c r="AE188" s="5"/>
      <c r="AF188" s="5"/>
      <c r="AG188" s="5"/>
      <c r="AH188" s="5"/>
      <c r="AI188" s="5"/>
      <c r="AJ188" s="5">
        <f t="shared" si="619"/>
        <v>0</v>
      </c>
      <c r="AL188" s="11"/>
      <c r="AM188" s="5"/>
      <c r="AN188" s="5"/>
      <c r="AO188" s="5"/>
      <c r="AP188" s="5"/>
      <c r="AQ188" s="5"/>
      <c r="AR188" s="5"/>
      <c r="AS188" s="5">
        <f t="shared" si="620"/>
        <v>0</v>
      </c>
      <c r="AU188" s="11"/>
      <c r="AV188" s="5"/>
      <c r="AW188" s="5"/>
      <c r="AX188" s="5"/>
      <c r="AY188" s="5"/>
      <c r="AZ188" s="5"/>
      <c r="BA188" s="5"/>
      <c r="BB188" s="5">
        <f t="shared" si="621"/>
        <v>0</v>
      </c>
      <c r="BD188" s="11"/>
      <c r="BE188" s="5"/>
      <c r="BF188" s="5"/>
      <c r="BG188" s="5"/>
      <c r="BH188" s="5"/>
      <c r="BI188" s="5"/>
      <c r="BJ188" s="5"/>
      <c r="BK188" s="5">
        <f t="shared" si="622"/>
        <v>0</v>
      </c>
      <c r="BM188" s="11"/>
      <c r="BN188" s="5"/>
      <c r="BO188" s="5"/>
      <c r="BP188" s="5"/>
      <c r="BQ188" s="5"/>
      <c r="BR188" s="5"/>
      <c r="BS188" s="5"/>
      <c r="BT188" s="5">
        <f t="shared" si="623"/>
        <v>0</v>
      </c>
      <c r="BV188" s="5">
        <f t="shared" si="611"/>
        <v>0</v>
      </c>
      <c r="BW188" s="5">
        <f t="shared" si="612"/>
        <v>0</v>
      </c>
      <c r="BX188" s="5">
        <f t="shared" si="613"/>
        <v>0</v>
      </c>
      <c r="BY188" s="5">
        <f t="shared" si="614"/>
        <v>0</v>
      </c>
      <c r="BZ188" s="5">
        <f t="shared" si="615"/>
        <v>0</v>
      </c>
      <c r="CA188" s="5">
        <f t="shared" si="616"/>
        <v>0</v>
      </c>
      <c r="CB188" s="5"/>
      <c r="CC188" s="5">
        <f t="shared" si="624"/>
        <v>0</v>
      </c>
    </row>
    <row r="189" spans="1:81">
      <c r="A189" s="29" t="s">
        <v>169</v>
      </c>
      <c r="B189" s="5"/>
      <c r="C189" s="5"/>
      <c r="D189" s="5"/>
      <c r="E189" s="5"/>
      <c r="F189" s="5"/>
      <c r="G189" s="5"/>
      <c r="H189" s="5"/>
      <c r="I189" s="5">
        <f t="shared" si="596"/>
        <v>0</v>
      </c>
      <c r="K189" s="5"/>
      <c r="L189" s="5"/>
      <c r="M189" s="5"/>
      <c r="N189" s="5"/>
      <c r="O189" s="5"/>
      <c r="P189" s="5"/>
      <c r="Q189" s="5"/>
      <c r="R189" s="5">
        <f t="shared" si="617"/>
        <v>0</v>
      </c>
      <c r="T189" s="5"/>
      <c r="U189" s="5"/>
      <c r="V189" s="5"/>
      <c r="W189" s="5"/>
      <c r="X189" s="5"/>
      <c r="Y189" s="5"/>
      <c r="Z189" s="5"/>
      <c r="AA189" s="5">
        <f t="shared" si="618"/>
        <v>0</v>
      </c>
      <c r="AC189" s="5">
        <v>30000</v>
      </c>
      <c r="AD189" s="5"/>
      <c r="AE189" s="5"/>
      <c r="AF189" s="5"/>
      <c r="AG189" s="5"/>
      <c r="AH189" s="5"/>
      <c r="AI189" s="5"/>
      <c r="AJ189" s="5">
        <f t="shared" si="619"/>
        <v>30000</v>
      </c>
      <c r="AL189" s="5">
        <v>30000</v>
      </c>
      <c r="AM189" s="5"/>
      <c r="AN189" s="5"/>
      <c r="AO189" s="5"/>
      <c r="AP189" s="5"/>
      <c r="AQ189" s="5"/>
      <c r="AR189" s="5"/>
      <c r="AS189" s="5">
        <f t="shared" si="620"/>
        <v>30000</v>
      </c>
      <c r="AU189" s="5"/>
      <c r="AV189" s="5"/>
      <c r="AW189" s="5"/>
      <c r="AX189" s="5"/>
      <c r="AY189" s="5"/>
      <c r="AZ189" s="5"/>
      <c r="BA189" s="5"/>
      <c r="BB189" s="5">
        <f t="shared" si="621"/>
        <v>0</v>
      </c>
      <c r="BD189" s="5"/>
      <c r="BE189" s="5"/>
      <c r="BF189" s="5"/>
      <c r="BG189" s="5"/>
      <c r="BH189" s="5"/>
      <c r="BI189" s="5"/>
      <c r="BJ189" s="5"/>
      <c r="BK189" s="5">
        <f t="shared" si="622"/>
        <v>0</v>
      </c>
      <c r="BM189" s="5"/>
      <c r="BN189" s="5"/>
      <c r="BO189" s="5"/>
      <c r="BP189" s="5"/>
      <c r="BQ189" s="5"/>
      <c r="BR189" s="5"/>
      <c r="BS189" s="5"/>
      <c r="BT189" s="5">
        <f t="shared" si="623"/>
        <v>0</v>
      </c>
      <c r="BV189" s="5">
        <f t="shared" si="611"/>
        <v>60000</v>
      </c>
      <c r="BW189" s="5">
        <f t="shared" si="612"/>
        <v>0</v>
      </c>
      <c r="BX189" s="5">
        <f t="shared" si="613"/>
        <v>0</v>
      </c>
      <c r="BY189" s="5">
        <f t="shared" si="614"/>
        <v>0</v>
      </c>
      <c r="BZ189" s="5">
        <f t="shared" si="615"/>
        <v>0</v>
      </c>
      <c r="CA189" s="5">
        <f t="shared" si="616"/>
        <v>0</v>
      </c>
      <c r="CB189" s="5"/>
      <c r="CC189" s="5">
        <f t="shared" si="624"/>
        <v>60000</v>
      </c>
    </row>
    <row r="190" spans="1:81">
      <c r="A190" s="29" t="s">
        <v>170</v>
      </c>
      <c r="B190" s="11">
        <v>0</v>
      </c>
      <c r="C190" s="5"/>
      <c r="D190" s="5"/>
      <c r="E190" s="5"/>
      <c r="F190" s="5"/>
      <c r="G190" s="5"/>
      <c r="H190" s="5"/>
      <c r="I190" s="5">
        <f t="shared" si="596"/>
        <v>0</v>
      </c>
      <c r="K190" s="11">
        <v>0</v>
      </c>
      <c r="L190" s="5"/>
      <c r="M190" s="5"/>
      <c r="N190" s="5"/>
      <c r="O190" s="5"/>
      <c r="P190" s="5"/>
      <c r="Q190" s="5"/>
      <c r="R190" s="5">
        <f t="shared" si="617"/>
        <v>0</v>
      </c>
      <c r="T190" s="11">
        <v>0</v>
      </c>
      <c r="U190" s="5"/>
      <c r="V190" s="5"/>
      <c r="W190" s="5"/>
      <c r="X190" s="5"/>
      <c r="Y190" s="5"/>
      <c r="Z190" s="5"/>
      <c r="AA190" s="5">
        <f t="shared" si="618"/>
        <v>0</v>
      </c>
      <c r="AC190" s="11">
        <v>0</v>
      </c>
      <c r="AD190" s="5"/>
      <c r="AE190" s="5"/>
      <c r="AF190" s="5"/>
      <c r="AG190" s="5"/>
      <c r="AH190" s="5"/>
      <c r="AI190" s="5"/>
      <c r="AJ190" s="5">
        <f t="shared" si="619"/>
        <v>0</v>
      </c>
      <c r="AL190" s="11">
        <v>0</v>
      </c>
      <c r="AM190" s="5"/>
      <c r="AN190" s="5"/>
      <c r="AO190" s="5"/>
      <c r="AP190" s="5"/>
      <c r="AQ190" s="5"/>
      <c r="AR190" s="5"/>
      <c r="AS190" s="5">
        <f t="shared" si="620"/>
        <v>0</v>
      </c>
      <c r="AU190" s="11">
        <v>0</v>
      </c>
      <c r="AV190" s="5"/>
      <c r="AW190" s="5"/>
      <c r="AX190" s="5"/>
      <c r="AY190" s="5"/>
      <c r="AZ190" s="5"/>
      <c r="BA190" s="5"/>
      <c r="BB190" s="5">
        <f t="shared" si="621"/>
        <v>0</v>
      </c>
      <c r="BD190" s="11">
        <v>0</v>
      </c>
      <c r="BE190" s="5"/>
      <c r="BF190" s="5"/>
      <c r="BG190" s="5"/>
      <c r="BH190" s="5"/>
      <c r="BI190" s="5"/>
      <c r="BJ190" s="5"/>
      <c r="BK190" s="5">
        <f t="shared" si="622"/>
        <v>0</v>
      </c>
      <c r="BM190" s="11"/>
      <c r="BN190" s="5"/>
      <c r="BO190" s="5"/>
      <c r="BP190" s="5"/>
      <c r="BQ190" s="5"/>
      <c r="BR190" s="5"/>
      <c r="BS190" s="5"/>
      <c r="BT190" s="5">
        <f t="shared" si="623"/>
        <v>0</v>
      </c>
      <c r="BV190" s="5">
        <f t="shared" si="611"/>
        <v>0</v>
      </c>
      <c r="BW190" s="5">
        <f t="shared" si="612"/>
        <v>0</v>
      </c>
      <c r="BX190" s="5">
        <f t="shared" si="613"/>
        <v>0</v>
      </c>
      <c r="BY190" s="5">
        <f t="shared" si="614"/>
        <v>0</v>
      </c>
      <c r="BZ190" s="5">
        <f t="shared" si="615"/>
        <v>0</v>
      </c>
      <c r="CA190" s="5">
        <f t="shared" si="616"/>
        <v>0</v>
      </c>
      <c r="CB190" s="5"/>
      <c r="CC190" s="5">
        <f t="shared" si="624"/>
        <v>0</v>
      </c>
    </row>
    <row r="191" spans="1:81">
      <c r="A191" s="29" t="s">
        <v>171</v>
      </c>
      <c r="B191" s="11">
        <v>1300</v>
      </c>
      <c r="C191" s="11"/>
      <c r="D191" s="11"/>
      <c r="E191" s="11"/>
      <c r="F191" s="11"/>
      <c r="G191" s="11"/>
      <c r="H191" s="11"/>
      <c r="I191" s="5">
        <f t="shared" si="596"/>
        <v>1300</v>
      </c>
      <c r="K191" s="11">
        <v>0</v>
      </c>
      <c r="L191" s="11"/>
      <c r="M191" s="11"/>
      <c r="N191" s="11"/>
      <c r="O191" s="11"/>
      <c r="P191" s="11"/>
      <c r="Q191" s="11"/>
      <c r="R191" s="5">
        <f>SUM(K191:Q191)</f>
        <v>0</v>
      </c>
      <c r="T191" s="11">
        <v>0</v>
      </c>
      <c r="U191" s="11"/>
      <c r="V191" s="11"/>
      <c r="W191" s="11"/>
      <c r="X191" s="11"/>
      <c r="Y191" s="11"/>
      <c r="Z191" s="11"/>
      <c r="AA191" s="5">
        <f>SUM(T191:Z191)</f>
        <v>0</v>
      </c>
      <c r="AC191" s="11">
        <v>146000</v>
      </c>
      <c r="AD191" s="11"/>
      <c r="AE191" s="11"/>
      <c r="AF191" s="11"/>
      <c r="AG191" s="11"/>
      <c r="AH191" s="11"/>
      <c r="AI191" s="11"/>
      <c r="AJ191" s="5">
        <f>SUM(AC191:AI191)</f>
        <v>146000</v>
      </c>
      <c r="AL191" s="11">
        <f>65000</f>
        <v>65000</v>
      </c>
      <c r="AM191" s="11"/>
      <c r="AN191" s="11"/>
      <c r="AO191" s="11"/>
      <c r="AP191" s="11"/>
      <c r="AQ191" s="11"/>
      <c r="AR191" s="11"/>
      <c r="AS191" s="5">
        <f>SUM(AL191:AR191)</f>
        <v>65000</v>
      </c>
      <c r="AU191" s="11"/>
      <c r="AV191" s="11"/>
      <c r="AW191" s="11"/>
      <c r="AX191" s="11"/>
      <c r="AY191" s="11"/>
      <c r="AZ191" s="11"/>
      <c r="BA191" s="11"/>
      <c r="BB191" s="5">
        <f>SUM(AU191:BA191)</f>
        <v>0</v>
      </c>
      <c r="BD191" s="11">
        <v>0</v>
      </c>
      <c r="BE191" s="11"/>
      <c r="BF191" s="11"/>
      <c r="BG191" s="11"/>
      <c r="BH191" s="11"/>
      <c r="BI191" s="11"/>
      <c r="BJ191" s="11"/>
      <c r="BK191" s="5">
        <f>SUM(BD191:BJ191)</f>
        <v>0</v>
      </c>
      <c r="BM191" s="11"/>
      <c r="BN191" s="11"/>
      <c r="BO191" s="11"/>
      <c r="BP191" s="11"/>
      <c r="BQ191" s="11"/>
      <c r="BR191" s="11"/>
      <c r="BS191" s="11"/>
      <c r="BT191" s="5">
        <f>SUM(BM191:BS191)</f>
        <v>0</v>
      </c>
      <c r="BV191" s="5">
        <f t="shared" si="611"/>
        <v>212300</v>
      </c>
      <c r="BW191" s="5">
        <f t="shared" si="612"/>
        <v>0</v>
      </c>
      <c r="BX191" s="5">
        <f t="shared" si="613"/>
        <v>0</v>
      </c>
      <c r="BY191" s="5">
        <f t="shared" si="614"/>
        <v>0</v>
      </c>
      <c r="BZ191" s="5">
        <f t="shared" si="615"/>
        <v>0</v>
      </c>
      <c r="CA191" s="5">
        <f t="shared" si="616"/>
        <v>0</v>
      </c>
      <c r="CB191" s="11"/>
      <c r="CC191" s="5">
        <f>SUM(BV191:CB191)</f>
        <v>212300</v>
      </c>
    </row>
    <row r="192" spans="1:81">
      <c r="A192" s="29" t="s">
        <v>172</v>
      </c>
      <c r="B192" s="11"/>
      <c r="C192" s="5"/>
      <c r="D192" s="5"/>
      <c r="E192" s="5"/>
      <c r="F192" s="5"/>
      <c r="G192" s="5"/>
      <c r="H192" s="5"/>
      <c r="I192" s="5">
        <f t="shared" si="596"/>
        <v>0</v>
      </c>
      <c r="K192" s="11"/>
      <c r="L192" s="5"/>
      <c r="M192" s="5"/>
      <c r="N192" s="5"/>
      <c r="O192" s="5"/>
      <c r="P192" s="5"/>
      <c r="Q192" s="5"/>
      <c r="R192" s="5">
        <f t="shared" ref="R192:R196" si="625">SUM(K192:Q192)</f>
        <v>0</v>
      </c>
      <c r="T192" s="11"/>
      <c r="U192" s="5"/>
      <c r="V192" s="5"/>
      <c r="W192" s="5"/>
      <c r="X192" s="5"/>
      <c r="Y192" s="5"/>
      <c r="Z192" s="5"/>
      <c r="AA192" s="5">
        <f t="shared" ref="AA192:AA196" si="626">SUM(T192:Z192)</f>
        <v>0</v>
      </c>
      <c r="AC192" s="11"/>
      <c r="AD192" s="5"/>
      <c r="AE192" s="5"/>
      <c r="AF192" s="5"/>
      <c r="AG192" s="5"/>
      <c r="AH192" s="5"/>
      <c r="AI192" s="5"/>
      <c r="AJ192" s="5">
        <f t="shared" ref="AJ192:AJ196" si="627">SUM(AC192:AI192)</f>
        <v>0</v>
      </c>
      <c r="AL192" s="11"/>
      <c r="AM192" s="5"/>
      <c r="AN192" s="5"/>
      <c r="AO192" s="5"/>
      <c r="AP192" s="5"/>
      <c r="AQ192" s="5"/>
      <c r="AR192" s="5"/>
      <c r="AS192" s="5">
        <f t="shared" ref="AS192:AS196" si="628">SUM(AL192:AR192)</f>
        <v>0</v>
      </c>
      <c r="AU192" s="11"/>
      <c r="AV192" s="5"/>
      <c r="AW192" s="5"/>
      <c r="AX192" s="5"/>
      <c r="AY192" s="5"/>
      <c r="AZ192" s="5"/>
      <c r="BA192" s="5"/>
      <c r="BB192" s="5">
        <f t="shared" ref="BB192:BB196" si="629">SUM(AU192:BA192)</f>
        <v>0</v>
      </c>
      <c r="BD192" s="11"/>
      <c r="BE192" s="5"/>
      <c r="BF192" s="5"/>
      <c r="BG192" s="5"/>
      <c r="BH192" s="5"/>
      <c r="BI192" s="5"/>
      <c r="BJ192" s="5"/>
      <c r="BK192" s="5">
        <f t="shared" ref="BK192:BK196" si="630">SUM(BD192:BJ192)</f>
        <v>0</v>
      </c>
      <c r="BM192" s="11"/>
      <c r="BN192" s="5"/>
      <c r="BO192" s="5"/>
      <c r="BP192" s="5"/>
      <c r="BQ192" s="5"/>
      <c r="BR192" s="5"/>
      <c r="BS192" s="5"/>
      <c r="BT192" s="5">
        <f t="shared" ref="BT192:BT196" si="631">SUM(BM192:BS192)</f>
        <v>0</v>
      </c>
      <c r="BV192" s="5">
        <f t="shared" si="611"/>
        <v>0</v>
      </c>
      <c r="BW192" s="5">
        <f t="shared" si="612"/>
        <v>0</v>
      </c>
      <c r="BX192" s="5">
        <f t="shared" si="613"/>
        <v>0</v>
      </c>
      <c r="BY192" s="5">
        <f t="shared" si="614"/>
        <v>0</v>
      </c>
      <c r="BZ192" s="5">
        <f t="shared" si="615"/>
        <v>0</v>
      </c>
      <c r="CA192" s="5">
        <f t="shared" si="616"/>
        <v>0</v>
      </c>
      <c r="CB192" s="5"/>
      <c r="CC192" s="5">
        <f t="shared" ref="CC192:CC194" si="632">SUM(BV192:CB192)</f>
        <v>0</v>
      </c>
    </row>
    <row r="193" spans="1:81">
      <c r="A193" s="29" t="s">
        <v>173</v>
      </c>
      <c r="B193" s="11">
        <v>0</v>
      </c>
      <c r="C193" s="5"/>
      <c r="D193" s="5"/>
      <c r="E193" s="5"/>
      <c r="F193" s="5"/>
      <c r="G193" s="5"/>
      <c r="H193" s="5"/>
      <c r="I193" s="5">
        <f t="shared" si="596"/>
        <v>0</v>
      </c>
      <c r="K193" s="11">
        <v>0</v>
      </c>
      <c r="L193" s="5"/>
      <c r="M193" s="5"/>
      <c r="N193" s="5"/>
      <c r="O193" s="5"/>
      <c r="P193" s="5"/>
      <c r="Q193" s="5"/>
      <c r="R193" s="5">
        <f t="shared" si="625"/>
        <v>0</v>
      </c>
      <c r="T193" s="11">
        <v>0</v>
      </c>
      <c r="U193" s="5"/>
      <c r="V193" s="5"/>
      <c r="W193" s="5"/>
      <c r="X193" s="5"/>
      <c r="Y193" s="5"/>
      <c r="Z193" s="5"/>
      <c r="AA193" s="5">
        <f t="shared" si="626"/>
        <v>0</v>
      </c>
      <c r="AC193" s="11">
        <v>0</v>
      </c>
      <c r="AD193" s="5"/>
      <c r="AE193" s="5"/>
      <c r="AF193" s="5"/>
      <c r="AG193" s="5"/>
      <c r="AH193" s="5"/>
      <c r="AI193" s="5"/>
      <c r="AJ193" s="5">
        <f t="shared" si="627"/>
        <v>0</v>
      </c>
      <c r="AL193" s="11">
        <v>0</v>
      </c>
      <c r="AM193" s="5"/>
      <c r="AN193" s="5"/>
      <c r="AO193" s="5"/>
      <c r="AP193" s="5"/>
      <c r="AQ193" s="5"/>
      <c r="AR193" s="5"/>
      <c r="AS193" s="5">
        <f t="shared" si="628"/>
        <v>0</v>
      </c>
      <c r="AU193" s="11">
        <v>0</v>
      </c>
      <c r="AV193" s="5"/>
      <c r="AW193" s="5"/>
      <c r="AX193" s="5"/>
      <c r="AY193" s="5"/>
      <c r="AZ193" s="5"/>
      <c r="BA193" s="5"/>
      <c r="BB193" s="5">
        <f t="shared" si="629"/>
        <v>0</v>
      </c>
      <c r="BD193" s="11">
        <v>0</v>
      </c>
      <c r="BE193" s="5"/>
      <c r="BF193" s="5"/>
      <c r="BG193" s="5"/>
      <c r="BH193" s="5"/>
      <c r="BI193" s="5"/>
      <c r="BJ193" s="5"/>
      <c r="BK193" s="5">
        <f t="shared" si="630"/>
        <v>0</v>
      </c>
      <c r="BM193" s="11"/>
      <c r="BN193" s="5"/>
      <c r="BO193" s="5"/>
      <c r="BP193" s="5"/>
      <c r="BQ193" s="5"/>
      <c r="BR193" s="5"/>
      <c r="BS193" s="5"/>
      <c r="BT193" s="5">
        <f t="shared" si="631"/>
        <v>0</v>
      </c>
      <c r="BV193" s="5">
        <f t="shared" si="611"/>
        <v>0</v>
      </c>
      <c r="BW193" s="5">
        <f t="shared" si="612"/>
        <v>0</v>
      </c>
      <c r="BX193" s="5">
        <f t="shared" si="613"/>
        <v>0</v>
      </c>
      <c r="BY193" s="5">
        <f t="shared" si="614"/>
        <v>0</v>
      </c>
      <c r="BZ193" s="5">
        <f t="shared" si="615"/>
        <v>0</v>
      </c>
      <c r="CA193" s="5">
        <f t="shared" si="616"/>
        <v>0</v>
      </c>
      <c r="CB193" s="5"/>
      <c r="CC193" s="5">
        <f t="shared" si="632"/>
        <v>0</v>
      </c>
    </row>
    <row r="194" spans="1:81">
      <c r="A194" s="29" t="s">
        <v>174</v>
      </c>
      <c r="B194" s="11"/>
      <c r="C194" s="5"/>
      <c r="D194" s="5"/>
      <c r="E194" s="5"/>
      <c r="F194" s="5"/>
      <c r="G194" s="5">
        <v>255000</v>
      </c>
      <c r="H194" s="5"/>
      <c r="I194" s="5">
        <f t="shared" si="596"/>
        <v>255000</v>
      </c>
      <c r="K194" s="11"/>
      <c r="L194" s="5"/>
      <c r="M194" s="5"/>
      <c r="N194" s="5"/>
      <c r="O194" s="5"/>
      <c r="P194" s="5">
        <v>650000</v>
      </c>
      <c r="Q194" s="5"/>
      <c r="R194" s="5">
        <f t="shared" si="625"/>
        <v>650000</v>
      </c>
      <c r="T194" s="11"/>
      <c r="U194" s="5"/>
      <c r="V194" s="5"/>
      <c r="W194" s="5"/>
      <c r="X194" s="5"/>
      <c r="Y194" s="5">
        <v>550000</v>
      </c>
      <c r="Z194" s="5"/>
      <c r="AA194" s="5">
        <f t="shared" si="626"/>
        <v>550000</v>
      </c>
      <c r="AC194" s="11"/>
      <c r="AD194" s="5"/>
      <c r="AE194" s="5"/>
      <c r="AF194" s="5"/>
      <c r="AG194" s="5"/>
      <c r="AH194" s="5">
        <v>1250000</v>
      </c>
      <c r="AI194" s="5"/>
      <c r="AJ194" s="5">
        <f t="shared" si="627"/>
        <v>1250000</v>
      </c>
      <c r="AL194" s="11"/>
      <c r="AM194" s="5"/>
      <c r="AN194" s="5"/>
      <c r="AO194" s="5"/>
      <c r="AP194" s="5"/>
      <c r="AQ194" s="5">
        <v>1600000</v>
      </c>
      <c r="AR194" s="5"/>
      <c r="AS194" s="5">
        <f t="shared" si="628"/>
        <v>1600000</v>
      </c>
      <c r="AU194" s="11"/>
      <c r="AV194" s="5"/>
      <c r="AW194" s="5"/>
      <c r="AX194" s="5"/>
      <c r="AY194" s="5"/>
      <c r="AZ194" s="5"/>
      <c r="BA194" s="5"/>
      <c r="BB194" s="5"/>
      <c r="BD194" s="11"/>
      <c r="BE194" s="5"/>
      <c r="BF194" s="5"/>
      <c r="BG194" s="5"/>
      <c r="BH194" s="5"/>
      <c r="BI194" s="5">
        <v>25000</v>
      </c>
      <c r="BJ194" s="5"/>
      <c r="BK194" s="5">
        <f t="shared" si="630"/>
        <v>25000</v>
      </c>
      <c r="BM194" s="11"/>
      <c r="BN194" s="5"/>
      <c r="BO194" s="5"/>
      <c r="BP194" s="5"/>
      <c r="BQ194" s="5"/>
      <c r="BR194" s="5"/>
      <c r="BS194" s="5"/>
      <c r="BT194" s="5">
        <f t="shared" si="631"/>
        <v>0</v>
      </c>
      <c r="BV194" s="5">
        <f t="shared" si="611"/>
        <v>0</v>
      </c>
      <c r="BW194" s="5">
        <f t="shared" si="612"/>
        <v>0</v>
      </c>
      <c r="BX194" s="5">
        <f t="shared" si="613"/>
        <v>0</v>
      </c>
      <c r="BY194" s="5">
        <f t="shared" si="614"/>
        <v>0</v>
      </c>
      <c r="BZ194" s="5">
        <f t="shared" si="615"/>
        <v>0</v>
      </c>
      <c r="CA194" s="5">
        <f t="shared" si="616"/>
        <v>4330000</v>
      </c>
      <c r="CB194" s="5"/>
      <c r="CC194" s="5">
        <f t="shared" si="632"/>
        <v>4330000</v>
      </c>
    </row>
    <row r="195" spans="1:81">
      <c r="A195" s="29" t="s">
        <v>175</v>
      </c>
      <c r="B195" s="11">
        <v>12000</v>
      </c>
      <c r="C195" s="5"/>
      <c r="D195" s="5"/>
      <c r="E195" s="5"/>
      <c r="F195" s="5"/>
      <c r="G195" s="5"/>
      <c r="H195" s="5"/>
      <c r="I195" s="5">
        <f t="shared" si="596"/>
        <v>12000</v>
      </c>
      <c r="K195" s="11">
        <v>15000</v>
      </c>
      <c r="L195" s="5"/>
      <c r="M195" s="5"/>
      <c r="N195" s="5"/>
      <c r="O195" s="5"/>
      <c r="P195" s="5"/>
      <c r="Q195" s="5"/>
      <c r="R195" s="5">
        <f t="shared" si="625"/>
        <v>15000</v>
      </c>
      <c r="T195" s="11">
        <v>15000</v>
      </c>
      <c r="U195" s="5"/>
      <c r="V195" s="5"/>
      <c r="W195" s="5"/>
      <c r="X195" s="5"/>
      <c r="Y195" s="5"/>
      <c r="Z195" s="5"/>
      <c r="AA195" s="5">
        <f t="shared" si="626"/>
        <v>15000</v>
      </c>
      <c r="AC195" s="11">
        <v>18500</v>
      </c>
      <c r="AD195" s="5"/>
      <c r="AE195" s="5"/>
      <c r="AF195" s="5"/>
      <c r="AG195" s="5"/>
      <c r="AH195" s="5"/>
      <c r="AI195" s="5"/>
      <c r="AJ195" s="5">
        <f t="shared" si="627"/>
        <v>18500</v>
      </c>
      <c r="AL195" s="11">
        <v>15000</v>
      </c>
      <c r="AM195" s="5"/>
      <c r="AN195" s="5"/>
      <c r="AO195" s="5"/>
      <c r="AP195" s="5"/>
      <c r="AQ195" s="5"/>
      <c r="AR195" s="5"/>
      <c r="AS195" s="5">
        <f t="shared" si="628"/>
        <v>15000</v>
      </c>
      <c r="AU195" s="11">
        <v>2000</v>
      </c>
      <c r="AV195" s="5"/>
      <c r="AW195" s="5"/>
      <c r="AX195" s="5"/>
      <c r="AY195" s="5"/>
      <c r="AZ195" s="5"/>
      <c r="BA195" s="5"/>
      <c r="BB195" s="5">
        <f t="shared" si="629"/>
        <v>2000</v>
      </c>
      <c r="BD195" s="11">
        <v>3000</v>
      </c>
      <c r="BE195" s="5"/>
      <c r="BF195" s="5"/>
      <c r="BG195" s="5"/>
      <c r="BH195" s="5"/>
      <c r="BI195" s="5"/>
      <c r="BJ195" s="5"/>
      <c r="BK195" s="5">
        <f t="shared" si="630"/>
        <v>3000</v>
      </c>
      <c r="BM195" s="11"/>
      <c r="BN195" s="5"/>
      <c r="BO195" s="5"/>
      <c r="BP195" s="5"/>
      <c r="BQ195" s="5"/>
      <c r="BR195" s="5"/>
      <c r="BS195" s="5"/>
      <c r="BT195" s="5">
        <f t="shared" si="631"/>
        <v>0</v>
      </c>
      <c r="BV195" s="5">
        <f t="shared" si="611"/>
        <v>80500</v>
      </c>
      <c r="BW195" s="5">
        <f t="shared" si="612"/>
        <v>0</v>
      </c>
      <c r="BX195" s="5">
        <f t="shared" si="613"/>
        <v>0</v>
      </c>
      <c r="BY195" s="5">
        <f t="shared" si="614"/>
        <v>0</v>
      </c>
      <c r="BZ195" s="5">
        <f t="shared" si="615"/>
        <v>0</v>
      </c>
      <c r="CA195" s="5">
        <f t="shared" si="616"/>
        <v>0</v>
      </c>
      <c r="CB195" s="5"/>
      <c r="CC195" s="5">
        <f t="shared" ref="CC195:CC196" si="633">SUM(BV195:CB195)</f>
        <v>80500</v>
      </c>
    </row>
    <row r="196" spans="1:81">
      <c r="A196" s="78" t="s">
        <v>176</v>
      </c>
      <c r="B196" s="5">
        <f>B74*0.0025</f>
        <v>20352.82</v>
      </c>
      <c r="C196" s="5"/>
      <c r="D196" s="5"/>
      <c r="E196" s="5"/>
      <c r="F196" s="5"/>
      <c r="G196" s="5"/>
      <c r="H196" s="5"/>
      <c r="I196" s="5">
        <f t="shared" si="596"/>
        <v>20352.82</v>
      </c>
      <c r="J196" s="53"/>
      <c r="K196" s="5">
        <f>K74*0.015</f>
        <v>137448.78</v>
      </c>
      <c r="L196" s="5"/>
      <c r="M196" s="5"/>
      <c r="N196" s="5"/>
      <c r="O196" s="5"/>
      <c r="P196" s="5"/>
      <c r="Q196" s="5"/>
      <c r="R196" s="5">
        <f t="shared" si="625"/>
        <v>137448.78</v>
      </c>
      <c r="T196" s="5">
        <f>T74*0.015</f>
        <v>160043.1</v>
      </c>
      <c r="U196" s="5"/>
      <c r="V196" s="5"/>
      <c r="W196" s="5"/>
      <c r="X196" s="5"/>
      <c r="Y196" s="5"/>
      <c r="Z196" s="5"/>
      <c r="AA196" s="5">
        <f t="shared" si="626"/>
        <v>160043.1</v>
      </c>
      <c r="AC196" s="5">
        <f>AC74*0.01</f>
        <v>202990.24</v>
      </c>
      <c r="AD196" s="5"/>
      <c r="AE196" s="5"/>
      <c r="AF196" s="5"/>
      <c r="AG196" s="5"/>
      <c r="AH196" s="5"/>
      <c r="AI196" s="5"/>
      <c r="AJ196" s="5">
        <f t="shared" si="627"/>
        <v>202990.24</v>
      </c>
      <c r="AL196" s="5"/>
      <c r="AM196" s="5"/>
      <c r="AN196" s="5"/>
      <c r="AO196" s="5"/>
      <c r="AP196" s="5"/>
      <c r="AQ196" s="5"/>
      <c r="AR196" s="5"/>
      <c r="AS196" s="5">
        <f t="shared" si="628"/>
        <v>0</v>
      </c>
      <c r="AU196" s="5">
        <f>AU74*0.01</f>
        <v>10759.2</v>
      </c>
      <c r="AV196" s="5"/>
      <c r="AW196" s="5"/>
      <c r="AX196" s="5"/>
      <c r="AY196" s="5"/>
      <c r="AZ196" s="5"/>
      <c r="BA196" s="5"/>
      <c r="BB196" s="5">
        <f t="shared" si="629"/>
        <v>10759.2</v>
      </c>
      <c r="BD196" s="5"/>
      <c r="BE196" s="5"/>
      <c r="BF196" s="5"/>
      <c r="BG196" s="5"/>
      <c r="BH196" s="5"/>
      <c r="BI196" s="5"/>
      <c r="BJ196" s="5"/>
      <c r="BK196" s="5">
        <f t="shared" si="630"/>
        <v>0</v>
      </c>
      <c r="BM196" s="5"/>
      <c r="BN196" s="5"/>
      <c r="BO196" s="5"/>
      <c r="BP196" s="5"/>
      <c r="BQ196" s="5"/>
      <c r="BR196" s="5"/>
      <c r="BS196" s="5"/>
      <c r="BT196" s="5">
        <f t="shared" si="631"/>
        <v>0</v>
      </c>
      <c r="BV196" s="5">
        <f t="shared" si="611"/>
        <v>531594.14</v>
      </c>
      <c r="BW196" s="5">
        <f t="shared" si="612"/>
        <v>0</v>
      </c>
      <c r="BX196" s="5">
        <f t="shared" si="613"/>
        <v>0</v>
      </c>
      <c r="BY196" s="5">
        <f t="shared" si="614"/>
        <v>0</v>
      </c>
      <c r="BZ196" s="5">
        <f t="shared" si="615"/>
        <v>0</v>
      </c>
      <c r="CA196" s="5">
        <f t="shared" si="616"/>
        <v>0</v>
      </c>
      <c r="CB196" s="5"/>
      <c r="CC196" s="5">
        <f t="shared" si="633"/>
        <v>531594.14</v>
      </c>
    </row>
    <row r="197" spans="1:81" ht="15">
      <c r="A197" s="70" t="s">
        <v>177</v>
      </c>
      <c r="B197" s="71">
        <f>SUM(B172:B196)</f>
        <v>178900.32</v>
      </c>
      <c r="C197" s="71">
        <f t="shared" ref="C197:I197" si="634">SUM(C172:C196)</f>
        <v>0</v>
      </c>
      <c r="D197" s="71">
        <f t="shared" si="634"/>
        <v>367739.99999999994</v>
      </c>
      <c r="E197" s="71">
        <f t="shared" si="634"/>
        <v>0</v>
      </c>
      <c r="F197" s="71">
        <f t="shared" si="634"/>
        <v>0</v>
      </c>
      <c r="G197" s="71">
        <f t="shared" si="634"/>
        <v>255000</v>
      </c>
      <c r="H197" s="71">
        <f t="shared" si="634"/>
        <v>0</v>
      </c>
      <c r="I197" s="71">
        <f t="shared" si="634"/>
        <v>801640.32</v>
      </c>
      <c r="J197" s="7"/>
      <c r="K197" s="71">
        <f>SUM(K172:K196)</f>
        <v>307459.78000000003</v>
      </c>
      <c r="L197" s="71">
        <f t="shared" ref="L197:R197" si="635">SUM(L172:L196)</f>
        <v>0</v>
      </c>
      <c r="M197" s="71">
        <f t="shared" si="635"/>
        <v>417359.25</v>
      </c>
      <c r="N197" s="71">
        <f t="shared" si="635"/>
        <v>0</v>
      </c>
      <c r="O197" s="71">
        <f t="shared" si="635"/>
        <v>0</v>
      </c>
      <c r="P197" s="71">
        <f t="shared" si="635"/>
        <v>650000</v>
      </c>
      <c r="Q197" s="71">
        <f t="shared" si="635"/>
        <v>0</v>
      </c>
      <c r="R197" s="71">
        <f t="shared" si="635"/>
        <v>1374819.03</v>
      </c>
      <c r="T197" s="71">
        <f>SUM(T172:T196)</f>
        <v>371454.1</v>
      </c>
      <c r="U197" s="71">
        <f t="shared" ref="U197:AA197" si="636">SUM(U172:U196)</f>
        <v>0</v>
      </c>
      <c r="V197" s="71">
        <f t="shared" si="636"/>
        <v>325316.25000000006</v>
      </c>
      <c r="W197" s="71">
        <f t="shared" si="636"/>
        <v>0</v>
      </c>
      <c r="X197" s="71">
        <f t="shared" si="636"/>
        <v>0</v>
      </c>
      <c r="Y197" s="71">
        <f t="shared" si="636"/>
        <v>550000</v>
      </c>
      <c r="Z197" s="71">
        <f t="shared" si="636"/>
        <v>0</v>
      </c>
      <c r="AA197" s="71">
        <f t="shared" si="636"/>
        <v>1246770.3500000001</v>
      </c>
      <c r="AC197" s="71">
        <f>SUM(AC172:AC196)</f>
        <v>711541.24</v>
      </c>
      <c r="AD197" s="71">
        <f t="shared" ref="AD197:AJ197" si="637">SUM(AD172:AD196)</f>
        <v>0</v>
      </c>
      <c r="AE197" s="71">
        <f t="shared" si="637"/>
        <v>908819.99999999988</v>
      </c>
      <c r="AF197" s="71">
        <f t="shared" si="637"/>
        <v>0</v>
      </c>
      <c r="AG197" s="71">
        <f t="shared" si="637"/>
        <v>0</v>
      </c>
      <c r="AH197" s="71">
        <f t="shared" si="637"/>
        <v>1250000</v>
      </c>
      <c r="AI197" s="71">
        <f t="shared" si="637"/>
        <v>0</v>
      </c>
      <c r="AJ197" s="71">
        <f t="shared" si="637"/>
        <v>2870361.24</v>
      </c>
      <c r="AL197" s="71">
        <f>SUM(AL172:AL196)</f>
        <v>404796</v>
      </c>
      <c r="AM197" s="71">
        <f t="shared" ref="AM197:AS197" si="638">SUM(AM172:AM196)</f>
        <v>0</v>
      </c>
      <c r="AN197" s="71">
        <f t="shared" si="638"/>
        <v>598691.25</v>
      </c>
      <c r="AO197" s="71">
        <f t="shared" si="638"/>
        <v>0</v>
      </c>
      <c r="AP197" s="71">
        <f t="shared" si="638"/>
        <v>0</v>
      </c>
      <c r="AQ197" s="71">
        <f t="shared" si="638"/>
        <v>1600000</v>
      </c>
      <c r="AR197" s="71">
        <f t="shared" si="638"/>
        <v>0</v>
      </c>
      <c r="AS197" s="71">
        <f t="shared" si="638"/>
        <v>2603487.25</v>
      </c>
      <c r="AU197" s="71">
        <f>SUM(AU172:AU196)</f>
        <v>46109.2</v>
      </c>
      <c r="AV197" s="71">
        <f t="shared" ref="AV197:BB197" si="639">SUM(AV172:AV196)</f>
        <v>0</v>
      </c>
      <c r="AW197" s="71">
        <f t="shared" si="639"/>
        <v>20250</v>
      </c>
      <c r="AX197" s="71">
        <f t="shared" si="639"/>
        <v>0</v>
      </c>
      <c r="AY197" s="71">
        <f t="shared" si="639"/>
        <v>0</v>
      </c>
      <c r="AZ197" s="71">
        <f t="shared" si="639"/>
        <v>0</v>
      </c>
      <c r="BA197" s="71">
        <f t="shared" si="639"/>
        <v>0</v>
      </c>
      <c r="BB197" s="71">
        <f t="shared" si="639"/>
        <v>66359.199999999997</v>
      </c>
      <c r="BD197" s="71">
        <f>SUM(BD172:BD196)</f>
        <v>52420</v>
      </c>
      <c r="BE197" s="71">
        <f t="shared" ref="BE197:BK197" si="640">SUM(BE172:BE196)</f>
        <v>0</v>
      </c>
      <c r="BF197" s="71">
        <f t="shared" si="640"/>
        <v>192079.43999999997</v>
      </c>
      <c r="BG197" s="71">
        <f t="shared" si="640"/>
        <v>0</v>
      </c>
      <c r="BH197" s="71">
        <f t="shared" si="640"/>
        <v>0</v>
      </c>
      <c r="BI197" s="71">
        <f t="shared" si="640"/>
        <v>25000</v>
      </c>
      <c r="BJ197" s="71">
        <f t="shared" si="640"/>
        <v>0</v>
      </c>
      <c r="BK197" s="71">
        <f t="shared" si="640"/>
        <v>269499.43999999994</v>
      </c>
      <c r="BM197" s="71">
        <f>SUM(BM172:BM196)</f>
        <v>2000</v>
      </c>
      <c r="BN197" s="71">
        <f t="shared" ref="BN197:BT197" si="641">SUM(BN172:BN196)</f>
        <v>0</v>
      </c>
      <c r="BO197" s="71">
        <f t="shared" si="641"/>
        <v>0</v>
      </c>
      <c r="BP197" s="71">
        <f t="shared" si="641"/>
        <v>0</v>
      </c>
      <c r="BQ197" s="71">
        <f t="shared" si="641"/>
        <v>0</v>
      </c>
      <c r="BR197" s="71">
        <f t="shared" si="641"/>
        <v>0</v>
      </c>
      <c r="BS197" s="71">
        <f t="shared" si="641"/>
        <v>0</v>
      </c>
      <c r="BT197" s="71">
        <f t="shared" si="641"/>
        <v>2000</v>
      </c>
      <c r="BV197" s="71">
        <f>SUM(BV172:BV196)</f>
        <v>2074680.6400000001</v>
      </c>
      <c r="BW197" s="71">
        <f t="shared" ref="BW197:CB197" si="642">SUM(BW172:BW196)</f>
        <v>0</v>
      </c>
      <c r="BX197" s="71">
        <f t="shared" si="642"/>
        <v>2830256.19</v>
      </c>
      <c r="BY197" s="71">
        <f t="shared" si="642"/>
        <v>0</v>
      </c>
      <c r="BZ197" s="71">
        <f t="shared" si="642"/>
        <v>0</v>
      </c>
      <c r="CA197" s="71">
        <f t="shared" si="642"/>
        <v>4330000</v>
      </c>
      <c r="CB197" s="71">
        <f t="shared" si="642"/>
        <v>0</v>
      </c>
      <c r="CC197" s="71">
        <f>SUM(CC172:CC196)</f>
        <v>9234936.8300000001</v>
      </c>
    </row>
    <row r="198" spans="1:81" ht="15">
      <c r="A198" s="75" t="s">
        <v>178</v>
      </c>
      <c r="B198" s="18" t="str">
        <f t="shared" ref="B198:I198" si="643">B1</f>
        <v>Operating</v>
      </c>
      <c r="C198" s="18" t="str">
        <f t="shared" si="643"/>
        <v>SPED</v>
      </c>
      <c r="D198" s="18" t="str">
        <f t="shared" si="643"/>
        <v>NSLP</v>
      </c>
      <c r="E198" s="18" t="str">
        <f t="shared" si="643"/>
        <v>Other</v>
      </c>
      <c r="F198" s="18" t="str">
        <f t="shared" si="643"/>
        <v>Title I</v>
      </c>
      <c r="G198" s="18" t="str">
        <f t="shared" si="643"/>
        <v>SGF</v>
      </c>
      <c r="H198" s="18" t="str">
        <f t="shared" si="643"/>
        <v>Title III</v>
      </c>
      <c r="I198" s="18" t="str">
        <f t="shared" si="643"/>
        <v>Horizon</v>
      </c>
      <c r="J198" s="7"/>
      <c r="K198" s="18" t="str">
        <f t="shared" ref="K198:R198" si="644">K1</f>
        <v>Operating</v>
      </c>
      <c r="L198" s="18" t="str">
        <f t="shared" si="644"/>
        <v>SPED</v>
      </c>
      <c r="M198" s="18" t="str">
        <f t="shared" si="644"/>
        <v>NSLP</v>
      </c>
      <c r="N198" s="18" t="str">
        <f t="shared" si="644"/>
        <v>Other</v>
      </c>
      <c r="O198" s="18" t="str">
        <f t="shared" si="644"/>
        <v>Title I</v>
      </c>
      <c r="P198" s="18" t="str">
        <f t="shared" si="644"/>
        <v>SGF</v>
      </c>
      <c r="Q198" s="18" t="str">
        <f t="shared" si="644"/>
        <v>Title III</v>
      </c>
      <c r="R198" s="18" t="str">
        <f t="shared" si="644"/>
        <v>St. Rose</v>
      </c>
      <c r="T198" s="18" t="str">
        <f t="shared" ref="T198:AA198" si="645">T1</f>
        <v>Operating</v>
      </c>
      <c r="U198" s="18" t="str">
        <f t="shared" si="645"/>
        <v>SPED</v>
      </c>
      <c r="V198" s="18" t="str">
        <f t="shared" si="645"/>
        <v>NSLP</v>
      </c>
      <c r="W198" s="18" t="str">
        <f t="shared" si="645"/>
        <v>Other</v>
      </c>
      <c r="X198" s="18" t="str">
        <f t="shared" si="645"/>
        <v>Title I</v>
      </c>
      <c r="Y198" s="18" t="str">
        <f t="shared" si="645"/>
        <v>SGF</v>
      </c>
      <c r="Z198" s="18" t="str">
        <f t="shared" si="645"/>
        <v>Title III</v>
      </c>
      <c r="AA198" s="18" t="str">
        <f t="shared" si="645"/>
        <v>Inspirada</v>
      </c>
      <c r="AC198" s="18" t="str">
        <f t="shared" ref="AC198:AJ198" si="646">AC1</f>
        <v>Operating</v>
      </c>
      <c r="AD198" s="18" t="str">
        <f t="shared" si="646"/>
        <v>SPED</v>
      </c>
      <c r="AE198" s="18" t="str">
        <f t="shared" si="646"/>
        <v>NSLP</v>
      </c>
      <c r="AF198" s="18" t="str">
        <f t="shared" si="646"/>
        <v>Other</v>
      </c>
      <c r="AG198" s="18" t="str">
        <f t="shared" si="646"/>
        <v>Title I</v>
      </c>
      <c r="AH198" s="18" t="str">
        <f t="shared" si="646"/>
        <v>SGF</v>
      </c>
      <c r="AI198" s="18" t="str">
        <f t="shared" si="646"/>
        <v>Title III</v>
      </c>
      <c r="AJ198" s="18" t="str">
        <f t="shared" si="646"/>
        <v>Cadence</v>
      </c>
      <c r="AL198" s="18" t="str">
        <f t="shared" ref="AL198:AS198" si="647">AL1</f>
        <v>Operating</v>
      </c>
      <c r="AM198" s="18" t="str">
        <f t="shared" si="647"/>
        <v>SPED</v>
      </c>
      <c r="AN198" s="18" t="str">
        <f t="shared" si="647"/>
        <v>NSLP</v>
      </c>
      <c r="AO198" s="18" t="str">
        <f t="shared" si="647"/>
        <v>Other</v>
      </c>
      <c r="AP198" s="18" t="str">
        <f t="shared" si="647"/>
        <v>Title I</v>
      </c>
      <c r="AQ198" s="18" t="str">
        <f t="shared" si="647"/>
        <v>SGF</v>
      </c>
      <c r="AR198" s="18" t="str">
        <f t="shared" si="647"/>
        <v>Title III</v>
      </c>
      <c r="AS198" s="18" t="str">
        <f t="shared" si="647"/>
        <v>Sloan</v>
      </c>
      <c r="AU198" s="18" t="str">
        <f t="shared" ref="AU198:BB198" si="648">AU1</f>
        <v>Operating</v>
      </c>
      <c r="AV198" s="18" t="str">
        <f t="shared" si="648"/>
        <v>SPED</v>
      </c>
      <c r="AW198" s="18" t="str">
        <f t="shared" si="648"/>
        <v>NSLP</v>
      </c>
      <c r="AX198" s="18" t="str">
        <f t="shared" si="648"/>
        <v>Other</v>
      </c>
      <c r="AY198" s="18" t="str">
        <f t="shared" si="648"/>
        <v>Title I</v>
      </c>
      <c r="AZ198" s="18" t="str">
        <f t="shared" si="648"/>
        <v>SGF</v>
      </c>
      <c r="BA198" s="18" t="str">
        <f t="shared" si="648"/>
        <v>Title III</v>
      </c>
      <c r="BB198" s="18" t="str">
        <f t="shared" si="648"/>
        <v>Virtual</v>
      </c>
      <c r="BD198" s="18" t="str">
        <f t="shared" ref="BD198:BK198" si="649">BD1</f>
        <v>Operating</v>
      </c>
      <c r="BE198" s="18" t="str">
        <f t="shared" si="649"/>
        <v>SPED</v>
      </c>
      <c r="BF198" s="18" t="str">
        <f t="shared" si="649"/>
        <v>NSLP</v>
      </c>
      <c r="BG198" s="18" t="str">
        <f t="shared" si="649"/>
        <v>Other</v>
      </c>
      <c r="BH198" s="18" t="str">
        <f t="shared" si="649"/>
        <v>Title I</v>
      </c>
      <c r="BI198" s="18" t="str">
        <f t="shared" si="649"/>
        <v>SGF</v>
      </c>
      <c r="BJ198" s="18" t="str">
        <f t="shared" si="649"/>
        <v>Title III</v>
      </c>
      <c r="BK198" s="18" t="str">
        <f t="shared" si="649"/>
        <v>Springs</v>
      </c>
      <c r="BM198" s="18" t="str">
        <f t="shared" ref="BM198:BT198" si="650">BM1</f>
        <v>Operating</v>
      </c>
      <c r="BN198" s="18" t="str">
        <f t="shared" si="650"/>
        <v>SPED</v>
      </c>
      <c r="BO198" s="18" t="str">
        <f t="shared" si="650"/>
        <v>NSLP</v>
      </c>
      <c r="BP198" s="18" t="str">
        <f t="shared" si="650"/>
        <v>Other</v>
      </c>
      <c r="BQ198" s="18" t="str">
        <f t="shared" si="650"/>
        <v>Title I</v>
      </c>
      <c r="BR198" s="18" t="str">
        <f t="shared" si="650"/>
        <v>SGF</v>
      </c>
      <c r="BS198" s="18" t="str">
        <f t="shared" si="650"/>
        <v>Title III</v>
      </c>
      <c r="BT198" s="18" t="str">
        <f t="shared" si="650"/>
        <v>Exec. Office</v>
      </c>
      <c r="BV198" s="18" t="str">
        <f t="shared" ref="BV198:CC198" si="651">BV1</f>
        <v>Operating</v>
      </c>
      <c r="BW198" s="18" t="str">
        <f t="shared" si="651"/>
        <v>SPED</v>
      </c>
      <c r="BX198" s="18" t="str">
        <f t="shared" si="651"/>
        <v>NSLP</v>
      </c>
      <c r="BY198" s="18" t="str">
        <f t="shared" si="651"/>
        <v>Other</v>
      </c>
      <c r="BZ198" s="18" t="str">
        <f t="shared" si="651"/>
        <v>Title I</v>
      </c>
      <c r="CA198" s="18" t="str">
        <f t="shared" si="651"/>
        <v>SGF</v>
      </c>
      <c r="CB198" s="18" t="str">
        <f t="shared" si="651"/>
        <v>Title III</v>
      </c>
      <c r="CC198" s="18" t="str">
        <f t="shared" si="651"/>
        <v>Systemwide</v>
      </c>
    </row>
    <row r="199" spans="1:81">
      <c r="A199" s="81" t="s">
        <v>179</v>
      </c>
      <c r="B199" s="83">
        <v>120000</v>
      </c>
      <c r="C199" s="5"/>
      <c r="D199" s="5"/>
      <c r="E199" s="5"/>
      <c r="F199" s="5"/>
      <c r="G199" s="5"/>
      <c r="H199" s="5"/>
      <c r="I199" s="5">
        <f t="shared" ref="I199:I208" si="652">SUM(B199:H199)</f>
        <v>120000</v>
      </c>
      <c r="J199" s="6"/>
      <c r="K199" s="83">
        <v>100000</v>
      </c>
      <c r="L199" s="5"/>
      <c r="M199" s="5"/>
      <c r="N199" s="5"/>
      <c r="O199" s="5"/>
      <c r="P199" s="5"/>
      <c r="Q199" s="5"/>
      <c r="R199" s="5">
        <f t="shared" ref="R199:R208" si="653">SUM(K199:Q199)</f>
        <v>100000</v>
      </c>
      <c r="T199" s="83">
        <v>120000</v>
      </c>
      <c r="U199" s="5"/>
      <c r="V199" s="5"/>
      <c r="W199" s="5"/>
      <c r="X199" s="5"/>
      <c r="Y199" s="5"/>
      <c r="Z199" s="5"/>
      <c r="AA199" s="5">
        <f t="shared" ref="AA199:AA208" si="654">SUM(T199:Z199)</f>
        <v>120000</v>
      </c>
      <c r="AC199" s="83">
        <f>25000*12</f>
        <v>300000</v>
      </c>
      <c r="AD199" s="5"/>
      <c r="AE199" s="5"/>
      <c r="AF199" s="5"/>
      <c r="AG199" s="5"/>
      <c r="AH199" s="5"/>
      <c r="AI199" s="5"/>
      <c r="AJ199" s="5">
        <f t="shared" ref="AJ199:AJ208" si="655">SUM(AC199:AI199)</f>
        <v>300000</v>
      </c>
      <c r="AL199" s="83">
        <v>290000</v>
      </c>
      <c r="AM199" s="5"/>
      <c r="AN199" s="5"/>
      <c r="AO199" s="5"/>
      <c r="AP199" s="5"/>
      <c r="AQ199" s="5"/>
      <c r="AR199" s="5"/>
      <c r="AS199" s="5">
        <f t="shared" ref="AS199:AS208" si="656">SUM(AL199:AR199)</f>
        <v>290000</v>
      </c>
      <c r="AU199" s="83"/>
      <c r="AV199" s="5"/>
      <c r="AW199" s="5"/>
      <c r="AX199" s="5"/>
      <c r="AY199" s="5"/>
      <c r="AZ199" s="5"/>
      <c r="BA199" s="5"/>
      <c r="BB199" s="5">
        <f t="shared" ref="BB199:BB208" si="657">SUM(AU199:BA199)</f>
        <v>0</v>
      </c>
      <c r="BD199" s="83">
        <f>1500*12</f>
        <v>18000</v>
      </c>
      <c r="BE199" s="5"/>
      <c r="BF199" s="5"/>
      <c r="BG199" s="5"/>
      <c r="BH199" s="5"/>
      <c r="BI199" s="5"/>
      <c r="BJ199" s="5"/>
      <c r="BK199" s="5">
        <f t="shared" ref="BK199:BK208" si="658">SUM(BD199:BJ199)</f>
        <v>18000</v>
      </c>
      <c r="BM199" s="83"/>
      <c r="BN199" s="5"/>
      <c r="BO199" s="5"/>
      <c r="BP199" s="5"/>
      <c r="BQ199" s="5"/>
      <c r="BR199" s="5"/>
      <c r="BS199" s="5"/>
      <c r="BT199" s="5">
        <f t="shared" ref="BT199:BT208" si="659">SUM(BM199:BS199)</f>
        <v>0</v>
      </c>
      <c r="BV199" s="5">
        <f t="shared" ref="BV199" si="660">B199+K199+T199+AC199+AL199+AU199+BD199+BM199</f>
        <v>948000</v>
      </c>
      <c r="BW199" s="5">
        <f t="shared" ref="BW199" si="661">C199+L199+U199+AD199+AM199+AV199+BE199+BN199</f>
        <v>0</v>
      </c>
      <c r="BX199" s="5">
        <f t="shared" ref="BX199" si="662">D199+M199+V199+AE199+AN199+AW199+BF199+BO199</f>
        <v>0</v>
      </c>
      <c r="BY199" s="5">
        <f t="shared" ref="BY199" si="663">E199+N199+W199+AF199+AO199+AX199+BG199+BP199</f>
        <v>0</v>
      </c>
      <c r="BZ199" s="5">
        <f t="shared" ref="BZ199" si="664">F199+O199+X199+AG199+AP199+AY199+BH199+BQ199</f>
        <v>0</v>
      </c>
      <c r="CA199" s="5">
        <f t="shared" ref="CA199" si="665">G199+P199+Y199+AH199+AQ199+AZ199+BI199+BR199</f>
        <v>0</v>
      </c>
      <c r="CB199" s="5"/>
      <c r="CC199" s="5">
        <f t="shared" ref="CC199:CC208" si="666">SUM(BV199:CB199)</f>
        <v>948000</v>
      </c>
    </row>
    <row r="200" spans="1:81">
      <c r="A200" s="29" t="s">
        <v>180</v>
      </c>
      <c r="B200" s="62">
        <f>350*12</f>
        <v>4200</v>
      </c>
      <c r="C200" s="5"/>
      <c r="D200" s="5"/>
      <c r="E200" s="5"/>
      <c r="F200" s="5"/>
      <c r="G200" s="5"/>
      <c r="H200" s="5"/>
      <c r="I200" s="5">
        <f t="shared" si="652"/>
        <v>4200</v>
      </c>
      <c r="K200" s="79">
        <v>0</v>
      </c>
      <c r="L200" s="5"/>
      <c r="M200" s="5"/>
      <c r="N200" s="5"/>
      <c r="O200" s="5"/>
      <c r="P200" s="5"/>
      <c r="Q200" s="5"/>
      <c r="R200" s="5">
        <f t="shared" si="653"/>
        <v>0</v>
      </c>
      <c r="T200" s="79">
        <v>0</v>
      </c>
      <c r="U200" s="5"/>
      <c r="V200" s="5"/>
      <c r="W200" s="5"/>
      <c r="X200" s="5"/>
      <c r="Y200" s="5"/>
      <c r="Z200" s="5"/>
      <c r="AA200" s="5">
        <f t="shared" si="654"/>
        <v>0</v>
      </c>
      <c r="AC200" s="79">
        <v>0</v>
      </c>
      <c r="AD200" s="5"/>
      <c r="AE200" s="5"/>
      <c r="AF200" s="5"/>
      <c r="AG200" s="5"/>
      <c r="AH200" s="5"/>
      <c r="AI200" s="5"/>
      <c r="AJ200" s="5">
        <f t="shared" si="655"/>
        <v>0</v>
      </c>
      <c r="AL200" s="79">
        <v>0</v>
      </c>
      <c r="AM200" s="5"/>
      <c r="AN200" s="5"/>
      <c r="AO200" s="5"/>
      <c r="AP200" s="5"/>
      <c r="AQ200" s="5"/>
      <c r="AR200" s="5"/>
      <c r="AS200" s="5">
        <f t="shared" si="656"/>
        <v>0</v>
      </c>
      <c r="AU200" s="62"/>
      <c r="AV200" s="5"/>
      <c r="AW200" s="5"/>
      <c r="AX200" s="5"/>
      <c r="AY200" s="5"/>
      <c r="AZ200" s="5"/>
      <c r="BA200" s="5"/>
      <c r="BB200" s="5">
        <f t="shared" si="657"/>
        <v>0</v>
      </c>
      <c r="BD200" s="62">
        <f>125*10</f>
        <v>1250</v>
      </c>
      <c r="BE200" s="5"/>
      <c r="BF200" s="5"/>
      <c r="BG200" s="5"/>
      <c r="BH200" s="5"/>
      <c r="BI200" s="5"/>
      <c r="BJ200" s="5"/>
      <c r="BK200" s="5">
        <f t="shared" si="658"/>
        <v>1250</v>
      </c>
      <c r="BM200" s="62"/>
      <c r="BN200" s="5"/>
      <c r="BO200" s="5"/>
      <c r="BP200" s="5"/>
      <c r="BQ200" s="5"/>
      <c r="BR200" s="5"/>
      <c r="BS200" s="5"/>
      <c r="BT200" s="5">
        <f t="shared" si="659"/>
        <v>0</v>
      </c>
      <c r="BV200" s="5">
        <f t="shared" ref="BV200:BV208" si="667">B200+K200+T200+AC200+AL200+AU200+BD200+BM200</f>
        <v>5450</v>
      </c>
      <c r="BW200" s="5">
        <f t="shared" ref="BW200:BW208" si="668">C200+L200+U200+AD200+AM200+AV200+BE200+BN200</f>
        <v>0</v>
      </c>
      <c r="BX200" s="5">
        <f t="shared" ref="BX200:BX208" si="669">D200+M200+V200+AE200+AN200+AW200+BF200+BO200</f>
        <v>0</v>
      </c>
      <c r="BY200" s="5">
        <f t="shared" ref="BY200:BY208" si="670">E200+N200+W200+AF200+AO200+AX200+BG200+BP200</f>
        <v>0</v>
      </c>
      <c r="BZ200" s="5">
        <f t="shared" ref="BZ200:BZ208" si="671">F200+O200+X200+AG200+AP200+AY200+BH200+BQ200</f>
        <v>0</v>
      </c>
      <c r="CA200" s="5">
        <f t="shared" ref="CA200:CA208" si="672">G200+P200+Y200+AH200+AQ200+AZ200+BI200+BR200</f>
        <v>0</v>
      </c>
      <c r="CB200" s="5"/>
      <c r="CC200" s="5">
        <f t="shared" si="666"/>
        <v>5450</v>
      </c>
    </row>
    <row r="201" spans="1:81">
      <c r="A201" s="29" t="s">
        <v>181</v>
      </c>
      <c r="B201" s="79">
        <v>32000</v>
      </c>
      <c r="C201" s="5"/>
      <c r="D201" s="5"/>
      <c r="E201" s="5"/>
      <c r="F201" s="5"/>
      <c r="G201" s="5"/>
      <c r="H201" s="5"/>
      <c r="I201" s="5">
        <f t="shared" si="652"/>
        <v>32000</v>
      </c>
      <c r="K201" s="79">
        <v>23000</v>
      </c>
      <c r="L201" s="5"/>
      <c r="M201" s="5"/>
      <c r="N201" s="5"/>
      <c r="O201" s="5"/>
      <c r="P201" s="5"/>
      <c r="Q201" s="5"/>
      <c r="R201" s="5">
        <f t="shared" si="653"/>
        <v>23000</v>
      </c>
      <c r="T201" s="79">
        <v>23500</v>
      </c>
      <c r="U201" s="5"/>
      <c r="V201" s="5"/>
      <c r="W201" s="5"/>
      <c r="X201" s="5"/>
      <c r="Y201" s="5"/>
      <c r="Z201" s="5"/>
      <c r="AA201" s="5">
        <f t="shared" si="654"/>
        <v>23500</v>
      </c>
      <c r="AC201" s="79">
        <v>52500</v>
      </c>
      <c r="AD201" s="5"/>
      <c r="AE201" s="5"/>
      <c r="AF201" s="5"/>
      <c r="AG201" s="5"/>
      <c r="AH201" s="5"/>
      <c r="AI201" s="5"/>
      <c r="AJ201" s="5">
        <f t="shared" si="655"/>
        <v>52500</v>
      </c>
      <c r="AL201" s="79">
        <v>40000</v>
      </c>
      <c r="AM201" s="5"/>
      <c r="AN201" s="5"/>
      <c r="AO201" s="5"/>
      <c r="AP201" s="5"/>
      <c r="AQ201" s="5"/>
      <c r="AR201" s="5"/>
      <c r="AS201" s="5">
        <f t="shared" si="656"/>
        <v>40000</v>
      </c>
      <c r="AU201" s="79"/>
      <c r="AV201" s="5"/>
      <c r="AW201" s="5"/>
      <c r="AX201" s="5"/>
      <c r="AY201" s="5"/>
      <c r="AZ201" s="5"/>
      <c r="BA201" s="5"/>
      <c r="BB201" s="5">
        <f t="shared" si="657"/>
        <v>0</v>
      </c>
      <c r="BD201" s="79">
        <f>8000</f>
        <v>8000</v>
      </c>
      <c r="BE201" s="5"/>
      <c r="BF201" s="5"/>
      <c r="BG201" s="5"/>
      <c r="BH201" s="5"/>
      <c r="BI201" s="5"/>
      <c r="BJ201" s="5"/>
      <c r="BK201" s="5">
        <f t="shared" si="658"/>
        <v>8000</v>
      </c>
      <c r="BM201" s="79"/>
      <c r="BN201" s="5"/>
      <c r="BO201" s="5"/>
      <c r="BP201" s="5"/>
      <c r="BQ201" s="5"/>
      <c r="BR201" s="5"/>
      <c r="BS201" s="5"/>
      <c r="BT201" s="5">
        <f t="shared" si="659"/>
        <v>0</v>
      </c>
      <c r="BV201" s="5">
        <f t="shared" si="667"/>
        <v>179000</v>
      </c>
      <c r="BW201" s="5">
        <f t="shared" si="668"/>
        <v>0</v>
      </c>
      <c r="BX201" s="5">
        <f t="shared" si="669"/>
        <v>0</v>
      </c>
      <c r="BY201" s="5">
        <f t="shared" si="670"/>
        <v>0</v>
      </c>
      <c r="BZ201" s="5">
        <f t="shared" si="671"/>
        <v>0</v>
      </c>
      <c r="CA201" s="5">
        <f t="shared" si="672"/>
        <v>0</v>
      </c>
      <c r="CB201" s="5"/>
      <c r="CC201" s="5">
        <f t="shared" si="666"/>
        <v>179000</v>
      </c>
    </row>
    <row r="202" spans="1:81">
      <c r="A202" s="29" t="s">
        <v>182</v>
      </c>
      <c r="B202" s="79">
        <v>23000</v>
      </c>
      <c r="C202" s="5"/>
      <c r="D202" s="5"/>
      <c r="E202" s="5"/>
      <c r="F202" s="5"/>
      <c r="G202" s="5"/>
      <c r="H202" s="5"/>
      <c r="I202" s="5">
        <f t="shared" si="652"/>
        <v>23000</v>
      </c>
      <c r="K202" s="79">
        <v>19000</v>
      </c>
      <c r="L202" s="5"/>
      <c r="M202" s="5"/>
      <c r="N202" s="5"/>
      <c r="O202" s="5"/>
      <c r="P202" s="5"/>
      <c r="Q202" s="5"/>
      <c r="R202" s="5">
        <f t="shared" si="653"/>
        <v>19000</v>
      </c>
      <c r="T202" s="79">
        <v>33000</v>
      </c>
      <c r="U202" s="5"/>
      <c r="V202" s="5"/>
      <c r="W202" s="5"/>
      <c r="X202" s="5"/>
      <c r="Y202" s="5"/>
      <c r="Z202" s="5"/>
      <c r="AA202" s="5">
        <f t="shared" si="654"/>
        <v>33000</v>
      </c>
      <c r="AC202" s="79">
        <v>62000</v>
      </c>
      <c r="AD202" s="5"/>
      <c r="AE202" s="5"/>
      <c r="AF202" s="5"/>
      <c r="AG202" s="5"/>
      <c r="AH202" s="5"/>
      <c r="AI202" s="5"/>
      <c r="AJ202" s="5">
        <f t="shared" si="655"/>
        <v>62000</v>
      </c>
      <c r="AL202" s="79">
        <v>62500</v>
      </c>
      <c r="AM202" s="5"/>
      <c r="AN202" s="5"/>
      <c r="AO202" s="5"/>
      <c r="AP202" s="5"/>
      <c r="AQ202" s="5"/>
      <c r="AR202" s="5"/>
      <c r="AS202" s="5">
        <f t="shared" si="656"/>
        <v>62500</v>
      </c>
      <c r="AU202" s="79"/>
      <c r="AV202" s="5"/>
      <c r="AW202" s="5"/>
      <c r="AX202" s="5"/>
      <c r="AY202" s="5"/>
      <c r="AZ202" s="5"/>
      <c r="BA202" s="5"/>
      <c r="BB202" s="5">
        <f t="shared" si="657"/>
        <v>0</v>
      </c>
      <c r="BD202" s="79">
        <f>1500*12</f>
        <v>18000</v>
      </c>
      <c r="BE202" s="5"/>
      <c r="BF202" s="5"/>
      <c r="BG202" s="5"/>
      <c r="BH202" s="5"/>
      <c r="BI202" s="5"/>
      <c r="BJ202" s="5"/>
      <c r="BK202" s="5">
        <f t="shared" si="658"/>
        <v>18000</v>
      </c>
      <c r="BM202" s="79"/>
      <c r="BN202" s="5"/>
      <c r="BO202" s="5"/>
      <c r="BP202" s="5"/>
      <c r="BQ202" s="5"/>
      <c r="BR202" s="5"/>
      <c r="BS202" s="5"/>
      <c r="BT202" s="5">
        <f t="shared" si="659"/>
        <v>0</v>
      </c>
      <c r="BV202" s="5">
        <f t="shared" si="667"/>
        <v>217500</v>
      </c>
      <c r="BW202" s="5">
        <f t="shared" si="668"/>
        <v>0</v>
      </c>
      <c r="BX202" s="5">
        <f t="shared" si="669"/>
        <v>0</v>
      </c>
      <c r="BY202" s="5">
        <f t="shared" si="670"/>
        <v>0</v>
      </c>
      <c r="BZ202" s="5">
        <f t="shared" si="671"/>
        <v>0</v>
      </c>
      <c r="CA202" s="5">
        <f t="shared" si="672"/>
        <v>0</v>
      </c>
      <c r="CB202" s="5"/>
      <c r="CC202" s="5">
        <f t="shared" si="666"/>
        <v>217500</v>
      </c>
    </row>
    <row r="203" spans="1:81">
      <c r="A203" s="29" t="s">
        <v>183</v>
      </c>
      <c r="B203" s="79">
        <v>12500</v>
      </c>
      <c r="C203" s="5"/>
      <c r="D203" s="5"/>
      <c r="E203" s="5"/>
      <c r="F203" s="5"/>
      <c r="G203" s="5"/>
      <c r="H203" s="5"/>
      <c r="I203" s="5">
        <f t="shared" si="652"/>
        <v>12500</v>
      </c>
      <c r="K203" s="79">
        <v>8500</v>
      </c>
      <c r="L203" s="5"/>
      <c r="M203" s="5"/>
      <c r="N203" s="5"/>
      <c r="O203" s="5"/>
      <c r="P203" s="5"/>
      <c r="Q203" s="5"/>
      <c r="R203" s="5">
        <f t="shared" si="653"/>
        <v>8500</v>
      </c>
      <c r="T203" s="79">
        <v>15000</v>
      </c>
      <c r="U203" s="5"/>
      <c r="V203" s="5"/>
      <c r="W203" s="5"/>
      <c r="X203" s="5"/>
      <c r="Y203" s="5"/>
      <c r="Z203" s="5"/>
      <c r="AA203" s="5">
        <f t="shared" si="654"/>
        <v>15000</v>
      </c>
      <c r="AC203" s="79">
        <f>5810*3+1500</f>
        <v>18930</v>
      </c>
      <c r="AD203" s="5"/>
      <c r="AE203" s="5"/>
      <c r="AF203" s="5"/>
      <c r="AG203" s="5"/>
      <c r="AH203" s="5"/>
      <c r="AI203" s="5"/>
      <c r="AJ203" s="5">
        <f t="shared" si="655"/>
        <v>18930</v>
      </c>
      <c r="AL203" s="79">
        <f>5460*3</f>
        <v>16380</v>
      </c>
      <c r="AM203" s="5"/>
      <c r="AN203" s="5"/>
      <c r="AO203" s="5"/>
      <c r="AP203" s="5"/>
      <c r="AQ203" s="5"/>
      <c r="AR203" s="5"/>
      <c r="AS203" s="5">
        <f t="shared" si="656"/>
        <v>16380</v>
      </c>
      <c r="AU203" s="79"/>
      <c r="AV203" s="5"/>
      <c r="AW203" s="5"/>
      <c r="AX203" s="5"/>
      <c r="AY203" s="5"/>
      <c r="AZ203" s="5"/>
      <c r="BA203" s="5"/>
      <c r="BB203" s="5">
        <f t="shared" si="657"/>
        <v>0</v>
      </c>
      <c r="BD203" s="79">
        <v>4000</v>
      </c>
      <c r="BE203" s="5"/>
      <c r="BF203" s="5"/>
      <c r="BG203" s="5"/>
      <c r="BH203" s="5"/>
      <c r="BI203" s="5"/>
      <c r="BJ203" s="5"/>
      <c r="BK203" s="5">
        <f t="shared" si="658"/>
        <v>4000</v>
      </c>
      <c r="BM203" s="79"/>
      <c r="BN203" s="5"/>
      <c r="BO203" s="5"/>
      <c r="BP203" s="5"/>
      <c r="BQ203" s="5"/>
      <c r="BR203" s="5"/>
      <c r="BS203" s="5"/>
      <c r="BT203" s="5">
        <f t="shared" si="659"/>
        <v>0</v>
      </c>
      <c r="BV203" s="5">
        <f t="shared" si="667"/>
        <v>75310</v>
      </c>
      <c r="BW203" s="5">
        <f t="shared" si="668"/>
        <v>0</v>
      </c>
      <c r="BX203" s="5">
        <f t="shared" si="669"/>
        <v>0</v>
      </c>
      <c r="BY203" s="5">
        <f t="shared" si="670"/>
        <v>0</v>
      </c>
      <c r="BZ203" s="5">
        <f t="shared" si="671"/>
        <v>0</v>
      </c>
      <c r="CA203" s="5">
        <f t="shared" si="672"/>
        <v>0</v>
      </c>
      <c r="CB203" s="5"/>
      <c r="CC203" s="5">
        <f t="shared" si="666"/>
        <v>75310</v>
      </c>
    </row>
    <row r="204" spans="1:81">
      <c r="A204" s="29" t="s">
        <v>184</v>
      </c>
      <c r="B204" s="62">
        <f>6305*13</f>
        <v>81965</v>
      </c>
      <c r="C204" s="5"/>
      <c r="D204" s="5"/>
      <c r="E204" s="5"/>
      <c r="F204" s="5"/>
      <c r="G204" s="5"/>
      <c r="H204" s="5"/>
      <c r="I204" s="5">
        <f t="shared" si="652"/>
        <v>81965</v>
      </c>
      <c r="K204" s="62">
        <f>7850*13</f>
        <v>102050</v>
      </c>
      <c r="L204" s="5"/>
      <c r="M204" s="5"/>
      <c r="N204" s="5"/>
      <c r="O204" s="5"/>
      <c r="P204" s="5"/>
      <c r="Q204" s="5"/>
      <c r="R204" s="5">
        <f t="shared" si="653"/>
        <v>102050</v>
      </c>
      <c r="T204" s="62">
        <f>9000*13</f>
        <v>117000</v>
      </c>
      <c r="U204" s="5"/>
      <c r="V204" s="5"/>
      <c r="W204" s="5"/>
      <c r="X204" s="5"/>
      <c r="Y204" s="5"/>
      <c r="Z204" s="5"/>
      <c r="AA204" s="5">
        <f t="shared" si="654"/>
        <v>117000</v>
      </c>
      <c r="AC204" s="11">
        <f>((19950*13)+12200)+15500</f>
        <v>287050</v>
      </c>
      <c r="AD204" s="5"/>
      <c r="AE204" s="5"/>
      <c r="AF204" s="5"/>
      <c r="AG204" s="5"/>
      <c r="AH204" s="5"/>
      <c r="AI204" s="5"/>
      <c r="AJ204" s="5">
        <f t="shared" si="655"/>
        <v>287050</v>
      </c>
      <c r="AL204" s="62">
        <f>(22900*13)+12200+15500</f>
        <v>325400</v>
      </c>
      <c r="AM204" s="5"/>
      <c r="AN204" s="5"/>
      <c r="AO204" s="5"/>
      <c r="AP204" s="5"/>
      <c r="AQ204" s="5"/>
      <c r="AR204" s="5"/>
      <c r="AS204" s="5">
        <f t="shared" si="656"/>
        <v>325400</v>
      </c>
      <c r="AU204" s="62"/>
      <c r="AV204" s="5"/>
      <c r="AW204" s="5"/>
      <c r="AX204" s="5"/>
      <c r="AY204" s="5"/>
      <c r="AZ204" s="5"/>
      <c r="BA204" s="5"/>
      <c r="BB204" s="5">
        <f t="shared" si="657"/>
        <v>0</v>
      </c>
      <c r="BD204" s="62">
        <f>(1585*13)</f>
        <v>20605</v>
      </c>
      <c r="BE204" s="5"/>
      <c r="BF204" s="5"/>
      <c r="BG204" s="5"/>
      <c r="BH204" s="5"/>
      <c r="BI204" s="5"/>
      <c r="BJ204" s="5"/>
      <c r="BK204" s="5">
        <f t="shared" si="658"/>
        <v>20605</v>
      </c>
      <c r="BM204" s="62"/>
      <c r="BN204" s="5"/>
      <c r="BO204" s="5"/>
      <c r="BP204" s="5"/>
      <c r="BQ204" s="5"/>
      <c r="BR204" s="5"/>
      <c r="BS204" s="5"/>
      <c r="BT204" s="5">
        <f t="shared" si="659"/>
        <v>0</v>
      </c>
      <c r="BV204" s="5">
        <f t="shared" si="667"/>
        <v>934070</v>
      </c>
      <c r="BW204" s="5">
        <f t="shared" si="668"/>
        <v>0</v>
      </c>
      <c r="BX204" s="5">
        <f t="shared" si="669"/>
        <v>0</v>
      </c>
      <c r="BY204" s="5">
        <f t="shared" si="670"/>
        <v>0</v>
      </c>
      <c r="BZ204" s="5">
        <f t="shared" si="671"/>
        <v>0</v>
      </c>
      <c r="CA204" s="5">
        <f t="shared" si="672"/>
        <v>0</v>
      </c>
      <c r="CB204" s="5"/>
      <c r="CC204" s="5">
        <f t="shared" si="666"/>
        <v>934070</v>
      </c>
    </row>
    <row r="205" spans="1:81">
      <c r="A205" s="29" t="s">
        <v>185</v>
      </c>
      <c r="B205" s="11">
        <v>90000</v>
      </c>
      <c r="C205" s="5"/>
      <c r="D205" s="5"/>
      <c r="E205" s="5"/>
      <c r="F205" s="5"/>
      <c r="G205" s="5"/>
      <c r="H205" s="5"/>
      <c r="I205" s="5">
        <f t="shared" si="652"/>
        <v>90000</v>
      </c>
      <c r="K205" s="11">
        <v>95000</v>
      </c>
      <c r="L205" s="5"/>
      <c r="M205" s="5"/>
      <c r="N205" s="5"/>
      <c r="O205" s="5"/>
      <c r="P205" s="5"/>
      <c r="Q205" s="5"/>
      <c r="R205" s="5">
        <f t="shared" si="653"/>
        <v>95000</v>
      </c>
      <c r="T205" s="11">
        <v>100000</v>
      </c>
      <c r="U205" s="5"/>
      <c r="V205" s="5"/>
      <c r="W205" s="5"/>
      <c r="X205" s="5"/>
      <c r="Y205" s="5"/>
      <c r="Z205" s="5"/>
      <c r="AA205" s="5">
        <f t="shared" si="654"/>
        <v>100000</v>
      </c>
      <c r="AC205" s="11">
        <v>185000</v>
      </c>
      <c r="AD205" s="5"/>
      <c r="AE205" s="5"/>
      <c r="AF205" s="5">
        <v>120000</v>
      </c>
      <c r="AG205" s="5"/>
      <c r="AH205" s="5"/>
      <c r="AI205" s="5"/>
      <c r="AJ205" s="5">
        <f t="shared" si="655"/>
        <v>305000</v>
      </c>
      <c r="AL205" s="11">
        <v>130000</v>
      </c>
      <c r="AM205" s="5"/>
      <c r="AN205" s="5"/>
      <c r="AO205" s="5">
        <v>425869</v>
      </c>
      <c r="AP205" s="5"/>
      <c r="AQ205" s="5"/>
      <c r="AR205" s="5"/>
      <c r="AS205" s="5">
        <f t="shared" si="656"/>
        <v>555869</v>
      </c>
      <c r="AU205" s="11"/>
      <c r="AV205" s="5"/>
      <c r="AW205" s="5"/>
      <c r="AX205" s="5"/>
      <c r="AY205" s="5"/>
      <c r="AZ205" s="5"/>
      <c r="BA205" s="5"/>
      <c r="BB205" s="5">
        <f t="shared" si="657"/>
        <v>0</v>
      </c>
      <c r="BD205" s="11">
        <v>21500</v>
      </c>
      <c r="BE205" s="5"/>
      <c r="BF205" s="5"/>
      <c r="BG205" s="5"/>
      <c r="BH205" s="5"/>
      <c r="BI205" s="5"/>
      <c r="BJ205" s="5"/>
      <c r="BK205" s="5">
        <f t="shared" si="658"/>
        <v>21500</v>
      </c>
      <c r="BM205" s="11"/>
      <c r="BN205" s="5"/>
      <c r="BO205" s="5"/>
      <c r="BP205" s="5">
        <v>365000</v>
      </c>
      <c r="BQ205" s="5"/>
      <c r="BR205" s="5"/>
      <c r="BS205" s="5"/>
      <c r="BT205" s="5">
        <f t="shared" si="659"/>
        <v>365000</v>
      </c>
      <c r="BV205" s="5">
        <f t="shared" si="667"/>
        <v>621500</v>
      </c>
      <c r="BW205" s="5">
        <f t="shared" si="668"/>
        <v>0</v>
      </c>
      <c r="BX205" s="5">
        <f t="shared" si="669"/>
        <v>0</v>
      </c>
      <c r="BY205" s="5">
        <f t="shared" si="670"/>
        <v>910869</v>
      </c>
      <c r="BZ205" s="5">
        <f t="shared" si="671"/>
        <v>0</v>
      </c>
      <c r="CA205" s="5">
        <f t="shared" si="672"/>
        <v>0</v>
      </c>
      <c r="CB205" s="5"/>
      <c r="CC205" s="5">
        <f t="shared" si="666"/>
        <v>1532369</v>
      </c>
    </row>
    <row r="206" spans="1:81">
      <c r="A206" s="29" t="s">
        <v>186</v>
      </c>
      <c r="B206" s="11">
        <v>0</v>
      </c>
      <c r="C206" s="5"/>
      <c r="D206" s="5"/>
      <c r="E206" s="5"/>
      <c r="F206" s="5"/>
      <c r="G206" s="5"/>
      <c r="H206" s="5"/>
      <c r="I206" s="5">
        <f t="shared" si="652"/>
        <v>0</v>
      </c>
      <c r="K206" s="11">
        <v>0</v>
      </c>
      <c r="L206" s="5"/>
      <c r="M206" s="5"/>
      <c r="N206" s="5"/>
      <c r="O206" s="5"/>
      <c r="P206" s="5"/>
      <c r="Q206" s="5"/>
      <c r="R206" s="5">
        <f t="shared" si="653"/>
        <v>0</v>
      </c>
      <c r="T206" s="11">
        <v>0</v>
      </c>
      <c r="U206" s="5"/>
      <c r="V206" s="5"/>
      <c r="W206" s="5"/>
      <c r="X206" s="5"/>
      <c r="Y206" s="5"/>
      <c r="Z206" s="5"/>
      <c r="AA206" s="5">
        <f t="shared" si="654"/>
        <v>0</v>
      </c>
      <c r="AC206" s="11">
        <v>0</v>
      </c>
      <c r="AD206" s="5"/>
      <c r="AE206" s="5"/>
      <c r="AF206" s="5"/>
      <c r="AG206" s="5"/>
      <c r="AH206" s="5"/>
      <c r="AI206" s="5"/>
      <c r="AJ206" s="5">
        <f t="shared" si="655"/>
        <v>0</v>
      </c>
      <c r="AL206" s="11">
        <v>0</v>
      </c>
      <c r="AM206" s="5"/>
      <c r="AN206" s="5"/>
      <c r="AO206" s="5"/>
      <c r="AP206" s="5"/>
      <c r="AQ206" s="5"/>
      <c r="AR206" s="5"/>
      <c r="AS206" s="5">
        <f t="shared" si="656"/>
        <v>0</v>
      </c>
      <c r="AU206" s="11"/>
      <c r="AV206" s="5"/>
      <c r="AW206" s="5"/>
      <c r="AX206" s="5"/>
      <c r="AY206" s="5"/>
      <c r="AZ206" s="5"/>
      <c r="BA206" s="5"/>
      <c r="BB206" s="5">
        <f t="shared" si="657"/>
        <v>0</v>
      </c>
      <c r="BD206" s="11">
        <v>0</v>
      </c>
      <c r="BE206" s="5"/>
      <c r="BF206" s="5"/>
      <c r="BG206" s="5"/>
      <c r="BH206" s="5"/>
      <c r="BI206" s="5"/>
      <c r="BJ206" s="5"/>
      <c r="BK206" s="5">
        <f t="shared" si="658"/>
        <v>0</v>
      </c>
      <c r="BM206" s="11"/>
      <c r="BN206" s="5"/>
      <c r="BO206" s="5"/>
      <c r="BP206" s="5"/>
      <c r="BQ206" s="5"/>
      <c r="BR206" s="5"/>
      <c r="BS206" s="5"/>
      <c r="BT206" s="5">
        <f t="shared" si="659"/>
        <v>0</v>
      </c>
      <c r="BV206" s="5">
        <f t="shared" si="667"/>
        <v>0</v>
      </c>
      <c r="BW206" s="5">
        <f t="shared" si="668"/>
        <v>0</v>
      </c>
      <c r="BX206" s="5">
        <f t="shared" si="669"/>
        <v>0</v>
      </c>
      <c r="BY206" s="5">
        <f t="shared" si="670"/>
        <v>0</v>
      </c>
      <c r="BZ206" s="5">
        <f t="shared" si="671"/>
        <v>0</v>
      </c>
      <c r="CA206" s="5">
        <f t="shared" si="672"/>
        <v>0</v>
      </c>
      <c r="CB206" s="5"/>
      <c r="CC206" s="5">
        <f t="shared" si="666"/>
        <v>0</v>
      </c>
    </row>
    <row r="207" spans="1:81">
      <c r="A207" s="29" t="s">
        <v>187</v>
      </c>
      <c r="B207" s="62">
        <f>(650*12)+6000</f>
        <v>13800</v>
      </c>
      <c r="C207" s="5"/>
      <c r="D207" s="5"/>
      <c r="E207" s="5"/>
      <c r="F207" s="5"/>
      <c r="G207" s="5"/>
      <c r="H207" s="5"/>
      <c r="I207" s="5">
        <f t="shared" si="652"/>
        <v>13800</v>
      </c>
      <c r="K207" s="79">
        <f>((650*12)+8000)*1.05</f>
        <v>16590</v>
      </c>
      <c r="L207" s="5"/>
      <c r="M207" s="5"/>
      <c r="N207" s="5"/>
      <c r="O207" s="5"/>
      <c r="P207" s="5"/>
      <c r="Q207" s="5"/>
      <c r="R207" s="5">
        <f t="shared" si="653"/>
        <v>16590</v>
      </c>
      <c r="T207" s="62">
        <f>((650*12)*1.05)+15000</f>
        <v>23190</v>
      </c>
      <c r="U207" s="5"/>
      <c r="V207" s="5"/>
      <c r="W207" s="5"/>
      <c r="X207" s="5"/>
      <c r="Y207" s="5"/>
      <c r="Z207" s="5"/>
      <c r="AA207" s="5">
        <f t="shared" si="654"/>
        <v>23190</v>
      </c>
      <c r="AC207" s="79">
        <f>((1200*12)*1.05)+16000</f>
        <v>31120</v>
      </c>
      <c r="AD207" s="5"/>
      <c r="AE207" s="5"/>
      <c r="AF207" s="5"/>
      <c r="AG207" s="5"/>
      <c r="AH207" s="5"/>
      <c r="AI207" s="5"/>
      <c r="AJ207" s="5">
        <f t="shared" si="655"/>
        <v>31120</v>
      </c>
      <c r="AL207" s="62">
        <f>(1330*12)+20000</f>
        <v>35960</v>
      </c>
      <c r="AM207" s="5"/>
      <c r="AN207" s="5"/>
      <c r="AO207" s="5"/>
      <c r="AP207" s="5"/>
      <c r="AQ207" s="5"/>
      <c r="AR207" s="5"/>
      <c r="AS207" s="5">
        <f t="shared" si="656"/>
        <v>35960</v>
      </c>
      <c r="AU207" s="62"/>
      <c r="AV207" s="5"/>
      <c r="AW207" s="5"/>
      <c r="AX207" s="5"/>
      <c r="AY207" s="5"/>
      <c r="AZ207" s="5"/>
      <c r="BA207" s="5"/>
      <c r="BB207" s="5">
        <f t="shared" si="657"/>
        <v>0</v>
      </c>
      <c r="BD207" s="79">
        <v>0</v>
      </c>
      <c r="BE207" s="5"/>
      <c r="BF207" s="5"/>
      <c r="BG207" s="5"/>
      <c r="BH207" s="5"/>
      <c r="BI207" s="5"/>
      <c r="BJ207" s="5"/>
      <c r="BK207" s="5">
        <f t="shared" si="658"/>
        <v>0</v>
      </c>
      <c r="BM207" s="62"/>
      <c r="BN207" s="5"/>
      <c r="BO207" s="5"/>
      <c r="BP207" s="5"/>
      <c r="BQ207" s="5"/>
      <c r="BR207" s="5"/>
      <c r="BS207" s="5"/>
      <c r="BT207" s="5">
        <f t="shared" si="659"/>
        <v>0</v>
      </c>
      <c r="BV207" s="5">
        <f t="shared" si="667"/>
        <v>120660</v>
      </c>
      <c r="BW207" s="5">
        <f t="shared" si="668"/>
        <v>0</v>
      </c>
      <c r="BX207" s="5">
        <f t="shared" si="669"/>
        <v>0</v>
      </c>
      <c r="BY207" s="5">
        <f t="shared" si="670"/>
        <v>0</v>
      </c>
      <c r="BZ207" s="5">
        <f t="shared" si="671"/>
        <v>0</v>
      </c>
      <c r="CA207" s="5">
        <f t="shared" si="672"/>
        <v>0</v>
      </c>
      <c r="CB207" s="5"/>
      <c r="CC207" s="5">
        <f t="shared" si="666"/>
        <v>120660</v>
      </c>
    </row>
    <row r="208" spans="1:81">
      <c r="A208" s="78" t="s">
        <v>188</v>
      </c>
      <c r="B208" s="84">
        <f>((6444*1.05)+15000)</f>
        <v>21766.2</v>
      </c>
      <c r="C208" s="5"/>
      <c r="D208" s="5"/>
      <c r="E208" s="5"/>
      <c r="F208" s="5"/>
      <c r="G208" s="5"/>
      <c r="H208" s="5"/>
      <c r="I208" s="5">
        <f t="shared" si="652"/>
        <v>21766.2</v>
      </c>
      <c r="K208" s="96">
        <f>(9200*1.05)+15000</f>
        <v>24660</v>
      </c>
      <c r="L208" s="5"/>
      <c r="M208" s="5"/>
      <c r="N208" s="5"/>
      <c r="O208" s="5"/>
      <c r="P208" s="5"/>
      <c r="Q208" s="5"/>
      <c r="R208" s="5">
        <f t="shared" si="653"/>
        <v>24660</v>
      </c>
      <c r="T208" s="84">
        <f>(12672*1.05)+15000</f>
        <v>28305.599999999999</v>
      </c>
      <c r="U208" s="5"/>
      <c r="V208" s="5"/>
      <c r="W208" s="5"/>
      <c r="X208" s="5"/>
      <c r="Y208" s="5"/>
      <c r="Z208" s="5"/>
      <c r="AA208" s="5">
        <f t="shared" si="654"/>
        <v>28305.599999999999</v>
      </c>
      <c r="AC208" s="96">
        <f>(27468*1.05)+20000</f>
        <v>48841.4</v>
      </c>
      <c r="AD208" s="5"/>
      <c r="AE208" s="5"/>
      <c r="AF208" s="5"/>
      <c r="AG208" s="5"/>
      <c r="AH208" s="5"/>
      <c r="AI208" s="5"/>
      <c r="AJ208" s="5">
        <f t="shared" si="655"/>
        <v>48841.4</v>
      </c>
      <c r="AL208" s="84">
        <f>(520+180*12)+30000</f>
        <v>32680</v>
      </c>
      <c r="AM208" s="5"/>
      <c r="AN208" s="5"/>
      <c r="AO208" s="5"/>
      <c r="AP208" s="5"/>
      <c r="AQ208" s="5"/>
      <c r="AR208" s="5"/>
      <c r="AS208" s="5">
        <f t="shared" si="656"/>
        <v>32680</v>
      </c>
      <c r="AU208" s="84"/>
      <c r="AV208" s="5"/>
      <c r="AW208" s="5"/>
      <c r="AX208" s="5"/>
      <c r="AY208" s="5"/>
      <c r="AZ208" s="5"/>
      <c r="BA208" s="5"/>
      <c r="BB208" s="5">
        <f t="shared" si="657"/>
        <v>0</v>
      </c>
      <c r="BD208" s="84">
        <v>11500</v>
      </c>
      <c r="BE208" s="5"/>
      <c r="BF208" s="5"/>
      <c r="BG208" s="5"/>
      <c r="BH208" s="5"/>
      <c r="BI208" s="5"/>
      <c r="BJ208" s="5"/>
      <c r="BK208" s="5">
        <f t="shared" si="658"/>
        <v>11500</v>
      </c>
      <c r="BM208" s="84"/>
      <c r="BN208" s="5"/>
      <c r="BO208" s="5"/>
      <c r="BP208" s="5"/>
      <c r="BQ208" s="5"/>
      <c r="BR208" s="5"/>
      <c r="BS208" s="5"/>
      <c r="BT208" s="5">
        <f t="shared" si="659"/>
        <v>0</v>
      </c>
      <c r="BV208" s="5">
        <f t="shared" si="667"/>
        <v>167753.19999999998</v>
      </c>
      <c r="BW208" s="5">
        <f t="shared" si="668"/>
        <v>0</v>
      </c>
      <c r="BX208" s="5">
        <f t="shared" si="669"/>
        <v>0</v>
      </c>
      <c r="BY208" s="5">
        <f t="shared" si="670"/>
        <v>0</v>
      </c>
      <c r="BZ208" s="5">
        <f t="shared" si="671"/>
        <v>0</v>
      </c>
      <c r="CA208" s="5">
        <f t="shared" si="672"/>
        <v>0</v>
      </c>
      <c r="CB208" s="5"/>
      <c r="CC208" s="5">
        <f t="shared" si="666"/>
        <v>167753.19999999998</v>
      </c>
    </row>
    <row r="209" spans="1:81" ht="15">
      <c r="A209" s="70" t="s">
        <v>189</v>
      </c>
      <c r="B209" s="71">
        <f t="shared" ref="B209:I209" si="673">SUM(B199:B208)</f>
        <v>399231.2</v>
      </c>
      <c r="C209" s="71">
        <f t="shared" si="673"/>
        <v>0</v>
      </c>
      <c r="D209" s="71">
        <f t="shared" si="673"/>
        <v>0</v>
      </c>
      <c r="E209" s="71">
        <f t="shared" si="673"/>
        <v>0</v>
      </c>
      <c r="F209" s="71">
        <f t="shared" si="673"/>
        <v>0</v>
      </c>
      <c r="G209" s="71">
        <f t="shared" si="673"/>
        <v>0</v>
      </c>
      <c r="H209" s="71">
        <f t="shared" si="673"/>
        <v>0</v>
      </c>
      <c r="I209" s="71">
        <f t="shared" si="673"/>
        <v>399231.2</v>
      </c>
      <c r="J209" s="7"/>
      <c r="K209" s="71">
        <f t="shared" ref="K209:R209" si="674">SUM(K199:K208)</f>
        <v>388800</v>
      </c>
      <c r="L209" s="71">
        <f t="shared" si="674"/>
        <v>0</v>
      </c>
      <c r="M209" s="71">
        <f t="shared" si="674"/>
        <v>0</v>
      </c>
      <c r="N209" s="71">
        <f t="shared" si="674"/>
        <v>0</v>
      </c>
      <c r="O209" s="71">
        <f t="shared" si="674"/>
        <v>0</v>
      </c>
      <c r="P209" s="71">
        <f t="shared" si="674"/>
        <v>0</v>
      </c>
      <c r="Q209" s="71">
        <f t="shared" si="674"/>
        <v>0</v>
      </c>
      <c r="R209" s="71">
        <f t="shared" si="674"/>
        <v>388800</v>
      </c>
      <c r="T209" s="71">
        <f t="shared" ref="T209:AA209" si="675">SUM(T199:T208)</f>
        <v>459995.6</v>
      </c>
      <c r="U209" s="71">
        <f t="shared" si="675"/>
        <v>0</v>
      </c>
      <c r="V209" s="71">
        <f t="shared" si="675"/>
        <v>0</v>
      </c>
      <c r="W209" s="71">
        <f t="shared" si="675"/>
        <v>0</v>
      </c>
      <c r="X209" s="71">
        <f t="shared" si="675"/>
        <v>0</v>
      </c>
      <c r="Y209" s="71">
        <f t="shared" si="675"/>
        <v>0</v>
      </c>
      <c r="Z209" s="71">
        <f t="shared" si="675"/>
        <v>0</v>
      </c>
      <c r="AA209" s="71">
        <f t="shared" si="675"/>
        <v>459995.6</v>
      </c>
      <c r="AC209" s="71">
        <f t="shared" ref="AC209:AJ209" si="676">SUM(AC199:AC208)</f>
        <v>985441.4</v>
      </c>
      <c r="AD209" s="71">
        <f t="shared" si="676"/>
        <v>0</v>
      </c>
      <c r="AE209" s="71">
        <f t="shared" si="676"/>
        <v>0</v>
      </c>
      <c r="AF209" s="71">
        <f t="shared" si="676"/>
        <v>120000</v>
      </c>
      <c r="AG209" s="71">
        <f t="shared" si="676"/>
        <v>0</v>
      </c>
      <c r="AH209" s="71">
        <f t="shared" si="676"/>
        <v>0</v>
      </c>
      <c r="AI209" s="71">
        <f t="shared" si="676"/>
        <v>0</v>
      </c>
      <c r="AJ209" s="71">
        <f t="shared" si="676"/>
        <v>1105441.3999999999</v>
      </c>
      <c r="AL209" s="71">
        <f t="shared" ref="AL209:AS209" si="677">SUM(AL199:AL208)</f>
        <v>932920</v>
      </c>
      <c r="AM209" s="71">
        <f t="shared" si="677"/>
        <v>0</v>
      </c>
      <c r="AN209" s="71">
        <f t="shared" si="677"/>
        <v>0</v>
      </c>
      <c r="AO209" s="71">
        <f t="shared" si="677"/>
        <v>425869</v>
      </c>
      <c r="AP209" s="71">
        <f t="shared" si="677"/>
        <v>0</v>
      </c>
      <c r="AQ209" s="71">
        <f t="shared" si="677"/>
        <v>0</v>
      </c>
      <c r="AR209" s="71">
        <f t="shared" si="677"/>
        <v>0</v>
      </c>
      <c r="AS209" s="71">
        <f t="shared" si="677"/>
        <v>1358789</v>
      </c>
      <c r="AU209" s="71">
        <f t="shared" ref="AU209:BB209" si="678">SUM(AU199:AU208)</f>
        <v>0</v>
      </c>
      <c r="AV209" s="71">
        <f t="shared" si="678"/>
        <v>0</v>
      </c>
      <c r="AW209" s="71">
        <f t="shared" si="678"/>
        <v>0</v>
      </c>
      <c r="AX209" s="71">
        <f t="shared" si="678"/>
        <v>0</v>
      </c>
      <c r="AY209" s="71">
        <f t="shared" si="678"/>
        <v>0</v>
      </c>
      <c r="AZ209" s="71">
        <f t="shared" si="678"/>
        <v>0</v>
      </c>
      <c r="BA209" s="71">
        <f t="shared" si="678"/>
        <v>0</v>
      </c>
      <c r="BB209" s="71">
        <f t="shared" si="678"/>
        <v>0</v>
      </c>
      <c r="BD209" s="71">
        <f t="shared" ref="BD209:BK209" si="679">SUM(BD199:BD208)</f>
        <v>102855</v>
      </c>
      <c r="BE209" s="71">
        <f t="shared" si="679"/>
        <v>0</v>
      </c>
      <c r="BF209" s="71">
        <f t="shared" si="679"/>
        <v>0</v>
      </c>
      <c r="BG209" s="71">
        <f t="shared" si="679"/>
        <v>0</v>
      </c>
      <c r="BH209" s="71">
        <f t="shared" si="679"/>
        <v>0</v>
      </c>
      <c r="BI209" s="71">
        <f t="shared" si="679"/>
        <v>0</v>
      </c>
      <c r="BJ209" s="71">
        <f t="shared" si="679"/>
        <v>0</v>
      </c>
      <c r="BK209" s="71">
        <f t="shared" si="679"/>
        <v>102855</v>
      </c>
      <c r="BM209" s="71">
        <f t="shared" ref="BM209:BT209" si="680">SUM(BM199:BM208)</f>
        <v>0</v>
      </c>
      <c r="BN209" s="71">
        <f t="shared" si="680"/>
        <v>0</v>
      </c>
      <c r="BO209" s="71">
        <f t="shared" si="680"/>
        <v>0</v>
      </c>
      <c r="BP209" s="71">
        <f t="shared" si="680"/>
        <v>365000</v>
      </c>
      <c r="BQ209" s="71">
        <f t="shared" si="680"/>
        <v>0</v>
      </c>
      <c r="BR209" s="71">
        <f t="shared" si="680"/>
        <v>0</v>
      </c>
      <c r="BS209" s="71">
        <f t="shared" si="680"/>
        <v>0</v>
      </c>
      <c r="BT209" s="71">
        <f t="shared" si="680"/>
        <v>365000</v>
      </c>
      <c r="BV209" s="71">
        <f t="shared" ref="BV209:CC209" si="681">SUM(BV199:BV208)</f>
        <v>3269243.2</v>
      </c>
      <c r="BW209" s="71">
        <f t="shared" si="681"/>
        <v>0</v>
      </c>
      <c r="BX209" s="71">
        <f t="shared" si="681"/>
        <v>0</v>
      </c>
      <c r="BY209" s="71">
        <f t="shared" si="681"/>
        <v>910869</v>
      </c>
      <c r="BZ209" s="71">
        <f t="shared" si="681"/>
        <v>0</v>
      </c>
      <c r="CA209" s="71">
        <f t="shared" si="681"/>
        <v>0</v>
      </c>
      <c r="CB209" s="71">
        <f t="shared" si="681"/>
        <v>0</v>
      </c>
      <c r="CC209" s="71">
        <f t="shared" si="681"/>
        <v>4180112.2</v>
      </c>
    </row>
    <row r="210" spans="1:81">
      <c r="A210" s="85"/>
      <c r="B210" s="5"/>
      <c r="C210" s="5"/>
      <c r="D210" s="5"/>
      <c r="E210" s="5"/>
      <c r="F210" s="5"/>
      <c r="G210" s="5"/>
      <c r="H210" s="5"/>
      <c r="I210" s="5"/>
      <c r="J210" s="7"/>
      <c r="K210" s="5"/>
      <c r="L210" s="5"/>
      <c r="M210" s="5"/>
      <c r="N210" s="5"/>
      <c r="O210" s="5"/>
      <c r="P210" s="5"/>
      <c r="Q210" s="5"/>
      <c r="R210" s="5"/>
      <c r="T210" s="5"/>
      <c r="U210" s="5"/>
      <c r="V210" s="5"/>
      <c r="W210" s="5"/>
      <c r="X210" s="5"/>
      <c r="Y210" s="5"/>
      <c r="Z210" s="5"/>
      <c r="AA210" s="5"/>
      <c r="AC210" s="5"/>
      <c r="AD210" s="5"/>
      <c r="AE210" s="5"/>
      <c r="AF210" s="5"/>
      <c r="AG210" s="5"/>
      <c r="AH210" s="5"/>
      <c r="AI210" s="5"/>
      <c r="AJ210" s="5"/>
      <c r="AL210" s="5"/>
      <c r="AM210" s="5"/>
      <c r="AN210" s="5"/>
      <c r="AO210" s="5"/>
      <c r="AP210" s="5"/>
      <c r="AQ210" s="5"/>
      <c r="AR210" s="5"/>
      <c r="AS210" s="5"/>
      <c r="AU210" s="5"/>
      <c r="AV210" s="5"/>
      <c r="AW210" s="5"/>
      <c r="AX210" s="5"/>
      <c r="AY210" s="5"/>
      <c r="AZ210" s="5"/>
      <c r="BA210" s="5"/>
      <c r="BB210" s="5"/>
      <c r="BD210" s="5"/>
      <c r="BE210" s="5"/>
      <c r="BF210" s="5"/>
      <c r="BG210" s="5"/>
      <c r="BH210" s="5"/>
      <c r="BI210" s="5"/>
      <c r="BJ210" s="5"/>
      <c r="BK210" s="5"/>
      <c r="BM210" s="5"/>
      <c r="BN210" s="5"/>
      <c r="BO210" s="5"/>
      <c r="BP210" s="5"/>
      <c r="BQ210" s="5"/>
      <c r="BR210" s="5"/>
      <c r="BS210" s="5"/>
      <c r="BT210" s="5"/>
      <c r="BV210" s="5"/>
      <c r="BW210" s="5"/>
      <c r="BX210" s="5"/>
      <c r="BY210" s="5"/>
      <c r="BZ210" s="5"/>
      <c r="CA210" s="5"/>
      <c r="CB210" s="5"/>
      <c r="CC210" s="5"/>
    </row>
    <row r="211" spans="1:81" ht="15">
      <c r="A211" s="70" t="s">
        <v>190</v>
      </c>
      <c r="B211" s="71">
        <f>B142+B154+B170+B197+B209</f>
        <v>6750877.5440000007</v>
      </c>
      <c r="C211" s="71">
        <f t="shared" ref="C211:H211" si="682">C142+C154+C170+C197+C209</f>
        <v>1269724.6400000001</v>
      </c>
      <c r="D211" s="71">
        <f t="shared" si="682"/>
        <v>465481.98999999993</v>
      </c>
      <c r="E211" s="71">
        <f t="shared" si="682"/>
        <v>0</v>
      </c>
      <c r="F211" s="71">
        <f t="shared" si="682"/>
        <v>0</v>
      </c>
      <c r="G211" s="71">
        <f t="shared" si="682"/>
        <v>255000</v>
      </c>
      <c r="H211" s="71">
        <f t="shared" si="682"/>
        <v>0</v>
      </c>
      <c r="I211" s="71">
        <f>I142+I154+I170+I197+I209</f>
        <v>8741084.1740000006</v>
      </c>
      <c r="J211" s="7"/>
      <c r="K211" s="71">
        <f>K142+K154+K170+K197+K209</f>
        <v>7583451.7340000002</v>
      </c>
      <c r="L211" s="71">
        <f t="shared" ref="L211:Q211" si="683">L142+L154+L170+L197+L209</f>
        <v>937858.1</v>
      </c>
      <c r="M211" s="71">
        <f t="shared" si="683"/>
        <v>523499.65</v>
      </c>
      <c r="N211" s="71">
        <f t="shared" si="683"/>
        <v>0</v>
      </c>
      <c r="O211" s="71">
        <f t="shared" si="683"/>
        <v>0</v>
      </c>
      <c r="P211" s="71">
        <f t="shared" si="683"/>
        <v>650000</v>
      </c>
      <c r="Q211" s="71">
        <f t="shared" si="683"/>
        <v>0</v>
      </c>
      <c r="R211" s="71">
        <f>R142+R154+R170+R197+R209</f>
        <v>9694809.4839999992</v>
      </c>
      <c r="T211" s="71">
        <f>T142+T154+T170+T197+T209</f>
        <v>8908643.9569999985</v>
      </c>
      <c r="U211" s="71">
        <f t="shared" ref="U211:Z211" si="684">U142+U154+U170+U197+U209</f>
        <v>1097833.0237499999</v>
      </c>
      <c r="V211" s="71">
        <f t="shared" si="684"/>
        <v>419828.24000000005</v>
      </c>
      <c r="W211" s="71">
        <f t="shared" si="684"/>
        <v>0</v>
      </c>
      <c r="X211" s="71">
        <f t="shared" si="684"/>
        <v>0</v>
      </c>
      <c r="Y211" s="71">
        <f t="shared" si="684"/>
        <v>550000</v>
      </c>
      <c r="Z211" s="71">
        <f t="shared" si="684"/>
        <v>0</v>
      </c>
      <c r="AA211" s="71">
        <f>AA142+AA154+AA170+AA197+AA209</f>
        <v>10976305.22075</v>
      </c>
      <c r="AC211" s="71">
        <f>AC142+AC154+AC170+AC197+AC209</f>
        <v>17349977.134</v>
      </c>
      <c r="AD211" s="71">
        <f t="shared" ref="AD211:AI211" si="685">AD142+AD154+AD170+AD197+AD209</f>
        <v>2658333.35</v>
      </c>
      <c r="AE211" s="71">
        <f t="shared" si="685"/>
        <v>1164716.3699999999</v>
      </c>
      <c r="AF211" s="71">
        <f t="shared" si="685"/>
        <v>120000</v>
      </c>
      <c r="AG211" s="71">
        <f t="shared" si="685"/>
        <v>0</v>
      </c>
      <c r="AH211" s="71">
        <f t="shared" si="685"/>
        <v>1250000</v>
      </c>
      <c r="AI211" s="71">
        <f t="shared" si="685"/>
        <v>0</v>
      </c>
      <c r="AJ211" s="71">
        <f>AJ142+AJ154+AJ170+AJ197+AJ209</f>
        <v>22543026.854000002</v>
      </c>
      <c r="AL211" s="71">
        <f>AL142+AL154+AL170+AL197+AL209</f>
        <v>16322757.030000001</v>
      </c>
      <c r="AM211" s="71">
        <f t="shared" ref="AM211:AR211" si="686">AM142+AM154+AM170+AM197+AM209</f>
        <v>2508445.1725000003</v>
      </c>
      <c r="AN211" s="71">
        <f t="shared" si="686"/>
        <v>754382.55</v>
      </c>
      <c r="AO211" s="71">
        <f t="shared" si="686"/>
        <v>425869</v>
      </c>
      <c r="AP211" s="71">
        <f t="shared" si="686"/>
        <v>0</v>
      </c>
      <c r="AQ211" s="71">
        <f t="shared" si="686"/>
        <v>1600000</v>
      </c>
      <c r="AR211" s="71">
        <f t="shared" si="686"/>
        <v>0</v>
      </c>
      <c r="AS211" s="71">
        <f>AS142+AS154+AS170+AS197+AS209</f>
        <v>21611453.752500001</v>
      </c>
      <c r="AU211" s="71">
        <f>AU142+AU154+AU170+AU197+AU209</f>
        <v>856060.52499999991</v>
      </c>
      <c r="AV211" s="71">
        <f t="shared" ref="AV211:BA211" si="687">AV142+AV154+AV170+AV197+AV209</f>
        <v>204448.67499999999</v>
      </c>
      <c r="AW211" s="71">
        <f t="shared" si="687"/>
        <v>23750</v>
      </c>
      <c r="AX211" s="71">
        <f t="shared" si="687"/>
        <v>0</v>
      </c>
      <c r="AY211" s="71">
        <f t="shared" si="687"/>
        <v>0</v>
      </c>
      <c r="AZ211" s="71">
        <f t="shared" si="687"/>
        <v>0</v>
      </c>
      <c r="BA211" s="71">
        <f t="shared" si="687"/>
        <v>0</v>
      </c>
      <c r="BB211" s="71">
        <f>BB142+BB154+BB170+BB197+BB209</f>
        <v>1084259.2</v>
      </c>
      <c r="BD211" s="71">
        <f>BD142+BD154+BD170+BD197+BD209</f>
        <v>1665188.0050000001</v>
      </c>
      <c r="BE211" s="71">
        <f t="shared" ref="BE211:BJ211" si="688">BE142+BE154+BE170+BE197+BE209</f>
        <v>167238.875</v>
      </c>
      <c r="BF211" s="71">
        <f t="shared" si="688"/>
        <v>231243.11499999999</v>
      </c>
      <c r="BG211" s="71">
        <f t="shared" si="688"/>
        <v>425000</v>
      </c>
      <c r="BH211" s="71">
        <f t="shared" si="688"/>
        <v>46193.002500000002</v>
      </c>
      <c r="BI211" s="71">
        <f t="shared" si="688"/>
        <v>25000</v>
      </c>
      <c r="BJ211" s="71">
        <f t="shared" si="688"/>
        <v>0</v>
      </c>
      <c r="BK211" s="71">
        <f>BK142+BK154+BK170+BK197+BK209</f>
        <v>2559862.9975000001</v>
      </c>
      <c r="BM211" s="71">
        <f>BM142+BM154+BM170+BM197+BM209</f>
        <v>383829.625</v>
      </c>
      <c r="BN211" s="71">
        <f t="shared" ref="BN211:BS211" si="689">BN142+BN154+BN170+BN197+BN209</f>
        <v>0</v>
      </c>
      <c r="BO211" s="71">
        <f t="shared" si="689"/>
        <v>17405</v>
      </c>
      <c r="BP211" s="71">
        <f t="shared" si="689"/>
        <v>365000</v>
      </c>
      <c r="BQ211" s="71">
        <f t="shared" si="689"/>
        <v>0</v>
      </c>
      <c r="BR211" s="71">
        <f t="shared" si="689"/>
        <v>0</v>
      </c>
      <c r="BS211" s="71">
        <f t="shared" si="689"/>
        <v>0</v>
      </c>
      <c r="BT211" s="71">
        <f>BT142+BT154+BT170+BT197+BT209</f>
        <v>766234.625</v>
      </c>
      <c r="BV211" s="71">
        <f>BV142+BV154+BV170+BV197+BV209</f>
        <v>59820785.554000005</v>
      </c>
      <c r="BW211" s="71">
        <f t="shared" ref="BW211:CB211" si="690">BW142+BW154+BW170+BW197+BW209</f>
        <v>8843881.8362499997</v>
      </c>
      <c r="BX211" s="71">
        <f t="shared" si="690"/>
        <v>3600306.915</v>
      </c>
      <c r="BY211" s="71">
        <f t="shared" si="690"/>
        <v>1335869</v>
      </c>
      <c r="BZ211" s="71">
        <f t="shared" si="690"/>
        <v>46193.002500000002</v>
      </c>
      <c r="CA211" s="71">
        <f t="shared" si="690"/>
        <v>4330000</v>
      </c>
      <c r="CB211" s="71">
        <f t="shared" si="690"/>
        <v>0</v>
      </c>
      <c r="CC211" s="71">
        <f>CC142+CC154+CC170+CC197+CC209</f>
        <v>77977036.307750002</v>
      </c>
    </row>
    <row r="212" spans="1:81">
      <c r="A212" s="86"/>
      <c r="B212" s="52"/>
      <c r="C212" s="52"/>
      <c r="D212" s="52"/>
      <c r="E212" s="52"/>
      <c r="F212" s="52"/>
      <c r="G212" s="52"/>
      <c r="H212" s="52"/>
      <c r="I212" s="52"/>
      <c r="J212" s="7"/>
      <c r="K212" s="52"/>
      <c r="L212" s="52"/>
      <c r="M212" s="52"/>
      <c r="N212" s="52"/>
      <c r="O212" s="52"/>
      <c r="P212" s="52"/>
      <c r="Q212" s="52"/>
      <c r="R212" s="52"/>
      <c r="T212" s="52"/>
      <c r="U212" s="52"/>
      <c r="V212" s="52"/>
      <c r="W212" s="52"/>
      <c r="X212" s="52"/>
      <c r="Y212" s="52"/>
      <c r="Z212" s="52"/>
      <c r="AA212" s="52"/>
      <c r="AC212" s="52"/>
      <c r="AD212" s="52"/>
      <c r="AE212" s="52"/>
      <c r="AF212" s="52"/>
      <c r="AG212" s="52"/>
      <c r="AH212" s="52"/>
      <c r="AI212" s="52"/>
      <c r="AJ212" s="52"/>
      <c r="AL212" s="52"/>
      <c r="AM212" s="52"/>
      <c r="AN212" s="52"/>
      <c r="AO212" s="52"/>
      <c r="AP212" s="52"/>
      <c r="AQ212" s="52"/>
      <c r="AR212" s="52"/>
      <c r="AS212" s="52"/>
      <c r="AU212" s="52"/>
      <c r="AV212" s="52"/>
      <c r="AW212" s="52"/>
      <c r="AX212" s="52"/>
      <c r="AY212" s="52"/>
      <c r="AZ212" s="52"/>
      <c r="BA212" s="52"/>
      <c r="BB212" s="52"/>
      <c r="BD212" s="52"/>
      <c r="BE212" s="52"/>
      <c r="BF212" s="52"/>
      <c r="BG212" s="52"/>
      <c r="BH212" s="52"/>
      <c r="BI212" s="52"/>
      <c r="BJ212" s="52"/>
      <c r="BK212" s="52"/>
      <c r="BM212" s="52"/>
      <c r="BN212" s="52"/>
      <c r="BO212" s="52"/>
      <c r="BP212" s="52"/>
      <c r="BQ212" s="52"/>
      <c r="BR212" s="52"/>
      <c r="BS212" s="52"/>
      <c r="BT212" s="52"/>
      <c r="BV212" s="52"/>
      <c r="BW212" s="52"/>
      <c r="BX212" s="52"/>
      <c r="BY212" s="52"/>
      <c r="BZ212" s="52"/>
      <c r="CA212" s="52"/>
      <c r="CB212" s="52"/>
      <c r="CC212" s="52"/>
    </row>
    <row r="213" spans="1:81" ht="15">
      <c r="A213" s="43" t="s">
        <v>191</v>
      </c>
      <c r="B213" s="9">
        <v>0</v>
      </c>
      <c r="C213" s="9"/>
      <c r="D213" s="9"/>
      <c r="E213" s="9"/>
      <c r="F213" s="9"/>
      <c r="G213" s="9"/>
      <c r="H213" s="9"/>
      <c r="I213" s="9">
        <f t="shared" ref="I213:I218" si="691">SUM(B213:H213)</f>
        <v>0</v>
      </c>
      <c r="K213" s="9">
        <v>0</v>
      </c>
      <c r="L213" s="9"/>
      <c r="M213" s="9"/>
      <c r="N213" s="9"/>
      <c r="O213" s="9"/>
      <c r="P213" s="9"/>
      <c r="Q213" s="9"/>
      <c r="R213" s="9">
        <f t="shared" ref="R213:R218" si="692">SUM(K213:Q213)</f>
        <v>0</v>
      </c>
      <c r="T213" s="9"/>
      <c r="U213" s="9"/>
      <c r="V213" s="9"/>
      <c r="W213" s="9"/>
      <c r="X213" s="9"/>
      <c r="Y213" s="9"/>
      <c r="Z213" s="9"/>
      <c r="AA213" s="9">
        <f t="shared" ref="AA213:AA218" si="693">SUM(T213:Z213)</f>
        <v>0</v>
      </c>
      <c r="AC213" s="9">
        <v>0</v>
      </c>
      <c r="AD213" s="9"/>
      <c r="AE213" s="9"/>
      <c r="AF213" s="9"/>
      <c r="AG213" s="9"/>
      <c r="AH213" s="9"/>
      <c r="AI213" s="9"/>
      <c r="AJ213" s="9">
        <f t="shared" ref="AJ213:AJ218" si="694">SUM(AC213:AI213)</f>
        <v>0</v>
      </c>
      <c r="AL213" s="9">
        <v>0</v>
      </c>
      <c r="AM213" s="9"/>
      <c r="AN213" s="9"/>
      <c r="AO213" s="9"/>
      <c r="AP213" s="9"/>
      <c r="AQ213" s="9"/>
      <c r="AR213" s="9"/>
      <c r="AS213" s="9">
        <f t="shared" ref="AS213:AS218" si="695">SUM(AL213:AR213)</f>
        <v>0</v>
      </c>
      <c r="AU213" s="9"/>
      <c r="AV213" s="9"/>
      <c r="AW213" s="9"/>
      <c r="AX213" s="9"/>
      <c r="AY213" s="9"/>
      <c r="AZ213" s="9"/>
      <c r="BA213" s="9"/>
      <c r="BB213" s="9">
        <f t="shared" ref="BB213:BB218" si="696">SUM(AU213:BA213)</f>
        <v>0</v>
      </c>
      <c r="BD213" s="9">
        <f>650*BD17</f>
        <v>119600</v>
      </c>
      <c r="BE213" s="9"/>
      <c r="BF213" s="9"/>
      <c r="BG213" s="9"/>
      <c r="BH213" s="9"/>
      <c r="BI213" s="9"/>
      <c r="BJ213" s="9"/>
      <c r="BK213" s="9">
        <f t="shared" ref="BK213:BK218" si="697">SUM(BD213:BJ213)</f>
        <v>119600</v>
      </c>
      <c r="BM213" s="9">
        <v>0</v>
      </c>
      <c r="BN213" s="9"/>
      <c r="BO213" s="9"/>
      <c r="BP213" s="9"/>
      <c r="BQ213" s="9"/>
      <c r="BR213" s="9"/>
      <c r="BS213" s="9"/>
      <c r="BT213" s="9">
        <f t="shared" ref="BT213:BT218" si="698">SUM(BM213:BS213)</f>
        <v>0</v>
      </c>
      <c r="BV213" s="9">
        <f t="shared" ref="BV213" si="699">B213+K213+T213+AC213+AL213+AU213+BD213+BM213</f>
        <v>119600</v>
      </c>
      <c r="BW213" s="9">
        <f t="shared" ref="BW213" si="700">C213+L213+U213+AD213+AM213+AV213+BE213+BN213</f>
        <v>0</v>
      </c>
      <c r="BX213" s="9">
        <f t="shared" ref="BX213" si="701">D213+M213+V213+AE213+AN213+AW213+BF213+BO213</f>
        <v>0</v>
      </c>
      <c r="BY213" s="9">
        <f t="shared" ref="BY213" si="702">E213+N213+W213+AF213+AO213+AX213+BG213+BP213</f>
        <v>0</v>
      </c>
      <c r="BZ213" s="9">
        <f t="shared" ref="BZ213" si="703">F213+O213+X213+AG213+AP213+AY213+BH213+BQ213</f>
        <v>0</v>
      </c>
      <c r="CA213" s="9">
        <f t="shared" ref="CA213" si="704">G213+P213+Y213+AH213+AQ213+AZ213+BI213+BR213</f>
        <v>0</v>
      </c>
      <c r="CB213" s="9"/>
      <c r="CC213" s="9">
        <f t="shared" ref="CC213:CC218" si="705">SUM(BV213:CB213)</f>
        <v>119600</v>
      </c>
    </row>
    <row r="214" spans="1:81" ht="15">
      <c r="A214" s="43" t="s">
        <v>192</v>
      </c>
      <c r="B214" s="9">
        <v>211517</v>
      </c>
      <c r="C214" s="9"/>
      <c r="D214" s="9"/>
      <c r="E214" s="9"/>
      <c r="F214" s="9"/>
      <c r="G214" s="9"/>
      <c r="H214" s="9"/>
      <c r="I214" s="9">
        <f t="shared" si="691"/>
        <v>211517</v>
      </c>
      <c r="K214" s="9">
        <v>252310</v>
      </c>
      <c r="L214" s="9"/>
      <c r="M214" s="9"/>
      <c r="N214" s="9"/>
      <c r="O214" s="9"/>
      <c r="P214" s="9"/>
      <c r="Q214" s="9"/>
      <c r="R214" s="9">
        <f t="shared" si="692"/>
        <v>252310</v>
      </c>
      <c r="T214" s="9">
        <v>291591</v>
      </c>
      <c r="U214" s="9"/>
      <c r="V214" s="9"/>
      <c r="W214" s="9"/>
      <c r="X214" s="9"/>
      <c r="Y214" s="9"/>
      <c r="Z214" s="9"/>
      <c r="AA214" s="9">
        <f t="shared" si="693"/>
        <v>291591</v>
      </c>
      <c r="AC214" s="9">
        <v>862684</v>
      </c>
      <c r="AD214" s="9"/>
      <c r="AE214" s="9"/>
      <c r="AF214" s="9"/>
      <c r="AG214" s="9"/>
      <c r="AH214" s="9"/>
      <c r="AI214" s="9"/>
      <c r="AJ214" s="9">
        <f t="shared" si="694"/>
        <v>862684</v>
      </c>
      <c r="AL214" s="9">
        <v>91667</v>
      </c>
      <c r="AM214" s="9"/>
      <c r="AN214" s="9"/>
      <c r="AO214" s="9"/>
      <c r="AP214" s="9"/>
      <c r="AQ214" s="9"/>
      <c r="AR214" s="9"/>
      <c r="AS214" s="9">
        <f t="shared" si="695"/>
        <v>91667</v>
      </c>
      <c r="AU214" s="9"/>
      <c r="AV214" s="9"/>
      <c r="AW214" s="9"/>
      <c r="AX214" s="9"/>
      <c r="AY214" s="9"/>
      <c r="AZ214" s="9"/>
      <c r="BA214" s="9"/>
      <c r="BB214" s="9">
        <f t="shared" si="696"/>
        <v>0</v>
      </c>
      <c r="BD214" s="9">
        <v>0</v>
      </c>
      <c r="BE214" s="9"/>
      <c r="BF214" s="9"/>
      <c r="BG214" s="9"/>
      <c r="BH214" s="9"/>
      <c r="BI214" s="9"/>
      <c r="BJ214" s="9"/>
      <c r="BK214" s="9">
        <f t="shared" si="697"/>
        <v>0</v>
      </c>
      <c r="BM214" s="9">
        <v>0</v>
      </c>
      <c r="BN214" s="9"/>
      <c r="BO214" s="9"/>
      <c r="BP214" s="9"/>
      <c r="BQ214" s="9"/>
      <c r="BR214" s="9"/>
      <c r="BS214" s="9"/>
      <c r="BT214" s="9">
        <f t="shared" si="698"/>
        <v>0</v>
      </c>
      <c r="BV214" s="9">
        <f t="shared" ref="BV214:BV217" si="706">B214+K214+T214+AC214+AL214+AU214+BD214+BM214</f>
        <v>1709769</v>
      </c>
      <c r="BW214" s="9">
        <f t="shared" ref="BW214:BW217" si="707">C214+L214+U214+AD214+AM214+AV214+BE214+BN214</f>
        <v>0</v>
      </c>
      <c r="BX214" s="9">
        <f t="shared" ref="BX214:BX217" si="708">D214+M214+V214+AE214+AN214+AW214+BF214+BO214</f>
        <v>0</v>
      </c>
      <c r="BY214" s="9">
        <f t="shared" ref="BY214:BY217" si="709">E214+N214+W214+AF214+AO214+AX214+BG214+BP214</f>
        <v>0</v>
      </c>
      <c r="BZ214" s="9">
        <f t="shared" ref="BZ214:BZ217" si="710">F214+O214+X214+AG214+AP214+AY214+BH214+BQ214</f>
        <v>0</v>
      </c>
      <c r="CA214" s="9">
        <f t="shared" ref="CA214:CA217" si="711">G214+P214+Y214+AH214+AQ214+AZ214+BI214+BR214</f>
        <v>0</v>
      </c>
      <c r="CB214" s="9"/>
      <c r="CC214" s="9">
        <f t="shared" si="705"/>
        <v>1709769</v>
      </c>
    </row>
    <row r="215" spans="1:81" ht="15">
      <c r="A215" s="43" t="s">
        <v>193</v>
      </c>
      <c r="B215" s="9">
        <v>640916</v>
      </c>
      <c r="C215" s="9"/>
      <c r="D215" s="9"/>
      <c r="E215" s="9"/>
      <c r="F215" s="9"/>
      <c r="G215" s="9"/>
      <c r="H215" s="9"/>
      <c r="I215" s="9">
        <f t="shared" si="691"/>
        <v>640916</v>
      </c>
      <c r="K215" s="9">
        <v>764520</v>
      </c>
      <c r="L215" s="9"/>
      <c r="M215" s="9"/>
      <c r="N215" s="9"/>
      <c r="O215" s="9"/>
      <c r="P215" s="9"/>
      <c r="Q215" s="9"/>
      <c r="R215" s="9">
        <f t="shared" si="692"/>
        <v>764520</v>
      </c>
      <c r="T215" s="9">
        <v>883548</v>
      </c>
      <c r="U215" s="9"/>
      <c r="V215" s="9"/>
      <c r="W215" s="9"/>
      <c r="X215" s="9"/>
      <c r="Y215" s="9"/>
      <c r="Z215" s="9"/>
      <c r="AA215" s="9">
        <f t="shared" si="693"/>
        <v>883548</v>
      </c>
      <c r="AC215" s="9">
        <v>1632167</v>
      </c>
      <c r="AD215" s="9"/>
      <c r="AE215" s="9"/>
      <c r="AF215" s="9"/>
      <c r="AG215" s="9"/>
      <c r="AH215" s="9"/>
      <c r="AI215" s="9"/>
      <c r="AJ215" s="9">
        <f t="shared" si="694"/>
        <v>1632167</v>
      </c>
      <c r="AL215" s="9">
        <v>3038147</v>
      </c>
      <c r="AM215" s="9"/>
      <c r="AN215" s="9"/>
      <c r="AO215" s="9"/>
      <c r="AP215" s="9"/>
      <c r="AQ215" s="9"/>
      <c r="AR215" s="9"/>
      <c r="AS215" s="9">
        <f t="shared" si="695"/>
        <v>3038147</v>
      </c>
      <c r="AU215" s="9"/>
      <c r="AV215" s="9"/>
      <c r="AW215" s="9"/>
      <c r="AX215" s="9"/>
      <c r="AY215" s="9"/>
      <c r="AZ215" s="9"/>
      <c r="BA215" s="9"/>
      <c r="BB215" s="9">
        <f t="shared" si="696"/>
        <v>0</v>
      </c>
      <c r="BD215" s="9">
        <v>0</v>
      </c>
      <c r="BE215" s="9"/>
      <c r="BF215" s="9"/>
      <c r="BG215" s="9"/>
      <c r="BH215" s="9"/>
      <c r="BI215" s="9"/>
      <c r="BJ215" s="9"/>
      <c r="BK215" s="9">
        <f t="shared" si="697"/>
        <v>0</v>
      </c>
      <c r="BM215" s="9">
        <v>0</v>
      </c>
      <c r="BN215" s="9"/>
      <c r="BO215" s="9"/>
      <c r="BP215" s="9"/>
      <c r="BQ215" s="9"/>
      <c r="BR215" s="9"/>
      <c r="BS215" s="9"/>
      <c r="BT215" s="9">
        <f t="shared" si="698"/>
        <v>0</v>
      </c>
      <c r="BV215" s="9">
        <f t="shared" si="706"/>
        <v>6959298</v>
      </c>
      <c r="BW215" s="9">
        <f t="shared" si="707"/>
        <v>0</v>
      </c>
      <c r="BX215" s="9">
        <f t="shared" si="708"/>
        <v>0</v>
      </c>
      <c r="BY215" s="9">
        <f t="shared" si="709"/>
        <v>0</v>
      </c>
      <c r="BZ215" s="9">
        <f t="shared" si="710"/>
        <v>0</v>
      </c>
      <c r="CA215" s="9">
        <f t="shared" si="711"/>
        <v>0</v>
      </c>
      <c r="CB215" s="9"/>
      <c r="CC215" s="9">
        <f t="shared" si="705"/>
        <v>6959298</v>
      </c>
    </row>
    <row r="216" spans="1:81" ht="15">
      <c r="A216" s="43" t="s">
        <v>194</v>
      </c>
      <c r="B216" s="9">
        <v>42000</v>
      </c>
      <c r="C216" s="9"/>
      <c r="D216" s="9"/>
      <c r="E216" s="9"/>
      <c r="F216" s="9"/>
      <c r="G216" s="9"/>
      <c r="H216" s="9"/>
      <c r="I216" s="9">
        <f t="shared" si="691"/>
        <v>42000</v>
      </c>
      <c r="K216" s="9">
        <v>0</v>
      </c>
      <c r="L216" s="9"/>
      <c r="M216" s="9"/>
      <c r="N216" s="9"/>
      <c r="O216" s="9"/>
      <c r="P216" s="9"/>
      <c r="Q216" s="9"/>
      <c r="R216" s="9">
        <f t="shared" si="692"/>
        <v>0</v>
      </c>
      <c r="T216" s="9"/>
      <c r="U216" s="9"/>
      <c r="V216" s="9"/>
      <c r="W216" s="9"/>
      <c r="X216" s="9"/>
      <c r="Y216" s="9"/>
      <c r="Z216" s="9"/>
      <c r="AA216" s="9">
        <f t="shared" si="693"/>
        <v>0</v>
      </c>
      <c r="AC216" s="9">
        <v>0</v>
      </c>
      <c r="AD216" s="9"/>
      <c r="AE216" s="9"/>
      <c r="AF216" s="9"/>
      <c r="AG216" s="9"/>
      <c r="AH216" s="9"/>
      <c r="AI216" s="9"/>
      <c r="AJ216" s="9">
        <f t="shared" si="694"/>
        <v>0</v>
      </c>
      <c r="AL216" s="9">
        <v>0</v>
      </c>
      <c r="AM216" s="9"/>
      <c r="AN216" s="9"/>
      <c r="AO216" s="9"/>
      <c r="AP216" s="9"/>
      <c r="AQ216" s="9"/>
      <c r="AR216" s="9"/>
      <c r="AS216" s="9">
        <f t="shared" si="695"/>
        <v>0</v>
      </c>
      <c r="AU216" s="9"/>
      <c r="AV216" s="9"/>
      <c r="AW216" s="9"/>
      <c r="AX216" s="9"/>
      <c r="AY216" s="9"/>
      <c r="AZ216" s="9"/>
      <c r="BA216" s="9"/>
      <c r="BB216" s="9">
        <f t="shared" si="696"/>
        <v>0</v>
      </c>
      <c r="BD216" s="9">
        <v>0</v>
      </c>
      <c r="BE216" s="9"/>
      <c r="BF216" s="9"/>
      <c r="BG216" s="9"/>
      <c r="BH216" s="9"/>
      <c r="BI216" s="9"/>
      <c r="BJ216" s="9"/>
      <c r="BK216" s="9">
        <f t="shared" si="697"/>
        <v>0</v>
      </c>
      <c r="BM216" s="9">
        <v>0</v>
      </c>
      <c r="BN216" s="9"/>
      <c r="BO216" s="9"/>
      <c r="BP216" s="9"/>
      <c r="BQ216" s="9"/>
      <c r="BR216" s="9"/>
      <c r="BS216" s="9"/>
      <c r="BT216" s="9">
        <f t="shared" si="698"/>
        <v>0</v>
      </c>
      <c r="BV216" s="9">
        <f t="shared" si="706"/>
        <v>42000</v>
      </c>
      <c r="BW216" s="9">
        <f t="shared" si="707"/>
        <v>0</v>
      </c>
      <c r="BX216" s="9">
        <f t="shared" si="708"/>
        <v>0</v>
      </c>
      <c r="BY216" s="9">
        <f t="shared" si="709"/>
        <v>0</v>
      </c>
      <c r="BZ216" s="9">
        <f t="shared" si="710"/>
        <v>0</v>
      </c>
      <c r="CA216" s="9">
        <f t="shared" si="711"/>
        <v>0</v>
      </c>
      <c r="CB216" s="9"/>
      <c r="CC216" s="9">
        <f t="shared" si="705"/>
        <v>42000</v>
      </c>
    </row>
    <row r="217" spans="1:81" ht="15">
      <c r="B217" s="9">
        <v>0</v>
      </c>
      <c r="C217" s="9">
        <v>0</v>
      </c>
      <c r="D217" s="9">
        <v>0</v>
      </c>
      <c r="E217" s="9"/>
      <c r="F217" s="9">
        <v>0</v>
      </c>
      <c r="G217" s="9">
        <v>0</v>
      </c>
      <c r="H217" s="9">
        <v>0</v>
      </c>
      <c r="I217" s="9">
        <f t="shared" si="691"/>
        <v>0</v>
      </c>
      <c r="K217" s="9">
        <v>0</v>
      </c>
      <c r="L217" s="9">
        <v>0</v>
      </c>
      <c r="M217" s="9">
        <v>0</v>
      </c>
      <c r="N217" s="9"/>
      <c r="O217" s="9">
        <v>0</v>
      </c>
      <c r="P217" s="9">
        <v>0</v>
      </c>
      <c r="Q217" s="9">
        <v>0</v>
      </c>
      <c r="R217" s="9">
        <f t="shared" si="692"/>
        <v>0</v>
      </c>
      <c r="T217" s="9">
        <v>0</v>
      </c>
      <c r="U217" s="9">
        <v>0</v>
      </c>
      <c r="V217" s="9">
        <v>0</v>
      </c>
      <c r="W217" s="9"/>
      <c r="X217" s="9">
        <v>0</v>
      </c>
      <c r="Y217" s="9">
        <v>0</v>
      </c>
      <c r="Z217" s="9">
        <v>0</v>
      </c>
      <c r="AA217" s="9">
        <f t="shared" si="693"/>
        <v>0</v>
      </c>
      <c r="AC217" s="9">
        <v>0</v>
      </c>
      <c r="AD217" s="9">
        <v>0</v>
      </c>
      <c r="AE217" s="9">
        <v>0</v>
      </c>
      <c r="AF217" s="9"/>
      <c r="AG217" s="9">
        <v>0</v>
      </c>
      <c r="AH217" s="9">
        <v>0</v>
      </c>
      <c r="AI217" s="9">
        <v>0</v>
      </c>
      <c r="AJ217" s="9">
        <f t="shared" si="694"/>
        <v>0</v>
      </c>
      <c r="AL217" s="9">
        <v>0</v>
      </c>
      <c r="AM217" s="9">
        <v>0</v>
      </c>
      <c r="AN217" s="9">
        <v>0</v>
      </c>
      <c r="AO217" s="9"/>
      <c r="AP217" s="9">
        <v>0</v>
      </c>
      <c r="AQ217" s="9">
        <v>0</v>
      </c>
      <c r="AR217" s="9">
        <v>0</v>
      </c>
      <c r="AS217" s="9">
        <f t="shared" si="695"/>
        <v>0</v>
      </c>
      <c r="AU217" s="9">
        <v>0</v>
      </c>
      <c r="AV217" s="9">
        <v>0</v>
      </c>
      <c r="AW217" s="9">
        <v>0</v>
      </c>
      <c r="AX217" s="9"/>
      <c r="AY217" s="9">
        <v>0</v>
      </c>
      <c r="AZ217" s="9">
        <v>0</v>
      </c>
      <c r="BA217" s="9">
        <v>0</v>
      </c>
      <c r="BB217" s="9">
        <f t="shared" si="696"/>
        <v>0</v>
      </c>
      <c r="BD217" s="9">
        <v>0</v>
      </c>
      <c r="BE217" s="9">
        <v>0</v>
      </c>
      <c r="BF217" s="9">
        <v>0</v>
      </c>
      <c r="BG217" s="9"/>
      <c r="BH217" s="9">
        <v>0</v>
      </c>
      <c r="BI217" s="9">
        <v>0</v>
      </c>
      <c r="BJ217" s="9">
        <v>0</v>
      </c>
      <c r="BK217" s="9">
        <f t="shared" si="697"/>
        <v>0</v>
      </c>
      <c r="BM217" s="9">
        <v>0</v>
      </c>
      <c r="BN217" s="9">
        <v>0</v>
      </c>
      <c r="BO217" s="9">
        <v>0</v>
      </c>
      <c r="BP217" s="9"/>
      <c r="BQ217" s="9">
        <v>0</v>
      </c>
      <c r="BR217" s="9">
        <v>0</v>
      </c>
      <c r="BS217" s="9">
        <v>0</v>
      </c>
      <c r="BT217" s="9">
        <f t="shared" si="698"/>
        <v>0</v>
      </c>
      <c r="BV217" s="9">
        <f t="shared" si="706"/>
        <v>0</v>
      </c>
      <c r="BW217" s="9">
        <f t="shared" si="707"/>
        <v>0</v>
      </c>
      <c r="BX217" s="9">
        <f t="shared" si="708"/>
        <v>0</v>
      </c>
      <c r="BY217" s="9">
        <f t="shared" si="709"/>
        <v>0</v>
      </c>
      <c r="BZ217" s="9">
        <f t="shared" si="710"/>
        <v>0</v>
      </c>
      <c r="CA217" s="9">
        <f t="shared" si="711"/>
        <v>0</v>
      </c>
      <c r="CB217" s="9">
        <v>0</v>
      </c>
      <c r="CC217" s="9">
        <f t="shared" si="705"/>
        <v>0</v>
      </c>
    </row>
    <row r="218" spans="1:81" ht="15.75" thickBot="1">
      <c r="A218" s="43"/>
      <c r="B218" s="35"/>
      <c r="C218" s="35"/>
      <c r="D218" s="35"/>
      <c r="E218" s="35"/>
      <c r="F218" s="35"/>
      <c r="G218" s="35"/>
      <c r="H218" s="35"/>
      <c r="I218" s="5">
        <f t="shared" si="691"/>
        <v>0</v>
      </c>
      <c r="J218" s="7"/>
      <c r="K218" s="35"/>
      <c r="L218" s="35"/>
      <c r="M218" s="35"/>
      <c r="N218" s="35"/>
      <c r="O218" s="35"/>
      <c r="P218" s="35"/>
      <c r="Q218" s="35"/>
      <c r="R218" s="5">
        <f t="shared" si="692"/>
        <v>0</v>
      </c>
      <c r="T218" s="35"/>
      <c r="U218" s="35"/>
      <c r="V218" s="35"/>
      <c r="W218" s="35"/>
      <c r="X218" s="35"/>
      <c r="Y218" s="35"/>
      <c r="Z218" s="35"/>
      <c r="AA218" s="5">
        <f t="shared" si="693"/>
        <v>0</v>
      </c>
      <c r="AC218" s="35"/>
      <c r="AD218" s="35"/>
      <c r="AE218" s="35"/>
      <c r="AF218" s="35"/>
      <c r="AG218" s="35"/>
      <c r="AH218" s="35"/>
      <c r="AI218" s="35"/>
      <c r="AJ218" s="5">
        <f t="shared" si="694"/>
        <v>0</v>
      </c>
      <c r="AL218" s="35"/>
      <c r="AM218" s="35"/>
      <c r="AN218" s="35"/>
      <c r="AO218" s="35"/>
      <c r="AP218" s="35"/>
      <c r="AQ218" s="35"/>
      <c r="AR218" s="35"/>
      <c r="AS218" s="5">
        <f t="shared" si="695"/>
        <v>0</v>
      </c>
      <c r="AU218" s="35"/>
      <c r="AV218" s="35"/>
      <c r="AW218" s="35"/>
      <c r="AX218" s="35"/>
      <c r="AY218" s="35"/>
      <c r="AZ218" s="35"/>
      <c r="BA218" s="35"/>
      <c r="BB218" s="5">
        <f t="shared" si="696"/>
        <v>0</v>
      </c>
      <c r="BD218" s="35"/>
      <c r="BE218" s="35"/>
      <c r="BF218" s="35"/>
      <c r="BG218" s="35"/>
      <c r="BH218" s="35"/>
      <c r="BI218" s="35"/>
      <c r="BJ218" s="35"/>
      <c r="BK218" s="5">
        <f t="shared" si="697"/>
        <v>0</v>
      </c>
      <c r="BM218" s="35"/>
      <c r="BN218" s="35"/>
      <c r="BO218" s="35"/>
      <c r="BP218" s="35"/>
      <c r="BQ218" s="35"/>
      <c r="BR218" s="35"/>
      <c r="BS218" s="35"/>
      <c r="BT218" s="5">
        <f t="shared" si="698"/>
        <v>0</v>
      </c>
      <c r="BV218" s="35"/>
      <c r="BW218" s="35"/>
      <c r="BX218" s="35"/>
      <c r="BY218" s="35"/>
      <c r="BZ218" s="35"/>
      <c r="CA218" s="35"/>
      <c r="CB218" s="35"/>
      <c r="CC218" s="5">
        <f t="shared" si="705"/>
        <v>0</v>
      </c>
    </row>
    <row r="219" spans="1:81" ht="15.75" thickBot="1">
      <c r="A219" s="87" t="s">
        <v>195</v>
      </c>
      <c r="B219" s="88">
        <f>(B97+B103)-B211-B213-B214-B216-B215</f>
        <v>725832.45599999931</v>
      </c>
      <c r="C219" s="88">
        <f t="shared" ref="C219:H219" si="712">(C97+C103)-C211-C213-C214-C216-C215</f>
        <v>-587809.64000000013</v>
      </c>
      <c r="D219" s="88">
        <f t="shared" si="712"/>
        <v>-33787.917999999889</v>
      </c>
      <c r="E219" s="88">
        <f t="shared" si="712"/>
        <v>0</v>
      </c>
      <c r="F219" s="88">
        <f t="shared" si="712"/>
        <v>0</v>
      </c>
      <c r="G219" s="88">
        <f t="shared" si="712"/>
        <v>0</v>
      </c>
      <c r="H219" s="88">
        <f t="shared" si="712"/>
        <v>0</v>
      </c>
      <c r="I219" s="88">
        <f>(I97+I103)-I211-I213-I214-I216-I215</f>
        <v>104234.89800000004</v>
      </c>
      <c r="J219" s="7"/>
      <c r="K219" s="88">
        <f>(K97+K103)-K211-K213-K214-K216-K215</f>
        <v>758432.26599999983</v>
      </c>
      <c r="L219" s="88">
        <f t="shared" ref="L219:R219" si="713">(L97+L103)-L211-L213-L214-L216-L215</f>
        <v>-382967.1</v>
      </c>
      <c r="M219" s="88">
        <f t="shared" si="713"/>
        <v>-37606.102000000072</v>
      </c>
      <c r="N219" s="88">
        <f t="shared" si="713"/>
        <v>0</v>
      </c>
      <c r="O219" s="88">
        <f t="shared" si="713"/>
        <v>0</v>
      </c>
      <c r="P219" s="88">
        <f t="shared" si="713"/>
        <v>0</v>
      </c>
      <c r="Q219" s="88">
        <f t="shared" si="713"/>
        <v>0</v>
      </c>
      <c r="R219" s="88">
        <f t="shared" si="713"/>
        <v>337859.06400000118</v>
      </c>
      <c r="T219" s="88">
        <f>(T97+T103)-T211-T213-T214-T216-T215</f>
        <v>834171.04300000146</v>
      </c>
      <c r="U219" s="88">
        <f t="shared" ref="U219:AA219" si="714">(U97+U103)-U211-U213-U214-U216-U215</f>
        <v>-362434.02374999993</v>
      </c>
      <c r="V219" s="88">
        <f t="shared" si="714"/>
        <v>-39558.98000000004</v>
      </c>
      <c r="W219" s="88">
        <f t="shared" si="714"/>
        <v>0</v>
      </c>
      <c r="X219" s="88">
        <f t="shared" si="714"/>
        <v>0</v>
      </c>
      <c r="Y219" s="88">
        <f t="shared" si="714"/>
        <v>0</v>
      </c>
      <c r="Z219" s="88">
        <f t="shared" si="714"/>
        <v>0</v>
      </c>
      <c r="AA219" s="88">
        <f t="shared" si="714"/>
        <v>432178.03924999945</v>
      </c>
      <c r="AC219" s="88">
        <f>(AC97+AC103)-AC211-AC213-AC214-AC216-AC215</f>
        <v>1175313.8660000004</v>
      </c>
      <c r="AD219" s="88">
        <f t="shared" ref="AD219:AJ219" si="715">(AD97+AD103)-AD211-AD213-AD214-AD216-AD215</f>
        <v>-712868.35000000009</v>
      </c>
      <c r="AE219" s="88">
        <f t="shared" si="715"/>
        <v>-97842.473999999929</v>
      </c>
      <c r="AF219" s="88">
        <f t="shared" si="715"/>
        <v>0</v>
      </c>
      <c r="AG219" s="88">
        <f t="shared" si="715"/>
        <v>0</v>
      </c>
      <c r="AH219" s="88">
        <f t="shared" si="715"/>
        <v>0</v>
      </c>
      <c r="AI219" s="88">
        <f t="shared" si="715"/>
        <v>0</v>
      </c>
      <c r="AJ219" s="88">
        <f t="shared" si="715"/>
        <v>364603.04199999943</v>
      </c>
      <c r="AL219" s="88">
        <f>(AL97+AL103)-AL211-AL213-AL214-AL216-AL215</f>
        <v>941077.96999999881</v>
      </c>
      <c r="AM219" s="88">
        <f t="shared" ref="AM219:AS219" si="716">(AM97+AM103)-AM211-AM213-AM214-AM216-AM215</f>
        <v>-1097815.1725000003</v>
      </c>
      <c r="AN219" s="88">
        <f t="shared" si="716"/>
        <v>-54559.290000000037</v>
      </c>
      <c r="AO219" s="88">
        <f t="shared" si="716"/>
        <v>0</v>
      </c>
      <c r="AP219" s="88">
        <f t="shared" si="716"/>
        <v>0</v>
      </c>
      <c r="AQ219" s="88">
        <f t="shared" si="716"/>
        <v>0</v>
      </c>
      <c r="AR219" s="88">
        <f t="shared" si="716"/>
        <v>0</v>
      </c>
      <c r="AS219" s="88">
        <f t="shared" si="716"/>
        <v>-211296.4924999997</v>
      </c>
      <c r="AU219" s="88">
        <f>(AU97+AU103)-AU211-AU213-AU214-AU216-AU215</f>
        <v>219859.47500000009</v>
      </c>
      <c r="AV219" s="88">
        <f t="shared" ref="AV219:BB219" si="717">(AV97+AV103)-AV211-AV213-AV214-AV216-AV215</f>
        <v>-141193.67499999999</v>
      </c>
      <c r="AW219" s="88">
        <f t="shared" si="717"/>
        <v>-368</v>
      </c>
      <c r="AX219" s="88">
        <f t="shared" si="717"/>
        <v>0</v>
      </c>
      <c r="AY219" s="88">
        <f t="shared" si="717"/>
        <v>0</v>
      </c>
      <c r="AZ219" s="88">
        <f t="shared" si="717"/>
        <v>0</v>
      </c>
      <c r="BA219" s="88">
        <f t="shared" si="717"/>
        <v>0</v>
      </c>
      <c r="BB219" s="88">
        <f t="shared" si="717"/>
        <v>78297.800000000047</v>
      </c>
      <c r="BD219" s="88">
        <f>(BD97+BD103)-BD211-BD213-BD214-BD216-BD215</f>
        <v>-135044.00500000012</v>
      </c>
      <c r="BE219" s="88">
        <f t="shared" ref="BE219:BK219" si="718">(BE97+BE103)-BE211-BE213-BE214-BE216-BE215</f>
        <v>-106039.875</v>
      </c>
      <c r="BF219" s="88">
        <f t="shared" si="718"/>
        <v>-21908.15499999997</v>
      </c>
      <c r="BG219" s="88">
        <f t="shared" si="718"/>
        <v>0</v>
      </c>
      <c r="BH219" s="88">
        <f t="shared" si="718"/>
        <v>-2.5000000023283064E-3</v>
      </c>
      <c r="BI219" s="88">
        <f t="shared" si="718"/>
        <v>0</v>
      </c>
      <c r="BJ219" s="88">
        <f t="shared" si="718"/>
        <v>0</v>
      </c>
      <c r="BK219" s="88">
        <f t="shared" si="718"/>
        <v>-262992.03750000009</v>
      </c>
      <c r="BM219" s="88">
        <f>(BM97+BM103)-BM211-BM213-BM214-BM216-BM215</f>
        <v>-383829.625</v>
      </c>
      <c r="BN219" s="88">
        <f t="shared" ref="BN219:BT219" si="719">(BN97+BN103)-BN211-BN213-BN214-BN216-BN215</f>
        <v>0</v>
      </c>
      <c r="BO219" s="88">
        <f t="shared" si="719"/>
        <v>-17405</v>
      </c>
      <c r="BP219" s="88">
        <f t="shared" si="719"/>
        <v>0</v>
      </c>
      <c r="BQ219" s="88">
        <f t="shared" si="719"/>
        <v>0</v>
      </c>
      <c r="BR219" s="88">
        <f t="shared" si="719"/>
        <v>0</v>
      </c>
      <c r="BS219" s="88">
        <f t="shared" si="719"/>
        <v>0</v>
      </c>
      <c r="BT219" s="88">
        <f t="shared" si="719"/>
        <v>-401234.625</v>
      </c>
      <c r="BV219" s="88">
        <f>(BV97+BV103)-BV211-BV213-BV214-BV216-BV215</f>
        <v>4135813.4459999949</v>
      </c>
      <c r="BW219" s="88">
        <f t="shared" ref="BW219:CC219" si="720">(BW97+BW103)-BW211-BW213-BW214-BW216-BW215</f>
        <v>-3391127.8362499997</v>
      </c>
      <c r="BX219" s="88">
        <f t="shared" si="720"/>
        <v>-303035.91900000069</v>
      </c>
      <c r="BY219" s="88">
        <f t="shared" si="720"/>
        <v>0</v>
      </c>
      <c r="BZ219" s="88">
        <f t="shared" si="720"/>
        <v>-2.5000000023283064E-3</v>
      </c>
      <c r="CA219" s="88">
        <f t="shared" si="720"/>
        <v>0</v>
      </c>
      <c r="CB219" s="88">
        <f t="shared" si="720"/>
        <v>0</v>
      </c>
      <c r="CC219" s="88">
        <f t="shared" si="720"/>
        <v>441649.68824999034</v>
      </c>
    </row>
    <row r="220" spans="1:81">
      <c r="A220" s="89"/>
      <c r="B220" s="90">
        <f t="shared" ref="B220:I220" si="721">B219/(B97)</f>
        <v>8.6706493486014904E-2</v>
      </c>
      <c r="C220" s="90">
        <f t="shared" si="721"/>
        <v>-0.86199840156031193</v>
      </c>
      <c r="D220" s="90">
        <f t="shared" si="721"/>
        <v>-7.8268200078503478E-2</v>
      </c>
      <c r="E220" s="90" t="e">
        <f t="shared" si="721"/>
        <v>#DIV/0!</v>
      </c>
      <c r="F220" s="90" t="e">
        <f t="shared" si="721"/>
        <v>#DIV/0!</v>
      </c>
      <c r="G220" s="90">
        <f t="shared" si="721"/>
        <v>0</v>
      </c>
      <c r="H220" s="90" t="e">
        <f t="shared" si="721"/>
        <v>#DIV/0!</v>
      </c>
      <c r="I220" s="90">
        <f t="shared" si="721"/>
        <v>1.0702007323128506E-2</v>
      </c>
      <c r="J220" s="7"/>
      <c r="K220" s="90">
        <f t="shared" ref="K220:R220" si="722">K219/(K97)</f>
        <v>8.1040222620330088E-2</v>
      </c>
      <c r="L220" s="90">
        <f t="shared" si="722"/>
        <v>-0.69016635699623885</v>
      </c>
      <c r="M220" s="90">
        <f t="shared" si="722"/>
        <v>-7.7395763238247553E-2</v>
      </c>
      <c r="N220" s="90" t="e">
        <f t="shared" si="722"/>
        <v>#DIV/0!</v>
      </c>
      <c r="O220" s="90" t="e">
        <f t="shared" si="722"/>
        <v>#DIV/0!</v>
      </c>
      <c r="P220" s="90">
        <f t="shared" si="722"/>
        <v>0</v>
      </c>
      <c r="Q220" s="90" t="e">
        <f t="shared" si="722"/>
        <v>#DIV/0!</v>
      </c>
      <c r="R220" s="90">
        <f t="shared" si="722"/>
        <v>3.0576868491571041E-2</v>
      </c>
      <c r="T220" s="90">
        <f t="shared" ref="T220:AA220" si="723">T219/(T97)</f>
        <v>7.6403604832920288E-2</v>
      </c>
      <c r="U220" s="90">
        <f t="shared" si="723"/>
        <v>-0.49283997360616472</v>
      </c>
      <c r="V220" s="90">
        <f t="shared" si="723"/>
        <v>-0.10402886628280192</v>
      </c>
      <c r="W220" s="90" t="e">
        <f t="shared" si="723"/>
        <v>#DIV/0!</v>
      </c>
      <c r="X220" s="90" t="e">
        <f t="shared" si="723"/>
        <v>#DIV/0!</v>
      </c>
      <c r="Y220" s="90">
        <f t="shared" si="723"/>
        <v>0</v>
      </c>
      <c r="Z220" s="90" t="e">
        <f t="shared" si="723"/>
        <v>#DIV/0!</v>
      </c>
      <c r="AA220" s="90">
        <f t="shared" si="723"/>
        <v>3.4344486056592696E-2</v>
      </c>
      <c r="AC220" s="90">
        <f t="shared" ref="AC220:AJ220" si="724">AC219/(AC97)</f>
        <v>5.5913697728588153E-2</v>
      </c>
      <c r="AD220" s="90">
        <f t="shared" si="724"/>
        <v>-0.36642568743205356</v>
      </c>
      <c r="AE220" s="90">
        <f t="shared" si="724"/>
        <v>-9.1709502282170313E-2</v>
      </c>
      <c r="AF220" s="90" t="e">
        <f t="shared" si="724"/>
        <v>#DIV/0!</v>
      </c>
      <c r="AG220" s="90" t="e">
        <f t="shared" si="724"/>
        <v>#DIV/0!</v>
      </c>
      <c r="AH220" s="90">
        <f t="shared" si="724"/>
        <v>0</v>
      </c>
      <c r="AI220" s="90" t="e">
        <f t="shared" si="724"/>
        <v>#DIV/0!</v>
      </c>
      <c r="AJ220" s="90">
        <f t="shared" si="724"/>
        <v>1.4421173440209505E-2</v>
      </c>
      <c r="AL220" s="90">
        <f t="shared" ref="AL220:AS220" si="725">AL219/(AL97)</f>
        <v>4.614563926249779E-2</v>
      </c>
      <c r="AM220" s="90">
        <f t="shared" si="725"/>
        <v>-0.77824459461375439</v>
      </c>
      <c r="AN220" s="90">
        <f t="shared" si="725"/>
        <v>-7.7961527028981625E-2</v>
      </c>
      <c r="AO220" s="90" t="e">
        <f t="shared" si="725"/>
        <v>#DIV/0!</v>
      </c>
      <c r="AP220" s="90" t="e">
        <f t="shared" si="725"/>
        <v>#DIV/0!</v>
      </c>
      <c r="AQ220" s="90">
        <f t="shared" si="725"/>
        <v>0</v>
      </c>
      <c r="AR220" s="90" t="e">
        <f t="shared" si="725"/>
        <v>#DIV/0!</v>
      </c>
      <c r="AS220" s="90">
        <f t="shared" si="725"/>
        <v>-8.7659971825891046E-3</v>
      </c>
      <c r="AU220" s="90">
        <f t="shared" ref="AU220:BB220" si="726">AU219/(AU97)</f>
        <v>0.20434556007881635</v>
      </c>
      <c r="AV220" s="90">
        <f t="shared" si="726"/>
        <v>-2.2321346138645164</v>
      </c>
      <c r="AW220" s="90">
        <f t="shared" si="726"/>
        <v>-1.5738602343683177E-2</v>
      </c>
      <c r="AX220" s="90" t="e">
        <f t="shared" si="726"/>
        <v>#DIV/0!</v>
      </c>
      <c r="AY220" s="90" t="e">
        <f t="shared" si="726"/>
        <v>#DIV/0!</v>
      </c>
      <c r="AZ220" s="90" t="e">
        <f t="shared" si="726"/>
        <v>#DIV/0!</v>
      </c>
      <c r="BA220" s="90" t="e">
        <f t="shared" si="726"/>
        <v>#DIV/0!</v>
      </c>
      <c r="BB220" s="90">
        <f t="shared" si="726"/>
        <v>6.7349643931437386E-2</v>
      </c>
      <c r="BD220" s="90">
        <f t="shared" ref="BD220:BK220" si="727">BD219/(BD97)</f>
        <v>-8.1857551838345907E-2</v>
      </c>
      <c r="BE220" s="90">
        <f t="shared" si="727"/>
        <v>-1.7327060082681089</v>
      </c>
      <c r="BF220" s="90">
        <f t="shared" si="727"/>
        <v>-0.10465597815099766</v>
      </c>
      <c r="BG220" s="90" t="e">
        <f t="shared" si="727"/>
        <v>#DIV/0!</v>
      </c>
      <c r="BH220" s="90">
        <f t="shared" si="727"/>
        <v>-5.4120754277234783E-8</v>
      </c>
      <c r="BI220" s="90">
        <f t="shared" si="727"/>
        <v>0</v>
      </c>
      <c r="BJ220" s="90" t="e">
        <f t="shared" si="727"/>
        <v>#DIV/0!</v>
      </c>
      <c r="BK220" s="90">
        <f t="shared" si="727"/>
        <v>-0.13205918779754644</v>
      </c>
      <c r="BM220" s="90" t="e">
        <f t="shared" ref="BM220:BT220" si="728">BM219/(BM97)</f>
        <v>#DIV/0!</v>
      </c>
      <c r="BN220" s="90" t="e">
        <f t="shared" si="728"/>
        <v>#DIV/0!</v>
      </c>
      <c r="BO220" s="90" t="e">
        <f t="shared" si="728"/>
        <v>#DIV/0!</v>
      </c>
      <c r="BP220" s="90" t="e">
        <f t="shared" si="728"/>
        <v>#DIV/0!</v>
      </c>
      <c r="BQ220" s="90" t="e">
        <f t="shared" si="728"/>
        <v>#DIV/0!</v>
      </c>
      <c r="BR220" s="90" t="e">
        <f t="shared" si="728"/>
        <v>#DIV/0!</v>
      </c>
      <c r="BS220" s="90" t="e">
        <f t="shared" si="728"/>
        <v>#DIV/0!</v>
      </c>
      <c r="BT220" s="90" t="e">
        <f t="shared" si="728"/>
        <v>#DIV/0!</v>
      </c>
      <c r="BV220" s="90">
        <f t="shared" ref="BV220:CC220" si="729">BV219/(BV97)</f>
        <v>5.6820563173783652E-2</v>
      </c>
      <c r="BW220" s="90">
        <f t="shared" si="729"/>
        <v>-0.62191102629056794</v>
      </c>
      <c r="BX220" s="90">
        <f t="shared" si="729"/>
        <v>-9.1905069182248292E-2</v>
      </c>
      <c r="BY220" s="90" t="e">
        <f t="shared" si="729"/>
        <v>#DIV/0!</v>
      </c>
      <c r="BZ220" s="90">
        <f t="shared" si="729"/>
        <v>-5.4120754277234783E-8</v>
      </c>
      <c r="CA220" s="90">
        <f t="shared" si="729"/>
        <v>0</v>
      </c>
      <c r="CB220" s="90" t="e">
        <f t="shared" si="729"/>
        <v>#DIV/0!</v>
      </c>
      <c r="CC220" s="90">
        <f t="shared" si="729"/>
        <v>5.1406329682841508E-3</v>
      </c>
    </row>
    <row r="221" spans="1:81">
      <c r="B221" s="91"/>
      <c r="C221" s="91"/>
      <c r="D221" s="91"/>
      <c r="E221" s="91"/>
      <c r="F221" s="91"/>
      <c r="G221" s="91"/>
      <c r="H221" s="91"/>
      <c r="I221" s="91"/>
      <c r="K221" s="91"/>
      <c r="L221" s="91"/>
      <c r="M221" s="91"/>
      <c r="N221" s="91"/>
      <c r="O221" s="91"/>
      <c r="P221" s="91"/>
      <c r="Q221" s="91"/>
      <c r="R221" s="91"/>
      <c r="T221" s="91"/>
      <c r="U221" s="91"/>
      <c r="V221" s="91"/>
      <c r="W221" s="91"/>
      <c r="X221" s="91"/>
      <c r="Y221" s="91"/>
      <c r="Z221" s="91"/>
      <c r="AA221" s="91"/>
      <c r="AC221" s="91"/>
      <c r="AD221" s="91"/>
      <c r="AE221" s="91"/>
      <c r="AF221" s="91"/>
      <c r="AG221" s="91"/>
      <c r="AH221" s="91"/>
      <c r="AI221" s="91"/>
      <c r="AJ221" s="91"/>
      <c r="AL221" s="91"/>
      <c r="AM221" s="91"/>
      <c r="AN221" s="91"/>
      <c r="AO221" s="91"/>
      <c r="AP221" s="91"/>
      <c r="AQ221" s="91"/>
      <c r="AR221" s="91"/>
      <c r="AS221" s="91"/>
      <c r="AU221" s="91"/>
      <c r="AV221" s="91"/>
      <c r="AW221" s="91"/>
      <c r="AX221" s="91"/>
      <c r="AY221" s="91"/>
      <c r="AZ221" s="91"/>
      <c r="BA221" s="91"/>
      <c r="BB221" s="91"/>
      <c r="BD221" s="91"/>
      <c r="BE221" s="91"/>
      <c r="BF221" s="91"/>
      <c r="BG221" s="91"/>
      <c r="BH221" s="91"/>
      <c r="BI221" s="91"/>
      <c r="BJ221" s="91"/>
      <c r="BK221" s="91"/>
      <c r="BM221" s="91"/>
      <c r="BN221" s="91"/>
      <c r="BO221" s="91"/>
      <c r="BP221" s="91"/>
      <c r="BQ221" s="91"/>
      <c r="BR221" s="91"/>
      <c r="BS221" s="91"/>
      <c r="BT221" s="91"/>
      <c r="BV221" s="91"/>
      <c r="BW221" s="91"/>
      <c r="BX221" s="91"/>
      <c r="BY221" s="91"/>
      <c r="BZ221" s="91"/>
      <c r="CA221" s="91"/>
      <c r="CB221" s="91"/>
      <c r="CC221" s="91"/>
    </row>
    <row r="222" spans="1:81" ht="15">
      <c r="A222" s="1" t="str">
        <f t="shared" ref="A222:I222" si="730">A1</f>
        <v>Pinecrest Academy of Nevada - FY24</v>
      </c>
      <c r="B222" s="1" t="str">
        <f t="shared" si="730"/>
        <v>Operating</v>
      </c>
      <c r="C222" s="1" t="str">
        <f t="shared" si="730"/>
        <v>SPED</v>
      </c>
      <c r="D222" s="1" t="str">
        <f t="shared" si="730"/>
        <v>NSLP</v>
      </c>
      <c r="E222" s="1" t="str">
        <f t="shared" si="730"/>
        <v>Other</v>
      </c>
      <c r="F222" s="1" t="str">
        <f t="shared" si="730"/>
        <v>Title I</v>
      </c>
      <c r="G222" s="1" t="str">
        <f t="shared" si="730"/>
        <v>SGF</v>
      </c>
      <c r="H222" s="1" t="str">
        <f t="shared" si="730"/>
        <v>Title III</v>
      </c>
      <c r="I222" s="1" t="str">
        <f t="shared" si="730"/>
        <v>Horizon</v>
      </c>
      <c r="J222" s="2"/>
      <c r="K222" s="1" t="str">
        <f t="shared" ref="K222:R222" si="731">K1</f>
        <v>Operating</v>
      </c>
      <c r="L222" s="1" t="str">
        <f t="shared" si="731"/>
        <v>SPED</v>
      </c>
      <c r="M222" s="1" t="str">
        <f t="shared" si="731"/>
        <v>NSLP</v>
      </c>
      <c r="N222" s="1" t="str">
        <f t="shared" si="731"/>
        <v>Other</v>
      </c>
      <c r="O222" s="1" t="str">
        <f t="shared" si="731"/>
        <v>Title I</v>
      </c>
      <c r="P222" s="1" t="str">
        <f t="shared" si="731"/>
        <v>SGF</v>
      </c>
      <c r="Q222" s="1" t="str">
        <f t="shared" si="731"/>
        <v>Title III</v>
      </c>
      <c r="R222" s="1" t="str">
        <f t="shared" si="731"/>
        <v>St. Rose</v>
      </c>
      <c r="T222" s="1" t="str">
        <f t="shared" ref="T222:AA222" si="732">T1</f>
        <v>Operating</v>
      </c>
      <c r="U222" s="1" t="str">
        <f t="shared" si="732"/>
        <v>SPED</v>
      </c>
      <c r="V222" s="1" t="str">
        <f t="shared" si="732"/>
        <v>NSLP</v>
      </c>
      <c r="W222" s="1" t="str">
        <f t="shared" si="732"/>
        <v>Other</v>
      </c>
      <c r="X222" s="1" t="str">
        <f t="shared" si="732"/>
        <v>Title I</v>
      </c>
      <c r="Y222" s="1" t="str">
        <f t="shared" si="732"/>
        <v>SGF</v>
      </c>
      <c r="Z222" s="1" t="str">
        <f t="shared" si="732"/>
        <v>Title III</v>
      </c>
      <c r="AA222" s="1" t="str">
        <f t="shared" si="732"/>
        <v>Inspirada</v>
      </c>
      <c r="AC222" s="1" t="str">
        <f t="shared" ref="AC222:AJ222" si="733">AC1</f>
        <v>Operating</v>
      </c>
      <c r="AD222" s="1" t="str">
        <f t="shared" si="733"/>
        <v>SPED</v>
      </c>
      <c r="AE222" s="1" t="str">
        <f t="shared" si="733"/>
        <v>NSLP</v>
      </c>
      <c r="AF222" s="1" t="str">
        <f t="shared" si="733"/>
        <v>Other</v>
      </c>
      <c r="AG222" s="1" t="str">
        <f t="shared" si="733"/>
        <v>Title I</v>
      </c>
      <c r="AH222" s="1" t="str">
        <f t="shared" si="733"/>
        <v>SGF</v>
      </c>
      <c r="AI222" s="1" t="str">
        <f t="shared" si="733"/>
        <v>Title III</v>
      </c>
      <c r="AJ222" s="1" t="str">
        <f t="shared" si="733"/>
        <v>Cadence</v>
      </c>
      <c r="AL222" s="1" t="str">
        <f t="shared" ref="AL222:AS222" si="734">AL1</f>
        <v>Operating</v>
      </c>
      <c r="AM222" s="1" t="str">
        <f t="shared" si="734"/>
        <v>SPED</v>
      </c>
      <c r="AN222" s="1" t="str">
        <f t="shared" si="734"/>
        <v>NSLP</v>
      </c>
      <c r="AO222" s="1" t="str">
        <f t="shared" si="734"/>
        <v>Other</v>
      </c>
      <c r="AP222" s="1" t="str">
        <f t="shared" si="734"/>
        <v>Title I</v>
      </c>
      <c r="AQ222" s="1" t="str">
        <f t="shared" si="734"/>
        <v>SGF</v>
      </c>
      <c r="AR222" s="1" t="str">
        <f t="shared" si="734"/>
        <v>Title III</v>
      </c>
      <c r="AS222" s="1" t="str">
        <f t="shared" si="734"/>
        <v>Sloan</v>
      </c>
      <c r="AU222" s="1" t="str">
        <f t="shared" ref="AU222:BB222" si="735">AU1</f>
        <v>Operating</v>
      </c>
      <c r="AV222" s="1" t="str">
        <f t="shared" si="735"/>
        <v>SPED</v>
      </c>
      <c r="AW222" s="1" t="str">
        <f t="shared" si="735"/>
        <v>NSLP</v>
      </c>
      <c r="AX222" s="1" t="str">
        <f t="shared" si="735"/>
        <v>Other</v>
      </c>
      <c r="AY222" s="1" t="str">
        <f t="shared" si="735"/>
        <v>Title I</v>
      </c>
      <c r="AZ222" s="1" t="str">
        <f t="shared" si="735"/>
        <v>SGF</v>
      </c>
      <c r="BA222" s="1" t="str">
        <f t="shared" si="735"/>
        <v>Title III</v>
      </c>
      <c r="BB222" s="1" t="str">
        <f t="shared" si="735"/>
        <v>Virtual</v>
      </c>
      <c r="BD222" s="1" t="str">
        <f t="shared" ref="BD222:BK222" si="736">BD1</f>
        <v>Operating</v>
      </c>
      <c r="BE222" s="1" t="str">
        <f t="shared" si="736"/>
        <v>SPED</v>
      </c>
      <c r="BF222" s="1" t="str">
        <f t="shared" si="736"/>
        <v>NSLP</v>
      </c>
      <c r="BG222" s="1" t="str">
        <f t="shared" si="736"/>
        <v>Other</v>
      </c>
      <c r="BH222" s="1" t="str">
        <f t="shared" si="736"/>
        <v>Title I</v>
      </c>
      <c r="BI222" s="1" t="str">
        <f t="shared" si="736"/>
        <v>SGF</v>
      </c>
      <c r="BJ222" s="1" t="str">
        <f t="shared" si="736"/>
        <v>Title III</v>
      </c>
      <c r="BK222" s="1" t="str">
        <f t="shared" si="736"/>
        <v>Springs</v>
      </c>
      <c r="BM222" s="1" t="str">
        <f t="shared" ref="BM222:BT222" si="737">BM1</f>
        <v>Operating</v>
      </c>
      <c r="BN222" s="1" t="str">
        <f t="shared" si="737"/>
        <v>SPED</v>
      </c>
      <c r="BO222" s="1" t="str">
        <f t="shared" si="737"/>
        <v>NSLP</v>
      </c>
      <c r="BP222" s="1" t="str">
        <f t="shared" si="737"/>
        <v>Other</v>
      </c>
      <c r="BQ222" s="1" t="str">
        <f t="shared" si="737"/>
        <v>Title I</v>
      </c>
      <c r="BR222" s="1" t="str">
        <f t="shared" si="737"/>
        <v>SGF</v>
      </c>
      <c r="BS222" s="1" t="str">
        <f t="shared" si="737"/>
        <v>Title III</v>
      </c>
      <c r="BT222" s="1" t="str">
        <f t="shared" si="737"/>
        <v>Exec. Office</v>
      </c>
      <c r="BV222" s="1" t="str">
        <f t="shared" ref="BV222:CC222" si="738">BV1</f>
        <v>Operating</v>
      </c>
      <c r="BW222" s="1" t="str">
        <f t="shared" si="738"/>
        <v>SPED</v>
      </c>
      <c r="BX222" s="1" t="str">
        <f t="shared" si="738"/>
        <v>NSLP</v>
      </c>
      <c r="BY222" s="1" t="str">
        <f t="shared" si="738"/>
        <v>Other</v>
      </c>
      <c r="BZ222" s="1" t="str">
        <f t="shared" si="738"/>
        <v>Title I</v>
      </c>
      <c r="CA222" s="1" t="str">
        <f t="shared" si="738"/>
        <v>SGF</v>
      </c>
      <c r="CB222" s="1" t="str">
        <f t="shared" si="738"/>
        <v>Title III</v>
      </c>
      <c r="CC222" s="1" t="str">
        <f t="shared" si="738"/>
        <v>Systemwide</v>
      </c>
    </row>
    <row r="224" spans="1:81" s="14" customFormat="1">
      <c r="A224" s="7"/>
      <c r="B224" s="92"/>
      <c r="C224" s="92"/>
      <c r="D224" s="92"/>
      <c r="E224" s="92"/>
      <c r="F224" s="92"/>
      <c r="G224" s="92"/>
      <c r="H224" s="92"/>
      <c r="I224" s="92"/>
      <c r="K224" s="92"/>
      <c r="L224" s="92"/>
      <c r="M224" s="92"/>
      <c r="N224" s="92"/>
      <c r="O224" s="92"/>
      <c r="P224" s="92"/>
      <c r="Q224" s="92"/>
      <c r="R224" s="92"/>
      <c r="T224" s="92"/>
      <c r="U224" s="92"/>
      <c r="V224" s="92"/>
      <c r="W224" s="92"/>
      <c r="X224" s="92"/>
      <c r="Y224" s="92"/>
      <c r="Z224" s="92"/>
      <c r="AA224" s="92"/>
      <c r="AC224" s="92"/>
      <c r="AD224" s="92"/>
      <c r="AE224" s="92"/>
      <c r="AF224" s="92"/>
      <c r="AG224" s="92"/>
      <c r="AH224" s="92"/>
      <c r="AI224" s="92"/>
      <c r="AJ224" s="92"/>
      <c r="AL224" s="92"/>
      <c r="AM224" s="92"/>
      <c r="AN224" s="92"/>
      <c r="AO224" s="92"/>
      <c r="AP224" s="92"/>
      <c r="AQ224" s="92"/>
      <c r="AR224" s="92"/>
      <c r="AS224" s="92"/>
      <c r="AU224" s="92"/>
      <c r="AV224" s="92"/>
      <c r="AW224" s="92"/>
      <c r="AX224" s="92"/>
      <c r="AY224" s="92"/>
      <c r="AZ224" s="92"/>
      <c r="BA224" s="92"/>
      <c r="BB224" s="92"/>
      <c r="BD224" s="92"/>
      <c r="BE224" s="92"/>
      <c r="BF224" s="92"/>
      <c r="BG224" s="92"/>
      <c r="BH224" s="92"/>
      <c r="BI224" s="92"/>
      <c r="BJ224" s="92"/>
      <c r="BK224" s="92"/>
      <c r="BM224" s="92"/>
      <c r="BN224" s="92"/>
      <c r="BO224" s="92"/>
      <c r="BP224" s="92"/>
      <c r="BQ224" s="92"/>
      <c r="BR224" s="92"/>
      <c r="BS224" s="92"/>
      <c r="BT224" s="92"/>
      <c r="BV224" s="92"/>
      <c r="BW224" s="92"/>
      <c r="BX224" s="92"/>
      <c r="BY224" s="92"/>
      <c r="BZ224" s="92"/>
      <c r="CA224" s="92"/>
      <c r="CB224" s="92"/>
      <c r="CC224" s="92"/>
    </row>
    <row r="225" spans="1:81" s="14" customFormat="1">
      <c r="A225" s="7"/>
      <c r="B225" s="92"/>
      <c r="C225" s="95"/>
      <c r="D225" s="95"/>
      <c r="E225" s="95"/>
      <c r="F225" s="95"/>
      <c r="G225" s="95"/>
      <c r="H225" s="95"/>
      <c r="I225" s="95"/>
      <c r="K225" s="92"/>
      <c r="L225" s="95"/>
      <c r="M225" s="95"/>
      <c r="N225" s="95"/>
      <c r="O225" s="95"/>
      <c r="P225" s="95"/>
      <c r="Q225" s="95"/>
      <c r="R225" s="95"/>
      <c r="S225" s="7"/>
      <c r="T225" s="92"/>
      <c r="U225" s="95"/>
      <c r="V225" s="95"/>
      <c r="W225" s="95"/>
      <c r="X225" s="95"/>
      <c r="Y225" s="95"/>
      <c r="Z225" s="95"/>
      <c r="AA225" s="95"/>
      <c r="AB225" s="7"/>
      <c r="AC225" s="92"/>
      <c r="AD225" s="95"/>
      <c r="AE225" s="95"/>
      <c r="AF225" s="95"/>
      <c r="AG225" s="95"/>
      <c r="AH225" s="95"/>
      <c r="AI225" s="95"/>
      <c r="AJ225" s="95"/>
      <c r="AK225" s="7"/>
      <c r="AL225" s="92"/>
      <c r="AM225" s="95"/>
      <c r="AN225" s="95"/>
      <c r="AO225" s="95"/>
      <c r="AP225" s="95"/>
      <c r="AQ225" s="95"/>
      <c r="AR225" s="95"/>
      <c r="AS225" s="95"/>
      <c r="AT225" s="7"/>
      <c r="AU225" s="92"/>
      <c r="AV225" s="95"/>
      <c r="AW225" s="95"/>
      <c r="AX225" s="95"/>
      <c r="AY225" s="95"/>
      <c r="AZ225" s="95"/>
      <c r="BA225" s="95"/>
      <c r="BB225" s="95"/>
      <c r="BC225" s="7"/>
      <c r="BD225" s="92"/>
      <c r="BE225" s="95"/>
      <c r="BF225" s="95"/>
      <c r="BG225" s="95"/>
      <c r="BH225" s="95"/>
      <c r="BI225" s="95"/>
      <c r="BJ225" s="95"/>
      <c r="BK225" s="95"/>
      <c r="BL225" s="7"/>
      <c r="BM225" s="92"/>
      <c r="BN225" s="95"/>
      <c r="BO225" s="95"/>
      <c r="BP225" s="95"/>
      <c r="BQ225" s="95"/>
      <c r="BR225" s="95"/>
      <c r="BS225" s="95"/>
      <c r="BT225" s="95"/>
      <c r="BU225" s="7"/>
      <c r="BV225" s="92"/>
      <c r="BW225" s="95"/>
      <c r="BX225" s="95"/>
      <c r="BY225" s="95"/>
      <c r="BZ225" s="95"/>
      <c r="CA225" s="95"/>
      <c r="CB225" s="95"/>
      <c r="CC225" s="95"/>
    </row>
  </sheetData>
  <pageMargins left="0.7" right="0.7" top="0.75" bottom="0.75" header="0.3" footer="0.3"/>
  <pageSetup scale="42" fitToHeight="0" orientation="portrait" r:id="rId1"/>
  <rowBreaks count="2" manualBreakCount="2">
    <brk id="80" max="9" man="1"/>
    <brk id="170" max="9" man="1"/>
  </rowBreaks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opLeftCell="H1" zoomScale="75" zoomScaleNormal="75" workbookViewId="0">
      <selection activeCell="V27" sqref="V27:X27"/>
    </sheetView>
  </sheetViews>
  <sheetFormatPr defaultColWidth="8.875" defaultRowHeight="14.25"/>
  <cols>
    <col min="1" max="1" width="8.875" style="107" customWidth="1"/>
    <col min="2" max="2" width="19.5" style="107" bestFit="1" customWidth="1"/>
    <col min="3" max="5" width="18.75" style="107" customWidth="1"/>
    <col min="6" max="6" width="8.875" style="107"/>
    <col min="7" max="7" width="19.5" style="107" bestFit="1" customWidth="1"/>
    <col min="8" max="10" width="18.75" style="107" customWidth="1"/>
    <col min="11" max="11" width="8.875" style="107"/>
    <col min="12" max="12" width="19.5" style="107" bestFit="1" customWidth="1"/>
    <col min="13" max="14" width="19.5" style="107" customWidth="1"/>
    <col min="15" max="17" width="18.75" style="107" customWidth="1"/>
    <col min="18" max="18" width="8.875" style="107"/>
    <col min="19" max="19" width="18" style="107" customWidth="1"/>
    <col min="20" max="20" width="17.625" style="107" customWidth="1"/>
    <col min="21" max="16384" width="8.875" style="107"/>
  </cols>
  <sheetData>
    <row r="1" spans="1:19" ht="15.75">
      <c r="A1" s="126"/>
      <c r="B1" s="151" t="s">
        <v>222</v>
      </c>
      <c r="C1" s="151"/>
      <c r="D1" s="151"/>
      <c r="E1" s="151"/>
      <c r="F1" s="126"/>
      <c r="G1" s="151" t="s">
        <v>221</v>
      </c>
      <c r="H1" s="151"/>
      <c r="I1" s="151"/>
      <c r="J1" s="151"/>
      <c r="K1" s="126"/>
      <c r="L1" s="151" t="s">
        <v>220</v>
      </c>
      <c r="M1" s="151"/>
      <c r="N1" s="151"/>
      <c r="O1" s="151"/>
      <c r="P1" s="151"/>
      <c r="Q1" s="151"/>
    </row>
    <row r="2" spans="1:19" ht="15.75">
      <c r="A2" s="126"/>
      <c r="B2" s="151" t="s">
        <v>219</v>
      </c>
      <c r="C2" s="151"/>
      <c r="D2" s="151"/>
      <c r="E2" s="151"/>
      <c r="F2" s="126"/>
      <c r="G2" s="151" t="s">
        <v>218</v>
      </c>
      <c r="H2" s="151"/>
      <c r="I2" s="151"/>
      <c r="J2" s="151"/>
      <c r="K2" s="126"/>
      <c r="L2" s="151" t="s">
        <v>217</v>
      </c>
      <c r="M2" s="151"/>
      <c r="N2" s="151"/>
      <c r="O2" s="151"/>
      <c r="P2" s="151"/>
      <c r="Q2" s="151"/>
    </row>
    <row r="3" spans="1:19" ht="15">
      <c r="M3" s="150" t="s">
        <v>216</v>
      </c>
      <c r="N3" s="150"/>
      <c r="O3" s="150" t="s">
        <v>215</v>
      </c>
      <c r="P3" s="150"/>
    </row>
    <row r="4" spans="1:19" ht="15">
      <c r="B4" s="124" t="s">
        <v>214</v>
      </c>
      <c r="C4" s="125" t="s">
        <v>40</v>
      </c>
      <c r="D4" s="125" t="s">
        <v>213</v>
      </c>
      <c r="E4" s="124" t="s">
        <v>212</v>
      </c>
      <c r="G4" s="124" t="s">
        <v>214</v>
      </c>
      <c r="H4" s="125" t="s">
        <v>40</v>
      </c>
      <c r="I4" s="125" t="s">
        <v>213</v>
      </c>
      <c r="J4" s="124" t="s">
        <v>212</v>
      </c>
      <c r="L4" s="124" t="s">
        <v>214</v>
      </c>
      <c r="M4" s="125" t="s">
        <v>40</v>
      </c>
      <c r="N4" s="125" t="s">
        <v>213</v>
      </c>
      <c r="O4" s="125" t="s">
        <v>40</v>
      </c>
      <c r="P4" s="125" t="s">
        <v>213</v>
      </c>
      <c r="Q4" s="124" t="s">
        <v>212</v>
      </c>
    </row>
    <row r="5" spans="1:19">
      <c r="B5" s="123"/>
      <c r="C5" s="116"/>
      <c r="D5" s="116"/>
      <c r="E5" s="116"/>
      <c r="G5" s="123"/>
      <c r="H5" s="116"/>
      <c r="I5" s="116"/>
      <c r="J5" s="116"/>
      <c r="L5" s="123"/>
      <c r="M5" s="123"/>
      <c r="N5" s="123"/>
      <c r="O5" s="116"/>
      <c r="P5" s="116"/>
      <c r="Q5" s="116"/>
    </row>
    <row r="6" spans="1:19">
      <c r="B6" s="123">
        <v>43617</v>
      </c>
      <c r="C6" s="116">
        <f>0</f>
        <v>0</v>
      </c>
      <c r="D6" s="116">
        <f>227645.5*4+227645.49</f>
        <v>1138227.49</v>
      </c>
      <c r="E6" s="116">
        <f t="shared" ref="E6:E36" si="0">C6+D6</f>
        <v>1138227.49</v>
      </c>
      <c r="G6" s="123"/>
      <c r="H6" s="116"/>
      <c r="I6" s="116"/>
      <c r="J6" s="116"/>
      <c r="L6" s="123"/>
      <c r="M6" s="123"/>
      <c r="N6" s="123"/>
      <c r="O6" s="116"/>
      <c r="P6" s="116"/>
      <c r="Q6" s="116"/>
      <c r="S6" s="116">
        <f t="shared" ref="S6:S41" si="1">E6+J6+Q6</f>
        <v>1138227.49</v>
      </c>
    </row>
    <row r="7" spans="1:19">
      <c r="B7" s="123">
        <v>43983</v>
      </c>
      <c r="C7" s="116">
        <f>29166.67*11</f>
        <v>320833.37</v>
      </c>
      <c r="D7" s="116">
        <f>227645.5+198913.54*10+198913.52</f>
        <v>2415694.4200000004</v>
      </c>
      <c r="E7" s="116">
        <f t="shared" si="0"/>
        <v>2736527.7900000005</v>
      </c>
      <c r="G7" s="123">
        <v>43983</v>
      </c>
      <c r="H7" s="116">
        <v>0</v>
      </c>
      <c r="I7" s="116">
        <v>0</v>
      </c>
      <c r="J7" s="116">
        <f t="shared" ref="J7:J38" si="2">H7+I7</f>
        <v>0</v>
      </c>
      <c r="L7" s="123"/>
      <c r="M7" s="123"/>
      <c r="N7" s="123"/>
      <c r="O7" s="116"/>
      <c r="P7" s="116"/>
      <c r="Q7" s="116"/>
      <c r="S7" s="116">
        <f t="shared" si="1"/>
        <v>2736527.7900000005</v>
      </c>
    </row>
    <row r="8" spans="1:19">
      <c r="B8" s="123">
        <v>44348</v>
      </c>
      <c r="C8" s="116">
        <f>29166.67+32083.33*11</f>
        <v>382083.3</v>
      </c>
      <c r="D8" s="116">
        <f>198913.54+197382.29*10+197382.34</f>
        <v>2370118.7799999998</v>
      </c>
      <c r="E8" s="116">
        <f t="shared" si="0"/>
        <v>2752202.0799999996</v>
      </c>
      <c r="G8" s="123">
        <v>44348</v>
      </c>
      <c r="H8" s="116">
        <f>0</f>
        <v>0</v>
      </c>
      <c r="I8" s="116">
        <f>129919.33+141216.67*10+141216.64</f>
        <v>1683302.6700000004</v>
      </c>
      <c r="J8" s="116">
        <f t="shared" si="2"/>
        <v>1683302.6700000004</v>
      </c>
      <c r="L8" s="123">
        <v>44348</v>
      </c>
      <c r="M8" s="116">
        <v>0</v>
      </c>
      <c r="N8" s="116">
        <f>5548.52*2+4323.52*4+4323.49</f>
        <v>32714.61</v>
      </c>
      <c r="O8" s="116">
        <v>0</v>
      </c>
      <c r="P8" s="116">
        <f>216390.16*4+173738.75*3+-5590.51</f>
        <v>1381186.3800000001</v>
      </c>
      <c r="Q8" s="116">
        <f t="shared" ref="Q8:Q41" si="3">M8+N8+O8+P8</f>
        <v>1413900.9900000002</v>
      </c>
      <c r="S8" s="116">
        <f t="shared" si="1"/>
        <v>5849405.7400000002</v>
      </c>
    </row>
    <row r="9" spans="1:19">
      <c r="B9" s="123">
        <v>44713</v>
      </c>
      <c r="C9" s="116">
        <f>32083.33+50000*11</f>
        <v>582083.32999999996</v>
      </c>
      <c r="D9" s="116">
        <f>197382.29+195731.25*10+195731.26</f>
        <v>2350426.0499999998</v>
      </c>
      <c r="E9" s="116">
        <f t="shared" si="0"/>
        <v>2932509.38</v>
      </c>
      <c r="G9" s="123">
        <v>44713</v>
      </c>
      <c r="H9" s="116">
        <f>66666.67*11</f>
        <v>733333.37</v>
      </c>
      <c r="I9" s="116">
        <f>141216.67*11+141216.59</f>
        <v>1694599.9600000002</v>
      </c>
      <c r="J9" s="116">
        <f t="shared" si="2"/>
        <v>2427933.33</v>
      </c>
      <c r="L9" s="123">
        <v>44713</v>
      </c>
      <c r="M9" s="116">
        <v>0</v>
      </c>
      <c r="N9" s="116">
        <f>4323.52*11+4323.48</f>
        <v>51882.2</v>
      </c>
      <c r="O9" s="116">
        <v>0</v>
      </c>
      <c r="P9" s="116">
        <f>173738.75*12</f>
        <v>2084865</v>
      </c>
      <c r="Q9" s="116">
        <f t="shared" si="3"/>
        <v>2136747.2000000002</v>
      </c>
      <c r="S9" s="116">
        <f t="shared" si="1"/>
        <v>7497189.9100000001</v>
      </c>
    </row>
    <row r="10" spans="1:19">
      <c r="B10" s="123">
        <v>45078</v>
      </c>
      <c r="C10" s="116">
        <f>50000+54166.67*11</f>
        <v>645833.37</v>
      </c>
      <c r="D10" s="116">
        <f>195731.25+193231.25*10+193231.21</f>
        <v>2321274.96</v>
      </c>
      <c r="E10" s="116">
        <f t="shared" si="0"/>
        <v>2967108.33</v>
      </c>
      <c r="G10" s="123">
        <v>45078</v>
      </c>
      <c r="H10" s="116">
        <f>66666.63+69166.67*11</f>
        <v>827500</v>
      </c>
      <c r="I10" s="116">
        <f>141216.67+138550*11</f>
        <v>1665266.67</v>
      </c>
      <c r="J10" s="116">
        <f t="shared" si="2"/>
        <v>2492766.67</v>
      </c>
      <c r="L10" s="123">
        <v>45078</v>
      </c>
      <c r="M10" s="116">
        <v>0</v>
      </c>
      <c r="N10" s="116">
        <f>4323.52+79440.11*10+79440.05</f>
        <v>878164.67</v>
      </c>
      <c r="O10" s="116">
        <v>0</v>
      </c>
      <c r="P10" s="116">
        <f>173738.75*12</f>
        <v>2084865</v>
      </c>
      <c r="Q10" s="116">
        <f t="shared" si="3"/>
        <v>2963029.67</v>
      </c>
      <c r="S10" s="116">
        <f t="shared" si="1"/>
        <v>8422904.6699999999</v>
      </c>
    </row>
    <row r="11" spans="1:19">
      <c r="B11" s="123">
        <v>45444</v>
      </c>
      <c r="C11" s="116">
        <f>54166.67+63750*11</f>
        <v>755416.67</v>
      </c>
      <c r="D11" s="116">
        <f>193231.25+190522.92*10+190522.88</f>
        <v>2288983.33</v>
      </c>
      <c r="E11" s="116">
        <f t="shared" si="0"/>
        <v>3044400</v>
      </c>
      <c r="G11" s="123">
        <v>45444</v>
      </c>
      <c r="H11" s="116">
        <f>69166.67+72083.33*11</f>
        <v>862083.3</v>
      </c>
      <c r="I11" s="116">
        <f>138550+135783.33*10+135783.4</f>
        <v>1632166.6999999997</v>
      </c>
      <c r="J11" s="116">
        <f t="shared" si="2"/>
        <v>2494250</v>
      </c>
      <c r="L11" s="123">
        <v>45444</v>
      </c>
      <c r="M11" s="116">
        <f>8333.33*11</f>
        <v>91666.63</v>
      </c>
      <c r="N11" s="116">
        <f>79440.11*11+79440.09</f>
        <v>953281.29999999993</v>
      </c>
      <c r="O11" s="116">
        <v>0</v>
      </c>
      <c r="P11" s="116">
        <f>173738.75*12</f>
        <v>2084865</v>
      </c>
      <c r="Q11" s="116">
        <f t="shared" si="3"/>
        <v>3129812.9299999997</v>
      </c>
      <c r="S11" s="116">
        <f t="shared" si="1"/>
        <v>8668462.9299999997</v>
      </c>
    </row>
    <row r="12" spans="1:19">
      <c r="B12" s="123">
        <v>45809</v>
      </c>
      <c r="C12" s="116">
        <f>63750+67083.33*11</f>
        <v>801666.63</v>
      </c>
      <c r="D12" s="116">
        <f>190522.92+187335.42*11</f>
        <v>2251212.54</v>
      </c>
      <c r="E12" s="116">
        <f t="shared" si="0"/>
        <v>3052879.17</v>
      </c>
      <c r="G12" s="123">
        <v>45809</v>
      </c>
      <c r="H12" s="116">
        <f>72083.33+75000*11</f>
        <v>897083.33</v>
      </c>
      <c r="I12" s="116">
        <f>135783.34+132900*11</f>
        <v>1597683.34</v>
      </c>
      <c r="J12" s="116">
        <f t="shared" si="2"/>
        <v>2494766.67</v>
      </c>
      <c r="L12" s="123">
        <v>45809</v>
      </c>
      <c r="M12" s="116">
        <f>8333.33+31666.67*11</f>
        <v>356666.7</v>
      </c>
      <c r="N12" s="116">
        <f>79440.11+78992.19*10+78992.13</f>
        <v>948354.14</v>
      </c>
      <c r="O12" s="116">
        <v>0</v>
      </c>
      <c r="P12" s="116">
        <f>173738.75*12</f>
        <v>2084865</v>
      </c>
      <c r="Q12" s="116">
        <f t="shared" si="3"/>
        <v>3389885.84</v>
      </c>
      <c r="S12" s="116">
        <f t="shared" si="1"/>
        <v>8937531.6799999997</v>
      </c>
    </row>
    <row r="13" spans="1:19">
      <c r="B13" s="123">
        <v>46174</v>
      </c>
      <c r="C13" s="116">
        <f>67083.33+70833.33*11</f>
        <v>846249.96</v>
      </c>
      <c r="D13" s="116">
        <f>187335.42+183981.25*10+183981.29</f>
        <v>2211129.21</v>
      </c>
      <c r="E13" s="116">
        <f t="shared" si="0"/>
        <v>3057379.17</v>
      </c>
      <c r="G13" s="123">
        <v>46174</v>
      </c>
      <c r="H13" s="116">
        <f>75000+77916.67*10+77916.63</f>
        <v>932083.33</v>
      </c>
      <c r="I13" s="116">
        <f>132900+129900*11</f>
        <v>1561800</v>
      </c>
      <c r="J13" s="116">
        <f t="shared" si="2"/>
        <v>2493883.33</v>
      </c>
      <c r="L13" s="123">
        <v>46174</v>
      </c>
      <c r="M13" s="116">
        <f>31666.67+33333.33*11</f>
        <v>398333.3</v>
      </c>
      <c r="N13" s="116">
        <f>78992.19+77290.11*10+77290.09</f>
        <v>929183.38</v>
      </c>
      <c r="O13" s="116">
        <f>40416.67*8+40416.64</f>
        <v>363750</v>
      </c>
      <c r="P13" s="116">
        <f>173738.75*12</f>
        <v>2084865</v>
      </c>
      <c r="Q13" s="116">
        <f t="shared" si="3"/>
        <v>3776131.6799999997</v>
      </c>
      <c r="S13" s="116">
        <f t="shared" si="1"/>
        <v>9327394.1799999997</v>
      </c>
    </row>
    <row r="14" spans="1:19">
      <c r="B14" s="123">
        <v>46539</v>
      </c>
      <c r="C14" s="116">
        <f>70833.33+74166.67*11</f>
        <v>886666.7</v>
      </c>
      <c r="D14" s="116">
        <f>183981.25+180439.58*11</f>
        <v>2168816.63</v>
      </c>
      <c r="E14" s="116">
        <f t="shared" si="0"/>
        <v>3055483.33</v>
      </c>
      <c r="G14" s="123">
        <v>46539</v>
      </c>
      <c r="H14" s="116">
        <f>77916.67+81250*11</f>
        <v>971666.67</v>
      </c>
      <c r="I14" s="116">
        <f>129900+126783.33*10+126783.36</f>
        <v>1524516.6600000001</v>
      </c>
      <c r="J14" s="116">
        <f t="shared" si="2"/>
        <v>2496183.33</v>
      </c>
      <c r="L14" s="123">
        <v>46539</v>
      </c>
      <c r="M14" s="116">
        <f>33333.33+35416.67*11</f>
        <v>422916.7</v>
      </c>
      <c r="N14" s="116">
        <f>77290.11+75498.44*10+75498.38</f>
        <v>907772.89</v>
      </c>
      <c r="O14" s="116">
        <f>40416.67*3+42916.67*9</f>
        <v>507500.04</v>
      </c>
      <c r="P14" s="116">
        <f>173738.75*3+171515.83*8+171515.82</f>
        <v>2064858.71</v>
      </c>
      <c r="Q14" s="116">
        <f t="shared" si="3"/>
        <v>3903048.34</v>
      </c>
      <c r="S14" s="116">
        <f t="shared" si="1"/>
        <v>9454715</v>
      </c>
    </row>
    <row r="15" spans="1:19">
      <c r="B15" s="123">
        <v>46905</v>
      </c>
      <c r="C15" s="116">
        <f>74166.67+77916.67*11</f>
        <v>931250.04</v>
      </c>
      <c r="D15" s="116">
        <f>180439.58+176731.25*10+176731.21</f>
        <v>2124483.29</v>
      </c>
      <c r="E15" s="116">
        <f t="shared" si="0"/>
        <v>3055733.33</v>
      </c>
      <c r="G15" s="123">
        <v>46905</v>
      </c>
      <c r="H15" s="116">
        <f>81250+84166.67*11</f>
        <v>1007083.37</v>
      </c>
      <c r="I15" s="116">
        <f>126783.33+123533.33*11</f>
        <v>1485649.9600000002</v>
      </c>
      <c r="J15" s="116">
        <f t="shared" si="2"/>
        <v>2492733.33</v>
      </c>
      <c r="L15" s="123">
        <v>46905</v>
      </c>
      <c r="M15" s="116">
        <f>35416.67+37500*11</f>
        <v>447916.67</v>
      </c>
      <c r="N15" s="116">
        <f>75498.44+73594.79*10+73594.8</f>
        <v>885041.1399999999</v>
      </c>
      <c r="O15" s="116">
        <f>42916.67*3+45416.67*8+45416.63</f>
        <v>537500</v>
      </c>
      <c r="P15" s="116">
        <f>171515.83*3+169155.42*8+169155.4</f>
        <v>2036946.25</v>
      </c>
      <c r="Q15" s="116">
        <f t="shared" si="3"/>
        <v>3907404.0599999996</v>
      </c>
      <c r="S15" s="116">
        <f t="shared" si="1"/>
        <v>9455870.7199999988</v>
      </c>
    </row>
    <row r="16" spans="1:19">
      <c r="B16" s="123">
        <v>47270</v>
      </c>
      <c r="C16" s="116">
        <f>77916.67+82500*11</f>
        <v>985416.67</v>
      </c>
      <c r="D16" s="116">
        <f>176731.25+172835.42*10+172835.38</f>
        <v>2077920.83</v>
      </c>
      <c r="E16" s="116">
        <f t="shared" si="0"/>
        <v>3063337.5</v>
      </c>
      <c r="G16" s="123">
        <v>47270</v>
      </c>
      <c r="H16" s="116">
        <f>84166.67+87916.67*11</f>
        <v>1051250.04</v>
      </c>
      <c r="I16" s="116">
        <f>123533.33+120166.67*10+120166.6</f>
        <v>1445366.6300000001</v>
      </c>
      <c r="J16" s="116">
        <f t="shared" si="2"/>
        <v>2496616.67</v>
      </c>
      <c r="L16" s="123">
        <v>47270</v>
      </c>
      <c r="M16" s="116">
        <f>37500+30833.33*11</f>
        <v>376666.63</v>
      </c>
      <c r="N16" s="116">
        <f>73594.79+71579.17*11</f>
        <v>860965.66</v>
      </c>
      <c r="O16" s="116">
        <f>45416.67*3+47916.67*9</f>
        <v>567500.04</v>
      </c>
      <c r="P16" s="116">
        <f>169155.42*3+166657.5*8+166657.45</f>
        <v>2007383.71</v>
      </c>
      <c r="Q16" s="116">
        <f t="shared" si="3"/>
        <v>3812516.04</v>
      </c>
      <c r="S16" s="116">
        <f t="shared" si="1"/>
        <v>9372470.2100000009</v>
      </c>
    </row>
    <row r="17" spans="2:19">
      <c r="B17" s="123">
        <v>47635</v>
      </c>
      <c r="C17" s="116">
        <f>82500+87500*11</f>
        <v>1045000</v>
      </c>
      <c r="D17" s="116">
        <f>172835.42+168091.67*10+168091.63</f>
        <v>2021843.75</v>
      </c>
      <c r="E17" s="116">
        <f t="shared" si="0"/>
        <v>3066843.75</v>
      </c>
      <c r="G17" s="123">
        <v>47635</v>
      </c>
      <c r="H17" s="116">
        <f>87916.67+91250*11</f>
        <v>1091666.67</v>
      </c>
      <c r="I17" s="116">
        <f>120166.66+116650*11</f>
        <v>1403316.66</v>
      </c>
      <c r="J17" s="116">
        <f t="shared" si="2"/>
        <v>2494983.33</v>
      </c>
      <c r="L17" s="123">
        <v>47635</v>
      </c>
      <c r="M17" s="116">
        <f>30833.33+32083.33*11</f>
        <v>383749.96</v>
      </c>
      <c r="N17" s="116">
        <f>71579.17+70345.83*10+70345.9</f>
        <v>845383.37000000011</v>
      </c>
      <c r="O17" s="116">
        <f>47916.67*3+50833.33*8+50833.35</f>
        <v>601250</v>
      </c>
      <c r="P17" s="116">
        <f>166657.5*3+163782.5*9</f>
        <v>1974015</v>
      </c>
      <c r="Q17" s="116">
        <f t="shared" si="3"/>
        <v>3804398.33</v>
      </c>
      <c r="S17" s="116">
        <f t="shared" si="1"/>
        <v>9366225.4100000001</v>
      </c>
    </row>
    <row r="18" spans="2:19">
      <c r="B18" s="123">
        <v>48000</v>
      </c>
      <c r="C18" s="116">
        <f>87500+92500*11</f>
        <v>1105000</v>
      </c>
      <c r="D18" s="116">
        <f>168091.67+163060.42*10+163060.38</f>
        <v>1961756.25</v>
      </c>
      <c r="E18" s="116">
        <f t="shared" si="0"/>
        <v>3066756.25</v>
      </c>
      <c r="G18" s="123">
        <v>48000</v>
      </c>
      <c r="H18" s="116">
        <f>91250+95000*11</f>
        <v>1136250</v>
      </c>
      <c r="I18" s="116">
        <f>116650+113000*11</f>
        <v>1359650</v>
      </c>
      <c r="J18" s="116">
        <f t="shared" si="2"/>
        <v>2495900</v>
      </c>
      <c r="L18" s="123">
        <v>48000</v>
      </c>
      <c r="M18" s="116">
        <f>32083.33+33333.33*11</f>
        <v>398749.96</v>
      </c>
      <c r="N18" s="116">
        <f>70345.83+69062.5*10+69062.54</f>
        <v>830033.37</v>
      </c>
      <c r="O18" s="116">
        <f>50833.33*3+54166.67*8+54166.65</f>
        <v>640000</v>
      </c>
      <c r="P18" s="116">
        <f>163782.5*3+160732.5*9</f>
        <v>1937940</v>
      </c>
      <c r="Q18" s="116">
        <f t="shared" si="3"/>
        <v>3806723.33</v>
      </c>
      <c r="S18" s="116">
        <f t="shared" si="1"/>
        <v>9369379.5800000001</v>
      </c>
    </row>
    <row r="19" spans="2:19">
      <c r="B19" s="123">
        <v>48366</v>
      </c>
      <c r="C19" s="116">
        <f>92500+97916.67*11</f>
        <v>1169583.3699999999</v>
      </c>
      <c r="D19" s="116">
        <f>163060.42+157741.67*10+157741.59</f>
        <v>1898218.7100000002</v>
      </c>
      <c r="E19" s="116">
        <f t="shared" si="0"/>
        <v>3067802.08</v>
      </c>
      <c r="G19" s="123">
        <v>48366</v>
      </c>
      <c r="H19" s="116">
        <f>95000+98750*11</f>
        <v>1181250</v>
      </c>
      <c r="I19" s="116">
        <f>113000+109200*11</f>
        <v>1314200</v>
      </c>
      <c r="J19" s="116">
        <f t="shared" si="2"/>
        <v>2495450</v>
      </c>
      <c r="L19" s="123">
        <v>48366</v>
      </c>
      <c r="M19" s="116">
        <f>33333.33+35000*11</f>
        <v>418333.33</v>
      </c>
      <c r="N19" s="116">
        <f>69062.5+67395.83*10+67395.87</f>
        <v>810416.67</v>
      </c>
      <c r="O19" s="116">
        <f>54166.67*3+57500*8+57499.99</f>
        <v>680000</v>
      </c>
      <c r="P19" s="116">
        <f>160732.5*3+157482.5*9</f>
        <v>1899540</v>
      </c>
      <c r="Q19" s="116">
        <f t="shared" si="3"/>
        <v>3808290</v>
      </c>
      <c r="S19" s="116">
        <f t="shared" si="1"/>
        <v>9371542.0800000001</v>
      </c>
    </row>
    <row r="20" spans="2:19">
      <c r="B20" s="123">
        <v>48731</v>
      </c>
      <c r="C20" s="116">
        <f>97916.67+103750*11</f>
        <v>1239166.67</v>
      </c>
      <c r="D20" s="116">
        <f>157741.67+152111.46*10+152111.44</f>
        <v>1830967.7099999997</v>
      </c>
      <c r="E20" s="116">
        <f t="shared" si="0"/>
        <v>3070134.38</v>
      </c>
      <c r="G20" s="123">
        <v>48731</v>
      </c>
      <c r="H20" s="116">
        <f>98750+102500*11</f>
        <v>1226250</v>
      </c>
      <c r="I20" s="116">
        <f>109200+105250*11</f>
        <v>1266950</v>
      </c>
      <c r="J20" s="116">
        <f t="shared" si="2"/>
        <v>2493200</v>
      </c>
      <c r="L20" s="123">
        <v>48731</v>
      </c>
      <c r="M20" s="116">
        <f>35000+36666.67*11</f>
        <v>438333.37</v>
      </c>
      <c r="N20" s="116">
        <f>67395.83+65645.83*11</f>
        <v>789499.96</v>
      </c>
      <c r="O20" s="116">
        <f>57500*3+60833.33*8+60833.36</f>
        <v>720000</v>
      </c>
      <c r="P20" s="116">
        <f>157482.5*3+154032.5*9</f>
        <v>1858740</v>
      </c>
      <c r="Q20" s="116">
        <f t="shared" si="3"/>
        <v>3806573.33</v>
      </c>
      <c r="S20" s="116">
        <f t="shared" si="1"/>
        <v>9369907.7100000009</v>
      </c>
    </row>
    <row r="21" spans="2:19">
      <c r="B21" s="123">
        <v>49096</v>
      </c>
      <c r="C21" s="116">
        <f>103750+110000*11</f>
        <v>1313750</v>
      </c>
      <c r="D21" s="116">
        <f>152111.46+146145.83*10+146145.87</f>
        <v>1759715.63</v>
      </c>
      <c r="E21" s="116">
        <f t="shared" si="0"/>
        <v>3073465.63</v>
      </c>
      <c r="G21" s="123">
        <v>49096</v>
      </c>
      <c r="H21" s="116">
        <f>102500+106666.67*10+106666.63</f>
        <v>1275833.33</v>
      </c>
      <c r="I21" s="116">
        <f>105250+101150*11</f>
        <v>1217900</v>
      </c>
      <c r="J21" s="116">
        <f t="shared" si="2"/>
        <v>2493733.33</v>
      </c>
      <c r="L21" s="123">
        <v>49096</v>
      </c>
      <c r="M21" s="116">
        <f>36666.67+38750*11</f>
        <v>462916.67</v>
      </c>
      <c r="N21" s="116">
        <f>65645.83+63812.5*11</f>
        <v>767583.33</v>
      </c>
      <c r="O21" s="116">
        <f>60833.33*3+64583.33*8+64583.37</f>
        <v>763750</v>
      </c>
      <c r="P21" s="116">
        <f>154032.5*3+150382.5*9</f>
        <v>1815540</v>
      </c>
      <c r="Q21" s="116">
        <f t="shared" si="3"/>
        <v>3809790</v>
      </c>
      <c r="S21" s="116">
        <f t="shared" si="1"/>
        <v>9376988.9600000009</v>
      </c>
    </row>
    <row r="22" spans="2:19">
      <c r="B22" s="123">
        <v>49461</v>
      </c>
      <c r="C22" s="116">
        <f>110000+116250*11</f>
        <v>1388750</v>
      </c>
      <c r="D22" s="116">
        <f>146145.83+139820.83*10+139820.87</f>
        <v>1684175</v>
      </c>
      <c r="E22" s="116">
        <f t="shared" si="0"/>
        <v>3072925</v>
      </c>
      <c r="G22" s="123">
        <v>49461</v>
      </c>
      <c r="H22" s="116">
        <f>106666.67+110833.33*11</f>
        <v>1325833.3</v>
      </c>
      <c r="I22" s="116">
        <f>101150+96883.33*10+96883.4</f>
        <v>1166866.7</v>
      </c>
      <c r="J22" s="116">
        <f t="shared" si="2"/>
        <v>2492700</v>
      </c>
      <c r="L22" s="123">
        <v>49461</v>
      </c>
      <c r="M22" s="116">
        <f>38750+40416.67*11</f>
        <v>483333.37</v>
      </c>
      <c r="N22" s="116">
        <f>63812.46+61875*11</f>
        <v>744437.46</v>
      </c>
      <c r="O22" s="116">
        <f>64583.33*3+68750*8+68750.01</f>
        <v>812500</v>
      </c>
      <c r="P22" s="116">
        <f>150382.5*3+146507.5*9</f>
        <v>1769715</v>
      </c>
      <c r="Q22" s="116">
        <f t="shared" si="3"/>
        <v>3809985.83</v>
      </c>
      <c r="S22" s="116">
        <f t="shared" si="1"/>
        <v>9375610.8300000001</v>
      </c>
    </row>
    <row r="23" spans="2:19">
      <c r="B23" s="123">
        <v>49827</v>
      </c>
      <c r="C23" s="116">
        <f>116250+123333.33*11</f>
        <v>1472916.6300000001</v>
      </c>
      <c r="D23" s="116">
        <f>139820.83+133136.46*10+133136.48</f>
        <v>1604321.91</v>
      </c>
      <c r="E23" s="116">
        <f t="shared" si="0"/>
        <v>3077238.54</v>
      </c>
      <c r="G23" s="123">
        <v>49827</v>
      </c>
      <c r="H23" s="116">
        <f>110833.33+115416.67*11</f>
        <v>1380416.7</v>
      </c>
      <c r="I23" s="116">
        <f>96883.3+92450*11</f>
        <v>1113833.3</v>
      </c>
      <c r="J23" s="116">
        <f t="shared" si="2"/>
        <v>2494250</v>
      </c>
      <c r="L23" s="123">
        <v>49827</v>
      </c>
      <c r="M23" s="116">
        <f>40416.67+42500*11</f>
        <v>507916.67</v>
      </c>
      <c r="N23" s="116">
        <f>61875+59854.17*10+59854.13</f>
        <v>720270.83</v>
      </c>
      <c r="O23" s="116">
        <f>68750*3+72916.67*8+72916.64</f>
        <v>862500</v>
      </c>
      <c r="P23" s="116">
        <f>146507.5*3+142382.5*9</f>
        <v>1720965</v>
      </c>
      <c r="Q23" s="116">
        <f t="shared" si="3"/>
        <v>3811652.5</v>
      </c>
      <c r="S23" s="116">
        <f t="shared" si="1"/>
        <v>9383141.0399999991</v>
      </c>
    </row>
    <row r="24" spans="2:19">
      <c r="B24" s="123">
        <v>50192</v>
      </c>
      <c r="C24" s="116">
        <f>123333.33+130416.67*11</f>
        <v>1557916.7</v>
      </c>
      <c r="D24" s="116">
        <f>133136.46+126044.79*10+126044.77</f>
        <v>1519629.13</v>
      </c>
      <c r="E24" s="116">
        <f t="shared" si="0"/>
        <v>3077545.83</v>
      </c>
      <c r="G24" s="123">
        <v>50192</v>
      </c>
      <c r="H24" s="116">
        <f>115416.7+120000*11</f>
        <v>1435416.7</v>
      </c>
      <c r="I24" s="116">
        <f>92450+87833.33*11</f>
        <v>1058616.6299999999</v>
      </c>
      <c r="J24" s="116">
        <f t="shared" si="2"/>
        <v>2494033.33</v>
      </c>
      <c r="L24" s="123">
        <v>50192</v>
      </c>
      <c r="M24" s="116">
        <f>42500+44583.33*11</f>
        <v>532916.63</v>
      </c>
      <c r="N24" s="116">
        <f>59854.17+57729.17*11</f>
        <v>694875.04</v>
      </c>
      <c r="O24" s="116">
        <f>72916.67*3+77500*8+77499.99</f>
        <v>916250</v>
      </c>
      <c r="P24" s="116">
        <f>142382.5*3+138007.5*9</f>
        <v>1669215</v>
      </c>
      <c r="Q24" s="116">
        <f t="shared" si="3"/>
        <v>3813256.67</v>
      </c>
      <c r="S24" s="116">
        <f t="shared" si="1"/>
        <v>9384835.8300000001</v>
      </c>
    </row>
    <row r="25" spans="2:19">
      <c r="B25" s="123">
        <v>50557</v>
      </c>
      <c r="C25" s="116">
        <f>130416.67+138333.33*11</f>
        <v>1652083.2999999998</v>
      </c>
      <c r="D25" s="116">
        <f>126044.79+118545.83*10+118545.9</f>
        <v>1430048.99</v>
      </c>
      <c r="E25" s="116">
        <f t="shared" si="0"/>
        <v>3082132.29</v>
      </c>
      <c r="G25" s="123">
        <v>50557</v>
      </c>
      <c r="H25" s="116">
        <f>120000+125000*11</f>
        <v>1495000</v>
      </c>
      <c r="I25" s="116">
        <f>87833.37+83033.33*11</f>
        <v>1001200</v>
      </c>
      <c r="J25" s="116">
        <f t="shared" si="2"/>
        <v>2496200</v>
      </c>
      <c r="L25" s="123">
        <v>50557</v>
      </c>
      <c r="M25" s="116">
        <f>44583.37+47083.33*11</f>
        <v>562500</v>
      </c>
      <c r="N25" s="116">
        <f>57729.17+55500*11</f>
        <v>668229.17000000004</v>
      </c>
      <c r="O25" s="116">
        <f>77500*3+82083.33*8+82083.36</f>
        <v>971250</v>
      </c>
      <c r="P25" s="116">
        <f>138007.5*3+133357.5*9</f>
        <v>1614240</v>
      </c>
      <c r="Q25" s="116">
        <f t="shared" si="3"/>
        <v>3816219.17</v>
      </c>
      <c r="S25" s="116">
        <f t="shared" si="1"/>
        <v>9394551.4600000009</v>
      </c>
    </row>
    <row r="26" spans="2:19">
      <c r="B26" s="123">
        <v>50922</v>
      </c>
      <c r="C26" s="116">
        <f>138333.33+146666.67*11</f>
        <v>1751666.7000000002</v>
      </c>
      <c r="D26" s="116">
        <f>118545.83+110591.67*10+110591.6</f>
        <v>1335054.1300000001</v>
      </c>
      <c r="E26" s="116">
        <f t="shared" si="0"/>
        <v>3086720.83</v>
      </c>
      <c r="G26" s="123">
        <v>50922</v>
      </c>
      <c r="H26" s="116">
        <f>125000+130000*11</f>
        <v>1555000</v>
      </c>
      <c r="I26" s="116">
        <f>83033.37+78033.33*11</f>
        <v>941400</v>
      </c>
      <c r="J26" s="116">
        <f t="shared" si="2"/>
        <v>2496400</v>
      </c>
      <c r="L26" s="123">
        <v>50922</v>
      </c>
      <c r="M26" s="116">
        <f>47083.33+49166.67*11</f>
        <v>587916.69999999995</v>
      </c>
      <c r="N26" s="116">
        <f>55500+53145.83*11</f>
        <v>640104.13</v>
      </c>
      <c r="O26" s="116">
        <f>82083.33*3+87500*8+87500.01</f>
        <v>1033750</v>
      </c>
      <c r="P26" s="116">
        <f>133357.5*3+128432.5*9</f>
        <v>1555965</v>
      </c>
      <c r="Q26" s="116">
        <f t="shared" si="3"/>
        <v>3817735.83</v>
      </c>
      <c r="S26" s="116">
        <f t="shared" si="1"/>
        <v>9400856.6600000001</v>
      </c>
    </row>
    <row r="27" spans="2:19">
      <c r="B27" s="123">
        <v>51288</v>
      </c>
      <c r="C27" s="116">
        <f>146666.67+155000*11</f>
        <v>1851666.67</v>
      </c>
      <c r="D27" s="116">
        <f>110591.67+102158.33*10+102158.36</f>
        <v>1234333.33</v>
      </c>
      <c r="E27" s="116">
        <f t="shared" si="0"/>
        <v>3086000</v>
      </c>
      <c r="G27" s="123">
        <v>51288</v>
      </c>
      <c r="H27" s="116">
        <f>130000+135000*11</f>
        <v>1615000</v>
      </c>
      <c r="I27" s="116">
        <f>78033.37+72833.33*11</f>
        <v>879200</v>
      </c>
      <c r="J27" s="116">
        <f t="shared" si="2"/>
        <v>2494200</v>
      </c>
      <c r="L27" s="123">
        <v>51288</v>
      </c>
      <c r="M27" s="116">
        <f>49166.63+51666.67*11</f>
        <v>617500</v>
      </c>
      <c r="N27" s="116">
        <f>53145.83+50687.5*11</f>
        <v>610708.32999999996</v>
      </c>
      <c r="O27" s="116">
        <f>87500*3+92916.67*8+92916.64</f>
        <v>1098750</v>
      </c>
      <c r="P27" s="116">
        <f>128432.5*3+123051.25*9</f>
        <v>1492758.75</v>
      </c>
      <c r="Q27" s="116">
        <f t="shared" si="3"/>
        <v>3819717.08</v>
      </c>
      <c r="S27" s="116">
        <f t="shared" si="1"/>
        <v>9399917.0800000001</v>
      </c>
    </row>
    <row r="28" spans="2:19">
      <c r="B28" s="123">
        <v>51653</v>
      </c>
      <c r="C28" s="116">
        <f>155000+164166.67*11</f>
        <v>1960833.37</v>
      </c>
      <c r="D28" s="116">
        <f>102158.33+93245.83*11</f>
        <v>1127862.46</v>
      </c>
      <c r="E28" s="116">
        <f t="shared" si="0"/>
        <v>3088695.83</v>
      </c>
      <c r="G28" s="123">
        <v>51653</v>
      </c>
      <c r="H28" s="116">
        <f>135000+140416.67*11</f>
        <v>1679583.37</v>
      </c>
      <c r="I28" s="116">
        <f>72833.33+67433.33*11</f>
        <v>814599.96</v>
      </c>
      <c r="J28" s="116">
        <f t="shared" si="2"/>
        <v>2494183.33</v>
      </c>
      <c r="L28" s="123">
        <v>51653</v>
      </c>
      <c r="M28" s="116">
        <f>51666.63+54166.67*11</f>
        <v>647500</v>
      </c>
      <c r="N28" s="116">
        <f>50687.46+48104.17*11</f>
        <v>579833.32999999996</v>
      </c>
      <c r="O28" s="116">
        <f>92916.67*3+98750*8+98749.99</f>
        <v>1167500</v>
      </c>
      <c r="P28" s="116">
        <f>123051.25*3+117336.88*8+117336.84</f>
        <v>1425185.6300000001</v>
      </c>
      <c r="Q28" s="116">
        <f t="shared" si="3"/>
        <v>3820018.96</v>
      </c>
      <c r="S28" s="116">
        <f t="shared" si="1"/>
        <v>9402898.120000001</v>
      </c>
    </row>
    <row r="29" spans="2:19">
      <c r="B29" s="123">
        <v>52018</v>
      </c>
      <c r="C29" s="116">
        <f>164166.67+174166.67*11</f>
        <v>2080000.04</v>
      </c>
      <c r="D29" s="116">
        <f>93245.83+83806.25*10+83806.21</f>
        <v>1015114.5399999999</v>
      </c>
      <c r="E29" s="116">
        <f t="shared" si="0"/>
        <v>3095114.58</v>
      </c>
      <c r="G29" s="123">
        <v>52018</v>
      </c>
      <c r="H29" s="116">
        <f>140416.63+146250*11</f>
        <v>1749166.63</v>
      </c>
      <c r="I29" s="116">
        <f>67433.33+61816.67*11</f>
        <v>747416.7</v>
      </c>
      <c r="J29" s="116">
        <f t="shared" si="2"/>
        <v>2496583.33</v>
      </c>
      <c r="L29" s="123">
        <v>52018</v>
      </c>
      <c r="M29" s="116">
        <f>54166.67+57083.33*11</f>
        <v>682083.3</v>
      </c>
      <c r="N29" s="116">
        <f>48104.17+45395.83*10+45395.9</f>
        <v>547458.37</v>
      </c>
      <c r="O29" s="116">
        <f>98750*3+105000*9</f>
        <v>1241250</v>
      </c>
      <c r="P29" s="116">
        <f>117336.88*3+111263.75*8+111263.74</f>
        <v>1353384.3800000001</v>
      </c>
      <c r="Q29" s="116">
        <f t="shared" si="3"/>
        <v>3824176.05</v>
      </c>
      <c r="S29" s="116">
        <f t="shared" si="1"/>
        <v>9415873.9600000009</v>
      </c>
    </row>
    <row r="30" spans="2:19">
      <c r="B30" s="123">
        <v>52383</v>
      </c>
      <c r="C30" s="116">
        <f>174166.67+184166.67*11</f>
        <v>2200000.04</v>
      </c>
      <c r="D30" s="116">
        <f>83806.25+73791.67*10+73791.59</f>
        <v>895514.53999999992</v>
      </c>
      <c r="E30" s="116">
        <f t="shared" si="0"/>
        <v>3095514.58</v>
      </c>
      <c r="G30" s="123">
        <v>52383</v>
      </c>
      <c r="H30" s="116">
        <f>146250+152083.33*11</f>
        <v>1819166.63</v>
      </c>
      <c r="I30" s="116">
        <f>61816.67+55966.67*11</f>
        <v>677450.04</v>
      </c>
      <c r="J30" s="116">
        <f t="shared" si="2"/>
        <v>2496616.67</v>
      </c>
      <c r="L30" s="123">
        <v>52383</v>
      </c>
      <c r="M30" s="116">
        <f>57083.3+60000*11</f>
        <v>717083.3</v>
      </c>
      <c r="N30" s="116">
        <f>45395.83+42541.67*11</f>
        <v>513354.2</v>
      </c>
      <c r="O30" s="116">
        <f>105000*3+111666.67*8+111666.64</f>
        <v>1319999.9999999998</v>
      </c>
      <c r="P30" s="116">
        <f>111263.75*3+104806.25*9</f>
        <v>1277047.5</v>
      </c>
      <c r="Q30" s="116">
        <f t="shared" si="3"/>
        <v>3827485</v>
      </c>
      <c r="S30" s="116">
        <f t="shared" si="1"/>
        <v>9419616.25</v>
      </c>
    </row>
    <row r="31" spans="2:19">
      <c r="B31" s="123">
        <v>52749</v>
      </c>
      <c r="C31" s="116">
        <f>184166.67+195416.67*11</f>
        <v>2333750.04</v>
      </c>
      <c r="D31" s="116">
        <f>73791.67+63202.08*10+63202.07</f>
        <v>769014.54</v>
      </c>
      <c r="E31" s="116">
        <f t="shared" si="0"/>
        <v>3102764.58</v>
      </c>
      <c r="G31" s="123">
        <v>52749</v>
      </c>
      <c r="H31" s="116">
        <f>152083.33+157916.67*11</f>
        <v>1889166.7000000002</v>
      </c>
      <c r="I31" s="116">
        <f>55966.67+49883.33*11</f>
        <v>604683.30000000005</v>
      </c>
      <c r="J31" s="116">
        <f t="shared" si="2"/>
        <v>2493850</v>
      </c>
      <c r="L31" s="123">
        <v>52749</v>
      </c>
      <c r="M31" s="116">
        <f>60000+62916.67*10+62916.63</f>
        <v>752083.33</v>
      </c>
      <c r="N31" s="116">
        <f>42541.63+39541.67*11</f>
        <v>477500</v>
      </c>
      <c r="O31" s="116">
        <f>111666.67*3+118750*8+118749.99</f>
        <v>1403750</v>
      </c>
      <c r="P31" s="116">
        <f>104806.25*3+97938.75*9</f>
        <v>1195867.5</v>
      </c>
      <c r="Q31" s="116">
        <f t="shared" si="3"/>
        <v>3829200.83</v>
      </c>
      <c r="S31" s="116">
        <f t="shared" si="1"/>
        <v>9425815.4100000001</v>
      </c>
    </row>
    <row r="32" spans="2:19">
      <c r="B32" s="123">
        <v>53114</v>
      </c>
      <c r="C32" s="116">
        <f>195416.67+206666.67*11</f>
        <v>2468750.04</v>
      </c>
      <c r="D32" s="116">
        <f>63202.08+51965.63*10+51965.54</f>
        <v>634823.92000000004</v>
      </c>
      <c r="E32" s="116">
        <f t="shared" si="0"/>
        <v>3103573.96</v>
      </c>
      <c r="G32" s="123">
        <v>53114</v>
      </c>
      <c r="H32" s="116">
        <f>157916.6+164166.67*11</f>
        <v>1963749.9700000002</v>
      </c>
      <c r="I32" s="116">
        <f>49883.33+43566.67*11</f>
        <v>529116.69999999995</v>
      </c>
      <c r="J32" s="116">
        <f t="shared" si="2"/>
        <v>2492866.67</v>
      </c>
      <c r="L32" s="123">
        <v>53114</v>
      </c>
      <c r="M32" s="116">
        <f>62916.7+66250*11</f>
        <v>791666.7</v>
      </c>
      <c r="N32" s="116">
        <f>39541.67+36395.83*11</f>
        <v>439895.8</v>
      </c>
      <c r="O32" s="116">
        <f>118750*3+126250*9</f>
        <v>1492500</v>
      </c>
      <c r="P32" s="116">
        <f>97938.75*3+90635.63*8+90635.59</f>
        <v>1109536.8800000001</v>
      </c>
      <c r="Q32" s="116">
        <f t="shared" si="3"/>
        <v>3833599.38</v>
      </c>
      <c r="S32" s="116">
        <f t="shared" si="1"/>
        <v>9430040.0099999998</v>
      </c>
    </row>
    <row r="33" spans="2:20">
      <c r="B33" s="123">
        <v>53479</v>
      </c>
      <c r="C33" s="116">
        <f>206666.67+219166.67*11</f>
        <v>2617500.04</v>
      </c>
      <c r="D33" s="116">
        <f>51965.63+40082.29*10+40082.26</f>
        <v>492870.79000000004</v>
      </c>
      <c r="E33" s="116">
        <f t="shared" si="0"/>
        <v>3110370.83</v>
      </c>
      <c r="G33" s="123">
        <v>53479</v>
      </c>
      <c r="H33" s="116">
        <f>164166.67+170833.33*11</f>
        <v>2043333.2999999998</v>
      </c>
      <c r="I33" s="116">
        <f>43566.7+37000*11</f>
        <v>450566.7</v>
      </c>
      <c r="J33" s="116">
        <f t="shared" si="2"/>
        <v>2493900</v>
      </c>
      <c r="L33" s="123">
        <v>53479</v>
      </c>
      <c r="M33" s="116">
        <f>66250+69166.67*11</f>
        <v>827083.37</v>
      </c>
      <c r="N33" s="116">
        <f>36395.83+33083.33*11</f>
        <v>400312.46</v>
      </c>
      <c r="O33" s="116">
        <f>126250*3+134583.33*9</f>
        <v>1589999.97</v>
      </c>
      <c r="P33" s="116">
        <f>90635.63*3+82871.25*8+82871.27</f>
        <v>1017748.16</v>
      </c>
      <c r="Q33" s="116">
        <f t="shared" si="3"/>
        <v>3835143.96</v>
      </c>
      <c r="S33" s="116">
        <f t="shared" si="1"/>
        <v>9439414.7899999991</v>
      </c>
    </row>
    <row r="34" spans="2:20">
      <c r="B34" s="123">
        <v>53844</v>
      </c>
      <c r="C34" s="116">
        <f>219166.67+232083.33*11</f>
        <v>2772083.3</v>
      </c>
      <c r="D34" s="116">
        <f>40082.29+27480.21*10+27480.23</f>
        <v>342364.61999999994</v>
      </c>
      <c r="E34" s="116">
        <f t="shared" si="0"/>
        <v>3114447.92</v>
      </c>
      <c r="G34" s="123">
        <v>53844</v>
      </c>
      <c r="H34" s="116">
        <f>170833.3+177500*11</f>
        <v>2123333.2999999998</v>
      </c>
      <c r="I34" s="116">
        <f>37000+30166.67*11</f>
        <v>368833.37</v>
      </c>
      <c r="J34" s="116">
        <f t="shared" si="2"/>
        <v>2492166.67</v>
      </c>
      <c r="L34" s="123">
        <v>53844</v>
      </c>
      <c r="M34" s="116">
        <f>69166.63+72916.67*11</f>
        <v>871250</v>
      </c>
      <c r="N34" s="116">
        <f>33083.33+29625*11</f>
        <v>358958.33</v>
      </c>
      <c r="O34" s="116">
        <f>134583.33*3+142916.67*8+142916.65</f>
        <v>1690000</v>
      </c>
      <c r="P34" s="116">
        <f>82871.25*3+74594.38*8+74594.34</f>
        <v>919963.13</v>
      </c>
      <c r="Q34" s="116">
        <f t="shared" si="3"/>
        <v>3840171.46</v>
      </c>
      <c r="S34" s="116">
        <f t="shared" si="1"/>
        <v>9446786.0500000007</v>
      </c>
    </row>
    <row r="35" spans="2:20">
      <c r="B35" s="123">
        <v>54210</v>
      </c>
      <c r="C35" s="116">
        <f>232083.33+245833.33*11</f>
        <v>2936249.96</v>
      </c>
      <c r="D35" s="116">
        <f>27480.21+14135.42*11</f>
        <v>182969.83</v>
      </c>
      <c r="E35" s="116">
        <f t="shared" si="0"/>
        <v>3119219.79</v>
      </c>
      <c r="G35" s="123">
        <v>54210</v>
      </c>
      <c r="H35" s="116">
        <f>177500+184583.33*11</f>
        <v>2207916.63</v>
      </c>
      <c r="I35" s="116">
        <f>30166.67+23066.67*11</f>
        <v>283900.03999999998</v>
      </c>
      <c r="J35" s="116">
        <f t="shared" si="2"/>
        <v>2491816.67</v>
      </c>
      <c r="L35" s="123">
        <v>54210</v>
      </c>
      <c r="M35" s="116">
        <f>72916.67+76250*11</f>
        <v>911666.67</v>
      </c>
      <c r="N35" s="116">
        <f>29625+25979.17*10+25979.13</f>
        <v>315395.82999999996</v>
      </c>
      <c r="O35" s="116">
        <f>142916.67*3+152083.33*9</f>
        <v>1797499.98</v>
      </c>
      <c r="P35" s="116">
        <f>74594.38*3+65805*8+65805.01</f>
        <v>816028.15</v>
      </c>
      <c r="Q35" s="116">
        <f t="shared" si="3"/>
        <v>3840590.63</v>
      </c>
      <c r="S35" s="116">
        <f t="shared" si="1"/>
        <v>9451627.0899999999</v>
      </c>
    </row>
    <row r="36" spans="2:20">
      <c r="B36" s="123">
        <v>54575</v>
      </c>
      <c r="C36" s="116">
        <f>245833.33</f>
        <v>245833.33</v>
      </c>
      <c r="D36" s="116">
        <v>14135.42</v>
      </c>
      <c r="E36" s="116">
        <f t="shared" si="0"/>
        <v>259968.75</v>
      </c>
      <c r="G36" s="123">
        <v>54575</v>
      </c>
      <c r="H36" s="116">
        <f>184583.4+192083.33*11</f>
        <v>2297500.0299999998</v>
      </c>
      <c r="I36" s="116">
        <f>23066.67+15683.33*11</f>
        <v>195583.3</v>
      </c>
      <c r="J36" s="116">
        <f t="shared" si="2"/>
        <v>2493083.3299999996</v>
      </c>
      <c r="L36" s="123">
        <v>54575</v>
      </c>
      <c r="M36" s="116">
        <f>76250+80416.67*10+80416.63</f>
        <v>960833.33</v>
      </c>
      <c r="N36" s="116">
        <f>25979.13+22166.67*11</f>
        <v>269812.5</v>
      </c>
      <c r="O36" s="116">
        <f>152083.33*3+161666.67*8+161666.65</f>
        <v>1911250</v>
      </c>
      <c r="P36" s="116">
        <f>65805*3+56451.88*8+56451.84</f>
        <v>705481.88</v>
      </c>
      <c r="Q36" s="116">
        <f t="shared" si="3"/>
        <v>3847377.71</v>
      </c>
      <c r="S36" s="116">
        <f t="shared" si="1"/>
        <v>6600429.7899999991</v>
      </c>
    </row>
    <row r="37" spans="2:20">
      <c r="B37" s="123"/>
      <c r="C37" s="116"/>
      <c r="D37" s="116"/>
      <c r="E37" s="116"/>
      <c r="G37" s="123">
        <v>54940</v>
      </c>
      <c r="H37" s="116">
        <f>192083.33+200000*11</f>
        <v>2392083.33</v>
      </c>
      <c r="I37" s="116">
        <f>15683.34+8000*11</f>
        <v>103683.34</v>
      </c>
      <c r="J37" s="116">
        <f t="shared" si="2"/>
        <v>2495766.67</v>
      </c>
      <c r="L37" s="123">
        <v>54940</v>
      </c>
      <c r="M37" s="116">
        <f>80416.66+84166.67*11</f>
        <v>1006250.03</v>
      </c>
      <c r="N37" s="116">
        <f>22166.67+18145.83*11</f>
        <v>221770.8</v>
      </c>
      <c r="O37" s="116">
        <f>161666.67*3+172083.33*8+172083.35</f>
        <v>2033750</v>
      </c>
      <c r="P37" s="116">
        <f>56451.88*3+46509.38*8+46509.32</f>
        <v>587939.99999999988</v>
      </c>
      <c r="Q37" s="116">
        <f t="shared" si="3"/>
        <v>3849710.83</v>
      </c>
      <c r="S37" s="116">
        <f t="shared" si="1"/>
        <v>6345477.5</v>
      </c>
    </row>
    <row r="38" spans="2:20">
      <c r="B38" s="123"/>
      <c r="C38" s="116"/>
      <c r="D38" s="116"/>
      <c r="E38" s="116"/>
      <c r="G38" s="123">
        <v>55305</v>
      </c>
      <c r="H38" s="116">
        <v>200000</v>
      </c>
      <c r="I38" s="116">
        <v>8000</v>
      </c>
      <c r="J38" s="116">
        <f t="shared" si="2"/>
        <v>208000</v>
      </c>
      <c r="L38" s="123">
        <v>55305</v>
      </c>
      <c r="M38" s="116">
        <f>84166.67+88333.33*11</f>
        <v>1055833.3</v>
      </c>
      <c r="N38" s="116">
        <f>18145.87+13937.5*11</f>
        <v>171458.37</v>
      </c>
      <c r="O38" s="116">
        <f>172083.33*3+182916.67*8+182916.65</f>
        <v>2162500</v>
      </c>
      <c r="P38" s="116">
        <f>46509.38*3+35926.25*8+35926.24</f>
        <v>462864.38</v>
      </c>
      <c r="Q38" s="116">
        <f t="shared" si="3"/>
        <v>3852656.05</v>
      </c>
      <c r="S38" s="116">
        <f t="shared" si="1"/>
        <v>4060656.05</v>
      </c>
    </row>
    <row r="39" spans="2:20">
      <c r="B39" s="123"/>
      <c r="C39" s="116"/>
      <c r="D39" s="116"/>
      <c r="E39" s="116"/>
      <c r="G39" s="123"/>
      <c r="H39" s="116"/>
      <c r="I39" s="116"/>
      <c r="J39" s="116"/>
      <c r="L39" s="123">
        <v>55671</v>
      </c>
      <c r="M39" s="116">
        <f>88333.33+92916.67*11</f>
        <v>1110416.7</v>
      </c>
      <c r="N39" s="116">
        <f>13937.5+9520.83*11</f>
        <v>118666.63</v>
      </c>
      <c r="O39" s="116">
        <f>182916.67*3+194583.33*8+194583.31</f>
        <v>2299999.96</v>
      </c>
      <c r="P39" s="116">
        <f>35926.25*3+24676.88*9</f>
        <v>329870.67000000004</v>
      </c>
      <c r="Q39" s="116">
        <f t="shared" si="3"/>
        <v>3858953.96</v>
      </c>
      <c r="S39" s="116">
        <f t="shared" si="1"/>
        <v>3858953.96</v>
      </c>
    </row>
    <row r="40" spans="2:20">
      <c r="B40" s="123"/>
      <c r="C40" s="116"/>
      <c r="D40" s="116"/>
      <c r="E40" s="116"/>
      <c r="H40" s="116"/>
      <c r="I40" s="116"/>
      <c r="J40" s="116"/>
      <c r="L40" s="123">
        <v>56036</v>
      </c>
      <c r="M40" s="116">
        <f>92916.67+97500*11</f>
        <v>1165416.67</v>
      </c>
      <c r="N40" s="116">
        <f>9520.83+4875*11</f>
        <v>63145.83</v>
      </c>
      <c r="O40" s="116">
        <f>194583.33*3+206666.67*8+206666.65</f>
        <v>2443750</v>
      </c>
      <c r="P40" s="116">
        <f>24676.88*3+12710*8+12709.99</f>
        <v>188420.63</v>
      </c>
      <c r="Q40" s="116">
        <f t="shared" si="3"/>
        <v>3860733.13</v>
      </c>
      <c r="S40" s="116">
        <f t="shared" si="1"/>
        <v>3860733.13</v>
      </c>
    </row>
    <row r="41" spans="2:20">
      <c r="B41" s="123"/>
      <c r="C41" s="116"/>
      <c r="D41" s="116"/>
      <c r="E41" s="116"/>
      <c r="J41" s="116"/>
      <c r="L41" s="123">
        <v>56401</v>
      </c>
      <c r="M41" s="116">
        <f>97500</f>
        <v>97500</v>
      </c>
      <c r="N41" s="116">
        <f>4875</f>
        <v>4875</v>
      </c>
      <c r="O41" s="116">
        <f>206666.67*2+206666.66</f>
        <v>620000</v>
      </c>
      <c r="P41" s="116">
        <f>12710*3</f>
        <v>38130</v>
      </c>
      <c r="Q41" s="116">
        <f t="shared" si="3"/>
        <v>760505</v>
      </c>
      <c r="S41" s="116">
        <f t="shared" si="1"/>
        <v>760505</v>
      </c>
    </row>
    <row r="42" spans="2:20">
      <c r="B42" s="123"/>
      <c r="C42" s="116"/>
      <c r="D42" s="116"/>
      <c r="E42" s="116"/>
      <c r="J42" s="116"/>
      <c r="Q42" s="116"/>
    </row>
    <row r="43" spans="2:20">
      <c r="B43" s="123"/>
      <c r="C43" s="123"/>
      <c r="D43" s="123"/>
      <c r="J43" s="116"/>
      <c r="Q43" s="116"/>
    </row>
    <row r="44" spans="2:20" ht="15">
      <c r="B44" s="122" t="s">
        <v>211</v>
      </c>
      <c r="C44" s="121">
        <f>SUM(C5:C42)</f>
        <v>42300000.239999995</v>
      </c>
      <c r="D44" s="121">
        <f>SUM(D5:D42)</f>
        <v>47473022.729999997</v>
      </c>
      <c r="E44" s="121">
        <f>SUM(E5:E42)</f>
        <v>89773022.969999984</v>
      </c>
      <c r="G44" s="122" t="s">
        <v>211</v>
      </c>
      <c r="H44" s="121">
        <f>SUM(H5:H41)</f>
        <v>42365000</v>
      </c>
      <c r="I44" s="121">
        <f>SUM(I5:I41)</f>
        <v>31797319.329999998</v>
      </c>
      <c r="J44" s="121">
        <f>SUM(J5:J41)</f>
        <v>74162319.329999998</v>
      </c>
      <c r="L44" s="122" t="s">
        <v>211</v>
      </c>
      <c r="M44" s="121">
        <f>SUM(M6:M42)</f>
        <v>19084999.990000002</v>
      </c>
      <c r="N44" s="121">
        <f>SUM(N6:N42)</f>
        <v>19051339.099999994</v>
      </c>
      <c r="O44" s="121">
        <f>SUM(O6:O42)</f>
        <v>34249999.989999995</v>
      </c>
      <c r="P44" s="121">
        <f>SUM(P6:P42)</f>
        <v>48650802.690000013</v>
      </c>
      <c r="Q44" s="121">
        <f>SUM(Q6:Q42)</f>
        <v>121037141.76999994</v>
      </c>
    </row>
    <row r="45" spans="2:20">
      <c r="B45" s="117"/>
      <c r="C45" s="117"/>
      <c r="D45" s="117"/>
      <c r="J45" s="116"/>
    </row>
    <row r="46" spans="2:20" ht="19.5">
      <c r="B46" s="117"/>
      <c r="C46" s="117"/>
      <c r="D46" s="120" t="s">
        <v>210</v>
      </c>
      <c r="E46" s="119">
        <f>MAX(E5:E42)</f>
        <v>3119219.79</v>
      </c>
      <c r="I46" s="120" t="s">
        <v>210</v>
      </c>
      <c r="J46" s="119">
        <f>MAX(J5:J42)</f>
        <v>2496616.67</v>
      </c>
      <c r="P46" s="120" t="s">
        <v>210</v>
      </c>
      <c r="Q46" s="119">
        <f>MAX(Q5:Q42)</f>
        <v>3907404.0599999996</v>
      </c>
      <c r="S46" s="119">
        <f>MAX(S6:S41)</f>
        <v>9455870.7199999988</v>
      </c>
      <c r="T46" s="118" t="s">
        <v>209</v>
      </c>
    </row>
    <row r="47" spans="2:20">
      <c r="B47" s="117"/>
      <c r="C47" s="117"/>
      <c r="D47" s="117"/>
      <c r="J47" s="116"/>
    </row>
    <row r="48" spans="2:20">
      <c r="C48" s="112">
        <f>E48/E51</f>
        <v>0.32813905186515402</v>
      </c>
      <c r="D48" t="s">
        <v>196</v>
      </c>
      <c r="E48" s="115">
        <v>12423092.25</v>
      </c>
      <c r="H48" s="112">
        <v>1</v>
      </c>
      <c r="I48" t="s">
        <v>200</v>
      </c>
      <c r="J48" s="115">
        <v>35849937</v>
      </c>
      <c r="O48" s="112">
        <v>1</v>
      </c>
      <c r="P48" t="s">
        <v>208</v>
      </c>
      <c r="Q48" s="115"/>
    </row>
    <row r="49" spans="1:17" ht="15">
      <c r="C49" s="112">
        <f>E49/E51</f>
        <v>0.31407726581503759</v>
      </c>
      <c r="D49" t="s">
        <v>198</v>
      </c>
      <c r="E49" s="115">
        <v>11890723.84</v>
      </c>
      <c r="J49" s="114">
        <f>SUM(J47:J48)</f>
        <v>35849937</v>
      </c>
      <c r="Q49" s="114"/>
    </row>
    <row r="50" spans="1:17" ht="15">
      <c r="C50" s="112">
        <f>E50/E51</f>
        <v>0.35778368231980845</v>
      </c>
      <c r="D50" t="s">
        <v>199</v>
      </c>
      <c r="E50" s="115">
        <v>13545415.17</v>
      </c>
      <c r="J50" s="114"/>
    </row>
    <row r="51" spans="1:17" ht="15">
      <c r="C51"/>
      <c r="D51"/>
      <c r="E51" s="113">
        <f>SUM(E48:E50)</f>
        <v>37859231.259999998</v>
      </c>
      <c r="O51" s="112"/>
      <c r="P51"/>
    </row>
    <row r="52" spans="1:17">
      <c r="B52" s="109"/>
      <c r="C52" s="109"/>
      <c r="D52" s="109"/>
      <c r="E52" s="108"/>
      <c r="F52" s="109"/>
      <c r="G52" s="109"/>
      <c r="H52" s="109"/>
      <c r="I52" s="109"/>
      <c r="J52" s="108"/>
    </row>
    <row r="53" spans="1:17">
      <c r="B53" s="109"/>
      <c r="C53" s="112">
        <f>E53/E56</f>
        <v>0.28531073446327682</v>
      </c>
      <c r="D53" t="s">
        <v>196</v>
      </c>
      <c r="E53" s="94">
        <f>'25-26'!I17</f>
        <v>909</v>
      </c>
      <c r="F53" s="109"/>
      <c r="G53" s="109"/>
      <c r="H53" s="109"/>
      <c r="I53" s="109"/>
      <c r="J53" s="108"/>
    </row>
    <row r="54" spans="1:17">
      <c r="C54" s="112">
        <f>E54/E56</f>
        <v>0.3239171374764595</v>
      </c>
      <c r="D54" t="s">
        <v>198</v>
      </c>
      <c r="E54" s="94">
        <f>'25-26'!R17</f>
        <v>1032</v>
      </c>
    </row>
    <row r="55" spans="1:17">
      <c r="A55" s="111"/>
      <c r="C55" s="112">
        <f>E55/E56</f>
        <v>0.39077212806026368</v>
      </c>
      <c r="D55" t="s">
        <v>199</v>
      </c>
      <c r="E55" s="94">
        <f>'25-26'!AA17</f>
        <v>1245</v>
      </c>
    </row>
    <row r="56" spans="1:17" ht="15">
      <c r="A56" s="111"/>
      <c r="C56"/>
      <c r="D56"/>
      <c r="E56" s="136">
        <f>SUM(E53:E55)</f>
        <v>3186</v>
      </c>
    </row>
    <row r="57" spans="1:17" ht="15">
      <c r="E57" s="110"/>
    </row>
    <row r="58" spans="1:17">
      <c r="B58" s="123">
        <v>46174</v>
      </c>
      <c r="C58" s="116">
        <f>67083.33+70833.33*11</f>
        <v>846249.96</v>
      </c>
      <c r="D58" s="116">
        <f>187335.42+183981.25*10+183981.29</f>
        <v>2211129.21</v>
      </c>
      <c r="E58" s="116">
        <f>C58+D58</f>
        <v>3057379.17</v>
      </c>
      <c r="F58" s="107" t="b">
        <f>E58=E66</f>
        <v>1</v>
      </c>
    </row>
    <row r="59" spans="1:17">
      <c r="B59" s="123">
        <v>46539</v>
      </c>
      <c r="C59" s="116">
        <f>70833.33+74166.67*11</f>
        <v>886666.7</v>
      </c>
      <c r="D59" s="116">
        <f>183981.25+180439.58*11</f>
        <v>2168816.63</v>
      </c>
      <c r="E59" s="116">
        <f>C59+D59</f>
        <v>3055483.33</v>
      </c>
      <c r="F59" s="107" t="b">
        <f>E59=E70</f>
        <v>1</v>
      </c>
    </row>
    <row r="60" spans="1:17">
      <c r="B60" s="123">
        <v>46905</v>
      </c>
      <c r="C60" s="116">
        <f>74166.67+77916.67*11</f>
        <v>931250.04</v>
      </c>
      <c r="D60" s="116">
        <f>180439.58+176731.25*10+176731.21</f>
        <v>2124483.29</v>
      </c>
      <c r="E60" s="116">
        <f>C60+D60</f>
        <v>3055733.33</v>
      </c>
      <c r="F60" s="107" t="b">
        <f>E60=E74</f>
        <v>1</v>
      </c>
    </row>
    <row r="61" spans="1:17">
      <c r="B61" s="123">
        <v>47270</v>
      </c>
      <c r="C61" s="116">
        <f>77916.67+82500*11</f>
        <v>985416.67</v>
      </c>
      <c r="D61" s="116">
        <f>176731.25+172835.42*10+172835.38</f>
        <v>2077920.83</v>
      </c>
      <c r="E61" s="116">
        <f>C61+D61</f>
        <v>3063337.5</v>
      </c>
      <c r="F61" s="107" t="b">
        <f>E61=E78</f>
        <v>1</v>
      </c>
    </row>
    <row r="64" spans="1:17">
      <c r="A64" t="s">
        <v>196</v>
      </c>
      <c r="B64" s="123">
        <v>46174</v>
      </c>
      <c r="C64" s="116">
        <f>C58*C53</f>
        <v>241444.19762711861</v>
      </c>
      <c r="D64" s="116">
        <f>D58*C53</f>
        <v>630858.89889830502</v>
      </c>
    </row>
    <row r="65" spans="1:5">
      <c r="A65" t="s">
        <v>198</v>
      </c>
      <c r="C65" s="116">
        <f>C58*C54</f>
        <v>274114.86463276832</v>
      </c>
      <c r="D65" s="116">
        <f>D58*C54</f>
        <v>716222.64429378533</v>
      </c>
    </row>
    <row r="66" spans="1:5">
      <c r="A66" t="s">
        <v>199</v>
      </c>
      <c r="C66" s="116">
        <f>C58*C55</f>
        <v>330690.89774011303</v>
      </c>
      <c r="D66" s="116">
        <f>D58*C55</f>
        <v>864047.66680790961</v>
      </c>
      <c r="E66" s="116">
        <f>SUM(C64:D66)</f>
        <v>3057379.17</v>
      </c>
    </row>
    <row r="68" spans="1:5">
      <c r="A68" t="s">
        <v>196</v>
      </c>
      <c r="B68" s="123">
        <v>46539</v>
      </c>
      <c r="C68" s="116">
        <f>C59*C53</f>
        <v>252975.52740112992</v>
      </c>
      <c r="D68" s="116">
        <f>D59*C53</f>
        <v>618786.6656214688</v>
      </c>
    </row>
    <row r="69" spans="1:5">
      <c r="A69" t="s">
        <v>198</v>
      </c>
      <c r="C69" s="116">
        <f>C59*C54</f>
        <v>287206.53935969865</v>
      </c>
      <c r="D69" s="116">
        <f>D59*C54</f>
        <v>702516.8745009416</v>
      </c>
    </row>
    <row r="70" spans="1:5">
      <c r="A70" t="s">
        <v>199</v>
      </c>
      <c r="C70" s="116">
        <f>C59*C55</f>
        <v>346484.63323917135</v>
      </c>
      <c r="D70" s="116">
        <f>D59*C55</f>
        <v>847513.08987758949</v>
      </c>
      <c r="E70" s="116">
        <f>SUM(C68:D70)</f>
        <v>3055483.33</v>
      </c>
    </row>
    <row r="72" spans="1:5">
      <c r="A72" t="s">
        <v>196</v>
      </c>
      <c r="B72" s="123">
        <v>46905</v>
      </c>
      <c r="C72" s="116">
        <f>C60*C53</f>
        <v>265695.63288135594</v>
      </c>
      <c r="D72" s="116">
        <f>D60*C53</f>
        <v>606137.88782485877</v>
      </c>
    </row>
    <row r="73" spans="1:5">
      <c r="A73" t="s">
        <v>198</v>
      </c>
      <c r="C73" s="116">
        <f>C60*C54</f>
        <v>301647.84723163844</v>
      </c>
      <c r="D73" s="116">
        <f>D60*C54</f>
        <v>688156.54591337102</v>
      </c>
    </row>
    <row r="74" spans="1:5">
      <c r="A74" t="s">
        <v>199</v>
      </c>
      <c r="C74" s="116">
        <f>C60*C55</f>
        <v>363906.55988700571</v>
      </c>
      <c r="D74" s="116">
        <f>D60*C55</f>
        <v>830188.85626177036</v>
      </c>
      <c r="E74" s="116">
        <f>SUM(C72:D74)</f>
        <v>3055733.33</v>
      </c>
    </row>
    <row r="76" spans="1:5">
      <c r="A76" t="s">
        <v>196</v>
      </c>
      <c r="B76" s="123">
        <v>47270</v>
      </c>
      <c r="C76" s="116">
        <f>C61*C53</f>
        <v>281149.95387005649</v>
      </c>
      <c r="D76" s="116">
        <f>D61*C53</f>
        <v>592853.11816384178</v>
      </c>
    </row>
    <row r="77" spans="1:5">
      <c r="A77" t="s">
        <v>198</v>
      </c>
      <c r="C77" s="116">
        <f>C61*C54</f>
        <v>319193.34696798492</v>
      </c>
      <c r="D77" s="116">
        <f>D61*C54</f>
        <v>673074.16715630889</v>
      </c>
    </row>
    <row r="78" spans="1:5">
      <c r="A78" t="s">
        <v>199</v>
      </c>
      <c r="C78" s="116">
        <f>C61*C55</f>
        <v>385073.36916195863</v>
      </c>
      <c r="D78" s="116">
        <f>D61*C55</f>
        <v>811993.54467984941</v>
      </c>
      <c r="E78" s="116">
        <f>SUM(C76:D78)</f>
        <v>3063337.5</v>
      </c>
    </row>
  </sheetData>
  <mergeCells count="8">
    <mergeCell ref="M3:N3"/>
    <mergeCell ref="O3:P3"/>
    <mergeCell ref="B1:E1"/>
    <mergeCell ref="G1:J1"/>
    <mergeCell ref="L1:Q1"/>
    <mergeCell ref="B2:E2"/>
    <mergeCell ref="G2:J2"/>
    <mergeCell ref="L2:Q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zoomScale="75" zoomScaleNormal="75" workbookViewId="0">
      <selection activeCell="F54" sqref="F54"/>
    </sheetView>
  </sheetViews>
  <sheetFormatPr defaultRowHeight="14.25"/>
  <cols>
    <col min="1" max="1" width="19.5" customWidth="1"/>
    <col min="2" max="2" width="16.25" customWidth="1"/>
    <col min="3" max="8" width="15.75" customWidth="1"/>
    <col min="9" max="9" width="2.75" customWidth="1"/>
    <col min="10" max="16" width="15.75" customWidth="1"/>
  </cols>
  <sheetData>
    <row r="1" spans="1:12" ht="18">
      <c r="A1" s="135" t="s">
        <v>253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3" spans="1:12">
      <c r="A3" t="s">
        <v>252</v>
      </c>
      <c r="B3" s="134">
        <v>43069</v>
      </c>
      <c r="C3" s="134">
        <v>43429</v>
      </c>
      <c r="D3" s="134">
        <v>43863</v>
      </c>
      <c r="E3" s="134">
        <v>43863</v>
      </c>
      <c r="F3" s="134">
        <v>43863</v>
      </c>
      <c r="G3" s="134">
        <v>44653</v>
      </c>
      <c r="H3" s="134">
        <v>44563</v>
      </c>
    </row>
    <row r="4" spans="1:12">
      <c r="A4" t="s">
        <v>251</v>
      </c>
      <c r="B4" s="134">
        <v>44499</v>
      </c>
      <c r="C4" s="134">
        <v>44859</v>
      </c>
      <c r="D4" s="134">
        <v>44928</v>
      </c>
      <c r="E4" s="134">
        <v>44928</v>
      </c>
      <c r="F4" s="134">
        <v>44928</v>
      </c>
      <c r="G4" s="134">
        <v>46083</v>
      </c>
      <c r="H4" s="134">
        <v>46358</v>
      </c>
      <c r="I4" s="134"/>
      <c r="J4" s="134"/>
      <c r="K4" s="134"/>
      <c r="L4" s="134"/>
    </row>
    <row r="5" spans="1:12">
      <c r="A5" t="s">
        <v>237</v>
      </c>
      <c r="B5" s="130" t="s">
        <v>250</v>
      </c>
      <c r="C5" s="130" t="s">
        <v>249</v>
      </c>
      <c r="D5" s="130" t="s">
        <v>248</v>
      </c>
      <c r="E5" s="130" t="s">
        <v>247</v>
      </c>
      <c r="F5" s="130" t="s">
        <v>246</v>
      </c>
      <c r="G5" s="130">
        <v>18</v>
      </c>
      <c r="H5" s="130">
        <v>20</v>
      </c>
    </row>
    <row r="6" spans="1:12">
      <c r="A6" t="s">
        <v>239</v>
      </c>
      <c r="B6" s="115">
        <v>578815.55000000005</v>
      </c>
      <c r="C6" s="115">
        <v>597557.13</v>
      </c>
      <c r="D6" s="115">
        <v>1257041.3</v>
      </c>
      <c r="E6" s="115">
        <v>944217.17</v>
      </c>
      <c r="F6" s="115">
        <v>341700.71</v>
      </c>
      <c r="G6" s="115">
        <v>706553.46</v>
      </c>
      <c r="H6" s="115">
        <v>422934.3</v>
      </c>
    </row>
    <row r="7" spans="1:12">
      <c r="A7" t="s">
        <v>238</v>
      </c>
      <c r="B7" s="115">
        <v>12628.25</v>
      </c>
      <c r="C7" s="115">
        <v>13146.81</v>
      </c>
      <c r="D7" s="115">
        <v>27238.799999999999</v>
      </c>
      <c r="E7" s="115">
        <v>20460.22</v>
      </c>
      <c r="F7" s="115">
        <v>7404.31</v>
      </c>
      <c r="G7" s="115">
        <v>15523.32</v>
      </c>
      <c r="H7" s="115">
        <v>9513.36</v>
      </c>
    </row>
    <row r="8" spans="1:12">
      <c r="A8" t="s">
        <v>245</v>
      </c>
      <c r="B8" s="133">
        <v>2.2769999999999999E-2</v>
      </c>
      <c r="C8" s="133">
        <v>2.6980000000000001E-2</v>
      </c>
      <c r="D8" s="133">
        <v>1.924E-2</v>
      </c>
      <c r="E8" s="133">
        <v>1.924E-2</v>
      </c>
      <c r="F8" s="133">
        <v>1.924E-2</v>
      </c>
      <c r="G8" s="133">
        <v>2.7390000000000001E-2</v>
      </c>
      <c r="H8" s="133">
        <v>2.7390000000000001E-2</v>
      </c>
    </row>
    <row r="10" spans="1:12" ht="15">
      <c r="J10" s="125" t="s">
        <v>236</v>
      </c>
      <c r="K10" s="125" t="s">
        <v>214</v>
      </c>
    </row>
    <row r="11" spans="1:12">
      <c r="A11" s="127">
        <v>2018</v>
      </c>
      <c r="B11" s="128">
        <f>B7*8</f>
        <v>101026</v>
      </c>
      <c r="C11" s="129"/>
      <c r="D11" s="129"/>
      <c r="E11" s="129"/>
      <c r="F11" s="129"/>
      <c r="G11" s="129"/>
      <c r="H11" s="129"/>
      <c r="J11" s="128">
        <f t="shared" ref="J11:J23" si="0">SUM(B11:I11)</f>
        <v>101026</v>
      </c>
      <c r="K11" s="127" t="s">
        <v>235</v>
      </c>
      <c r="L11" s="132" t="b">
        <f t="shared" ref="L11:L23" si="1">J11=(J31+J51+J71+J91+J111)</f>
        <v>1</v>
      </c>
    </row>
    <row r="12" spans="1:12">
      <c r="A12" s="127">
        <v>2019</v>
      </c>
      <c r="B12" s="128">
        <f>B7*12</f>
        <v>151539</v>
      </c>
      <c r="C12" s="128">
        <f>C7*8</f>
        <v>105174.48</v>
      </c>
      <c r="D12" s="129"/>
      <c r="E12" s="129"/>
      <c r="F12" s="129"/>
      <c r="G12" s="129"/>
      <c r="H12" s="129"/>
      <c r="J12" s="128">
        <f t="shared" si="0"/>
        <v>256713.47999999998</v>
      </c>
      <c r="K12" s="127" t="s">
        <v>234</v>
      </c>
      <c r="L12" s="132" t="b">
        <f t="shared" si="1"/>
        <v>1</v>
      </c>
    </row>
    <row r="13" spans="1:12">
      <c r="A13" s="127">
        <v>2020</v>
      </c>
      <c r="B13" s="128">
        <f>B7*12</f>
        <v>151539</v>
      </c>
      <c r="C13" s="128">
        <f>C7*12</f>
        <v>157761.72</v>
      </c>
      <c r="D13" s="128">
        <f>D7*5</f>
        <v>136194</v>
      </c>
      <c r="E13" s="128">
        <f>E7*5</f>
        <v>102301.1</v>
      </c>
      <c r="F13" s="128">
        <f>F7*5</f>
        <v>37021.550000000003</v>
      </c>
      <c r="G13" s="129"/>
      <c r="H13" s="129"/>
      <c r="J13" s="128">
        <f t="shared" si="0"/>
        <v>584817.37</v>
      </c>
      <c r="K13" s="127" t="s">
        <v>233</v>
      </c>
      <c r="L13" s="132" t="b">
        <f t="shared" si="1"/>
        <v>1</v>
      </c>
    </row>
    <row r="14" spans="1:12">
      <c r="A14" s="127">
        <v>2021</v>
      </c>
      <c r="B14" s="128">
        <f>B7*12</f>
        <v>151539</v>
      </c>
      <c r="C14" s="128">
        <f>C7*12</f>
        <v>157761.72</v>
      </c>
      <c r="D14" s="128">
        <f>D7*12</f>
        <v>326865.59999999998</v>
      </c>
      <c r="E14" s="128">
        <f>E7*12</f>
        <v>245522.64</v>
      </c>
      <c r="F14" s="128">
        <f>F7*12</f>
        <v>88851.72</v>
      </c>
      <c r="G14" s="129"/>
      <c r="H14" s="129"/>
      <c r="J14" s="128">
        <f t="shared" si="0"/>
        <v>970540.67999999993</v>
      </c>
      <c r="K14" s="127" t="s">
        <v>232</v>
      </c>
      <c r="L14" s="132" t="b">
        <f t="shared" si="1"/>
        <v>1</v>
      </c>
    </row>
    <row r="15" spans="1:12">
      <c r="A15" s="127">
        <v>2022</v>
      </c>
      <c r="B15" s="128">
        <f>(B7*4)+(B6*0.05)</f>
        <v>79453.777499999997</v>
      </c>
      <c r="C15" s="128">
        <f>C7*12</f>
        <v>157761.72</v>
      </c>
      <c r="D15" s="128">
        <f>D7*12</f>
        <v>326865.59999999998</v>
      </c>
      <c r="E15" s="128">
        <f>E7*12</f>
        <v>245522.64</v>
      </c>
      <c r="F15" s="128">
        <f>F7*12</f>
        <v>88851.72</v>
      </c>
      <c r="G15" s="128">
        <f>G7*3</f>
        <v>46569.96</v>
      </c>
      <c r="H15" s="129"/>
      <c r="J15" s="128">
        <f t="shared" si="0"/>
        <v>945025.41749999986</v>
      </c>
      <c r="K15" s="127" t="s">
        <v>231</v>
      </c>
      <c r="L15" s="132" t="b">
        <f t="shared" si="1"/>
        <v>1</v>
      </c>
    </row>
    <row r="16" spans="1:12">
      <c r="A16" s="127">
        <v>2023</v>
      </c>
      <c r="B16" s="129"/>
      <c r="C16" s="128">
        <f>(C7*4)+(C6*0.05)</f>
        <v>82465.0965</v>
      </c>
      <c r="D16" s="128">
        <f>D7*12</f>
        <v>326865.59999999998</v>
      </c>
      <c r="E16" s="128">
        <f>E7*12</f>
        <v>245522.64</v>
      </c>
      <c r="F16" s="128">
        <f>F7*12</f>
        <v>88851.72</v>
      </c>
      <c r="G16" s="128">
        <f>G7*12</f>
        <v>186279.84</v>
      </c>
      <c r="H16" s="128">
        <f>H7*6</f>
        <v>57080.160000000003</v>
      </c>
      <c r="J16" s="128">
        <f t="shared" si="0"/>
        <v>987065.05649999995</v>
      </c>
      <c r="K16" s="127" t="s">
        <v>230</v>
      </c>
      <c r="L16" s="132" t="b">
        <f t="shared" si="1"/>
        <v>0</v>
      </c>
    </row>
    <row r="17" spans="1:12">
      <c r="A17" s="127">
        <v>2024</v>
      </c>
      <c r="B17" s="129"/>
      <c r="C17" s="129"/>
      <c r="D17" s="128">
        <f>(D7*7)+(D6*0.05)</f>
        <v>253523.66500000001</v>
      </c>
      <c r="E17" s="128">
        <f>(E7*7)+(E6*0.05)</f>
        <v>190432.39850000001</v>
      </c>
      <c r="F17" s="128">
        <f>(F7*7)+(F6*0.05)</f>
        <v>68915.205500000011</v>
      </c>
      <c r="G17" s="128">
        <f>G7*12</f>
        <v>186279.84</v>
      </c>
      <c r="H17" s="128">
        <f>H7*12</f>
        <v>114160.32000000001</v>
      </c>
      <c r="J17" s="128">
        <f t="shared" si="0"/>
        <v>813311.429</v>
      </c>
      <c r="K17" s="127" t="s">
        <v>229</v>
      </c>
      <c r="L17" s="132" t="b">
        <f t="shared" si="1"/>
        <v>0</v>
      </c>
    </row>
    <row r="18" spans="1:12">
      <c r="A18" s="127">
        <v>2025</v>
      </c>
      <c r="B18" s="129"/>
      <c r="C18" s="129"/>
      <c r="D18" s="129"/>
      <c r="E18" s="129"/>
      <c r="F18" s="129"/>
      <c r="G18" s="128">
        <f>G7*12</f>
        <v>186279.84</v>
      </c>
      <c r="H18" s="128">
        <f>H7*12</f>
        <v>114160.32000000001</v>
      </c>
      <c r="J18" s="128">
        <f t="shared" si="0"/>
        <v>300440.16000000003</v>
      </c>
      <c r="K18" s="127" t="s">
        <v>228</v>
      </c>
      <c r="L18" s="132" t="b">
        <f t="shared" si="1"/>
        <v>1</v>
      </c>
    </row>
    <row r="19" spans="1:12">
      <c r="A19" s="127">
        <v>2026</v>
      </c>
      <c r="B19" s="129"/>
      <c r="C19" s="129"/>
      <c r="D19" s="129"/>
      <c r="E19" s="129"/>
      <c r="F19" s="129"/>
      <c r="G19" s="128">
        <f>(G7*9)+(G6*0.05)</f>
        <v>175037.55300000001</v>
      </c>
      <c r="H19" s="128">
        <f>H7*12</f>
        <v>114160.32000000001</v>
      </c>
      <c r="J19" s="128">
        <f t="shared" si="0"/>
        <v>289197.87300000002</v>
      </c>
      <c r="K19" s="127" t="s">
        <v>227</v>
      </c>
      <c r="L19" s="132" t="b">
        <f t="shared" si="1"/>
        <v>1</v>
      </c>
    </row>
    <row r="20" spans="1:12">
      <c r="A20" s="127">
        <v>2027</v>
      </c>
      <c r="B20" s="129"/>
      <c r="C20" s="129"/>
      <c r="D20" s="129"/>
      <c r="E20" s="129"/>
      <c r="F20" s="129"/>
      <c r="G20" s="129"/>
      <c r="H20" s="128">
        <f>(H7*6)+(H6*0.05)</f>
        <v>78226.875</v>
      </c>
      <c r="J20" s="128">
        <f t="shared" si="0"/>
        <v>78226.875</v>
      </c>
      <c r="K20" s="127" t="s">
        <v>226</v>
      </c>
      <c r="L20" s="132" t="b">
        <f t="shared" si="1"/>
        <v>0</v>
      </c>
    </row>
    <row r="21" spans="1:12">
      <c r="A21" s="127">
        <v>2028</v>
      </c>
      <c r="B21" s="129"/>
      <c r="C21" s="129"/>
      <c r="D21" s="129"/>
      <c r="E21" s="129"/>
      <c r="F21" s="129"/>
      <c r="G21" s="129"/>
      <c r="H21" s="129"/>
      <c r="J21" s="128">
        <f t="shared" si="0"/>
        <v>0</v>
      </c>
      <c r="K21" s="127" t="s">
        <v>225</v>
      </c>
      <c r="L21" s="132" t="b">
        <f t="shared" si="1"/>
        <v>0</v>
      </c>
    </row>
    <row r="22" spans="1:12">
      <c r="A22" s="127">
        <v>2029</v>
      </c>
      <c r="B22" s="129"/>
      <c r="C22" s="129"/>
      <c r="D22" s="129"/>
      <c r="E22" s="129"/>
      <c r="F22" s="129"/>
      <c r="G22" s="129"/>
      <c r="H22" s="129"/>
      <c r="J22" s="128">
        <f t="shared" si="0"/>
        <v>0</v>
      </c>
      <c r="K22" s="127" t="s">
        <v>224</v>
      </c>
      <c r="L22" s="132" t="b">
        <f t="shared" si="1"/>
        <v>1</v>
      </c>
    </row>
    <row r="23" spans="1:12">
      <c r="A23" s="127">
        <v>2030</v>
      </c>
      <c r="B23" s="129"/>
      <c r="C23" s="129"/>
      <c r="D23" s="129"/>
      <c r="E23" s="129"/>
      <c r="F23" s="129"/>
      <c r="G23" s="129"/>
      <c r="H23" s="129"/>
      <c r="J23" s="128">
        <f t="shared" si="0"/>
        <v>0</v>
      </c>
      <c r="K23" s="127" t="s">
        <v>223</v>
      </c>
      <c r="L23" s="132" t="b">
        <f t="shared" si="1"/>
        <v>1</v>
      </c>
    </row>
    <row r="25" spans="1:12" ht="15">
      <c r="A25" s="131" t="s">
        <v>244</v>
      </c>
    </row>
    <row r="27" spans="1:12">
      <c r="A27" t="s">
        <v>239</v>
      </c>
      <c r="B27" s="115">
        <f>(B28/$B$7)*$B$6</f>
        <v>19679.705782511435</v>
      </c>
      <c r="C27" s="115">
        <f>(C28/$C$7)*$C$6</f>
        <v>48983.848053611488</v>
      </c>
      <c r="D27" s="115">
        <f>(D28/$D$7)*$D$6</f>
        <v>0</v>
      </c>
      <c r="E27" s="115">
        <f>(E28/$E$7)*$E$6</f>
        <v>107200.2621934857</v>
      </c>
      <c r="F27" s="115">
        <f>(F28/$F$7)*$F$6</f>
        <v>0</v>
      </c>
      <c r="G27" s="115">
        <v>4046.35</v>
      </c>
      <c r="H27" s="115">
        <v>4046.35</v>
      </c>
    </row>
    <row r="28" spans="1:12">
      <c r="A28" t="s">
        <v>238</v>
      </c>
      <c r="B28" s="115">
        <v>429.36</v>
      </c>
      <c r="C28" s="115">
        <v>1077.69</v>
      </c>
      <c r="D28" s="115">
        <v>0</v>
      </c>
      <c r="E28" s="115">
        <v>2322.92</v>
      </c>
      <c r="F28" s="115">
        <v>0</v>
      </c>
      <c r="G28" s="115">
        <f>(G27/$G$6)*$G$7</f>
        <v>88.900259411368538</v>
      </c>
      <c r="H28" s="115">
        <f>(H27/$G$6)*$G$7</f>
        <v>88.900259411368538</v>
      </c>
    </row>
    <row r="29" spans="1:12">
      <c r="A29" t="s">
        <v>237</v>
      </c>
      <c r="B29" s="130" t="str">
        <f>$B$5</f>
        <v>10</v>
      </c>
      <c r="C29" s="130" t="str">
        <f>$C$5</f>
        <v>12</v>
      </c>
      <c r="D29" s="130" t="str">
        <f>$D$5</f>
        <v>14</v>
      </c>
      <c r="E29" s="130" t="str">
        <f>$E$5</f>
        <v>15</v>
      </c>
      <c r="F29" s="130" t="str">
        <f>$F$5</f>
        <v>16</v>
      </c>
      <c r="G29" s="130">
        <f>$G$5</f>
        <v>18</v>
      </c>
      <c r="H29" s="130">
        <f>$G$5</f>
        <v>18</v>
      </c>
    </row>
    <row r="30" spans="1:12" ht="15">
      <c r="J30" s="125" t="s">
        <v>236</v>
      </c>
      <c r="K30" s="125" t="s">
        <v>214</v>
      </c>
    </row>
    <row r="31" spans="1:12">
      <c r="A31" s="127">
        <v>2018</v>
      </c>
      <c r="B31" s="128">
        <f>($B$28/$B$7)*B11</f>
        <v>3434.8799999999997</v>
      </c>
      <c r="C31" s="129"/>
      <c r="D31" s="129"/>
      <c r="E31" s="129"/>
      <c r="F31" s="129"/>
      <c r="G31" s="129"/>
      <c r="H31" s="129"/>
      <c r="J31" s="128">
        <f t="shared" ref="J31:J43" si="2">SUM(B31:I31)</f>
        <v>3434.8799999999997</v>
      </c>
      <c r="K31" s="127" t="s">
        <v>235</v>
      </c>
    </row>
    <row r="32" spans="1:12">
      <c r="A32" s="127">
        <v>2019</v>
      </c>
      <c r="B32" s="128">
        <f>($B$28/$B$7)*B12</f>
        <v>5152.32</v>
      </c>
      <c r="C32" s="128">
        <f>($C$28/$C$7)*C12</f>
        <v>8621.52</v>
      </c>
      <c r="D32" s="129"/>
      <c r="E32" s="129"/>
      <c r="F32" s="129"/>
      <c r="G32" s="129"/>
      <c r="H32" s="129"/>
      <c r="J32" s="128">
        <f t="shared" si="2"/>
        <v>13773.84</v>
      </c>
      <c r="K32" s="127" t="s">
        <v>234</v>
      </c>
    </row>
    <row r="33" spans="1:11">
      <c r="A33" s="127">
        <v>2020</v>
      </c>
      <c r="B33" s="128">
        <f>($B$28/$B$7)*B13</f>
        <v>5152.32</v>
      </c>
      <c r="C33" s="128">
        <f>($C$28/$C$7)*C13</f>
        <v>12932.28</v>
      </c>
      <c r="D33" s="128">
        <f>($D$28/$D$7)*D13</f>
        <v>0</v>
      </c>
      <c r="E33" s="128">
        <f>($E$28/$E$7)*E13</f>
        <v>11614.6</v>
      </c>
      <c r="F33" s="128">
        <f>($F$28/$F$7)*F13</f>
        <v>0</v>
      </c>
      <c r="G33" s="129"/>
      <c r="H33" s="129"/>
      <c r="J33" s="128">
        <f t="shared" si="2"/>
        <v>29699.199999999997</v>
      </c>
      <c r="K33" s="127" t="s">
        <v>233</v>
      </c>
    </row>
    <row r="34" spans="1:11">
      <c r="A34" s="127">
        <v>2021</v>
      </c>
      <c r="B34" s="128">
        <f>($B$28/$B$7)*B14</f>
        <v>5152.32</v>
      </c>
      <c r="C34" s="128">
        <f>($C$28/$C$7)*C14</f>
        <v>12932.28</v>
      </c>
      <c r="D34" s="128">
        <f>($D$28/$D$7)*D14</f>
        <v>0</v>
      </c>
      <c r="E34" s="128">
        <f>($E$28/$E$7)*E14</f>
        <v>27875.040000000001</v>
      </c>
      <c r="F34" s="128">
        <f>($F$28/$F$7)*F14</f>
        <v>0</v>
      </c>
      <c r="G34" s="129"/>
      <c r="H34" s="129"/>
      <c r="J34" s="128">
        <f t="shared" si="2"/>
        <v>45959.64</v>
      </c>
      <c r="K34" s="127" t="s">
        <v>232</v>
      </c>
    </row>
    <row r="35" spans="1:11">
      <c r="A35" s="127">
        <v>2022</v>
      </c>
      <c r="B35" s="128">
        <f>($B$28/$B$7)*B15</f>
        <v>2701.4252891255715</v>
      </c>
      <c r="C35" s="128">
        <f>($C$28/$C$7)*C15</f>
        <v>12932.28</v>
      </c>
      <c r="D35" s="128">
        <f>($D$28/$D$7)*D15</f>
        <v>0</v>
      </c>
      <c r="E35" s="128">
        <f>($E$28/$E$7)*E15</f>
        <v>27875.040000000001</v>
      </c>
      <c r="F35" s="128">
        <f>($F$28/$F$7)*F15</f>
        <v>0</v>
      </c>
      <c r="G35" s="128">
        <f>G28*3</f>
        <v>266.7007782341056</v>
      </c>
      <c r="H35" s="129"/>
      <c r="J35" s="128">
        <f t="shared" si="2"/>
        <v>43775.446067359677</v>
      </c>
      <c r="K35" s="127" t="s">
        <v>231</v>
      </c>
    </row>
    <row r="36" spans="1:11">
      <c r="A36" s="127">
        <v>2023</v>
      </c>
      <c r="B36" s="129"/>
      <c r="C36" s="128">
        <f>($C$28/$C$7)*C16</f>
        <v>6759.9524026805748</v>
      </c>
      <c r="D36" s="128">
        <f>($D$28/$D$7)*D16</f>
        <v>0</v>
      </c>
      <c r="E36" s="128">
        <f>($E$28/$E$7)*E16</f>
        <v>27875.040000000001</v>
      </c>
      <c r="F36" s="128">
        <f>($F$28/$F$7)*F16</f>
        <v>0</v>
      </c>
      <c r="G36" s="128">
        <f>G28*12</f>
        <v>1066.8031129364224</v>
      </c>
      <c r="H36" s="129"/>
      <c r="J36" s="128">
        <f t="shared" si="2"/>
        <v>35701.795515616999</v>
      </c>
      <c r="K36" s="127" t="s">
        <v>230</v>
      </c>
    </row>
    <row r="37" spans="1:11">
      <c r="A37" s="127">
        <v>2024</v>
      </c>
      <c r="B37" s="129"/>
      <c r="C37" s="129"/>
      <c r="D37" s="128">
        <f>($D$28/$D$7)*D17</f>
        <v>0</v>
      </c>
      <c r="E37" s="128">
        <f>($E$28/$E$7)*E17</f>
        <v>21620.453109674287</v>
      </c>
      <c r="F37" s="128">
        <f>($F$28/$F$7)*F17</f>
        <v>0</v>
      </c>
      <c r="G37" s="128">
        <f>G28*12</f>
        <v>1066.8031129364224</v>
      </c>
      <c r="H37" s="129"/>
      <c r="J37" s="128">
        <f t="shared" si="2"/>
        <v>22687.256222610707</v>
      </c>
      <c r="K37" s="127" t="s">
        <v>229</v>
      </c>
    </row>
    <row r="38" spans="1:11">
      <c r="A38" s="127">
        <v>2025</v>
      </c>
      <c r="B38" s="129"/>
      <c r="C38" s="129"/>
      <c r="D38" s="129"/>
      <c r="E38" s="129"/>
      <c r="F38" s="129"/>
      <c r="G38" s="128">
        <f>G28*12</f>
        <v>1066.8031129364224</v>
      </c>
      <c r="H38" s="129"/>
      <c r="J38" s="128">
        <f t="shared" si="2"/>
        <v>1066.8031129364224</v>
      </c>
      <c r="K38" s="127" t="s">
        <v>228</v>
      </c>
    </row>
    <row r="39" spans="1:11">
      <c r="A39" s="127">
        <v>2026</v>
      </c>
      <c r="B39" s="129"/>
      <c r="C39" s="129"/>
      <c r="D39" s="129"/>
      <c r="E39" s="129"/>
      <c r="F39" s="129"/>
      <c r="G39" s="128">
        <f>(G28*9)+(G27*0.05)</f>
        <v>1002.4198347023168</v>
      </c>
      <c r="H39" s="129"/>
      <c r="J39" s="128">
        <f t="shared" si="2"/>
        <v>1002.4198347023168</v>
      </c>
      <c r="K39" s="127" t="s">
        <v>227</v>
      </c>
    </row>
    <row r="40" spans="1:11">
      <c r="A40" s="127">
        <v>2027</v>
      </c>
      <c r="B40" s="129"/>
      <c r="C40" s="129"/>
      <c r="D40" s="129"/>
      <c r="E40" s="129"/>
      <c r="F40" s="129"/>
      <c r="G40" s="129"/>
      <c r="H40" s="129"/>
      <c r="J40" s="128">
        <f t="shared" si="2"/>
        <v>0</v>
      </c>
      <c r="K40" s="127" t="s">
        <v>226</v>
      </c>
    </row>
    <row r="41" spans="1:11">
      <c r="A41" s="127">
        <v>2028</v>
      </c>
      <c r="B41" s="129"/>
      <c r="C41" s="129"/>
      <c r="D41" s="129"/>
      <c r="E41" s="129"/>
      <c r="F41" s="129"/>
      <c r="G41" s="129"/>
      <c r="H41" s="129"/>
      <c r="J41" s="128">
        <f t="shared" si="2"/>
        <v>0</v>
      </c>
      <c r="K41" s="127" t="s">
        <v>225</v>
      </c>
    </row>
    <row r="42" spans="1:11">
      <c r="A42" s="127">
        <v>2029</v>
      </c>
      <c r="B42" s="129"/>
      <c r="C42" s="129"/>
      <c r="D42" s="129"/>
      <c r="E42" s="129"/>
      <c r="F42" s="129"/>
      <c r="G42" s="129"/>
      <c r="H42" s="129"/>
      <c r="J42" s="128">
        <f t="shared" si="2"/>
        <v>0</v>
      </c>
      <c r="K42" s="127" t="s">
        <v>224</v>
      </c>
    </row>
    <row r="43" spans="1:11">
      <c r="A43" s="127">
        <v>2030</v>
      </c>
      <c r="B43" s="129"/>
      <c r="C43" s="129"/>
      <c r="D43" s="129"/>
      <c r="E43" s="129"/>
      <c r="F43" s="129"/>
      <c r="G43" s="129"/>
      <c r="H43" s="129"/>
      <c r="J43" s="128">
        <f t="shared" si="2"/>
        <v>0</v>
      </c>
      <c r="K43" s="127" t="s">
        <v>223</v>
      </c>
    </row>
    <row r="45" spans="1:11" ht="15">
      <c r="A45" s="131" t="s">
        <v>243</v>
      </c>
    </row>
    <row r="47" spans="1:11">
      <c r="A47" t="s">
        <v>239</v>
      </c>
      <c r="B47" s="115">
        <f>(B48/$B$7)*$B$6</f>
        <v>59039.117347534302</v>
      </c>
      <c r="C47" s="115">
        <f>(C48/$C$7)*$C$6</f>
        <v>11255.435508834464</v>
      </c>
      <c r="D47" s="115">
        <f>(D48/$D$7)*$D$6</f>
        <v>0</v>
      </c>
      <c r="E47" s="115">
        <f>(E48/$E$7)*$E$6</f>
        <v>369020.65356438007</v>
      </c>
      <c r="F47" s="115">
        <f>(F48/$F$7)*$F$6</f>
        <v>0</v>
      </c>
      <c r="G47" s="115">
        <v>0</v>
      </c>
      <c r="H47" s="115">
        <v>0</v>
      </c>
    </row>
    <row r="48" spans="1:11">
      <c r="A48" t="s">
        <v>238</v>
      </c>
      <c r="B48" s="115">
        <v>1288.08</v>
      </c>
      <c r="C48" s="115">
        <v>247.63</v>
      </c>
      <c r="D48" s="115">
        <v>0</v>
      </c>
      <c r="E48" s="115">
        <v>7996.3</v>
      </c>
      <c r="F48" s="115">
        <v>0</v>
      </c>
      <c r="G48" s="115">
        <v>0</v>
      </c>
      <c r="H48" s="115">
        <v>0</v>
      </c>
    </row>
    <row r="49" spans="1:11">
      <c r="A49" t="s">
        <v>237</v>
      </c>
      <c r="B49" s="130" t="str">
        <f>$B$5</f>
        <v>10</v>
      </c>
      <c r="C49" s="130" t="str">
        <f>$C$5</f>
        <v>12</v>
      </c>
      <c r="D49" s="130" t="str">
        <f>$D$5</f>
        <v>14</v>
      </c>
      <c r="E49" s="130" t="str">
        <f>$E$5</f>
        <v>15</v>
      </c>
      <c r="F49" s="130" t="str">
        <f>$F$5</f>
        <v>16</v>
      </c>
      <c r="G49" s="130">
        <f>$G$5</f>
        <v>18</v>
      </c>
      <c r="H49" s="130">
        <f>$G$5</f>
        <v>18</v>
      </c>
    </row>
    <row r="50" spans="1:11" ht="15">
      <c r="J50" s="125" t="s">
        <v>236</v>
      </c>
      <c r="K50" s="125" t="s">
        <v>214</v>
      </c>
    </row>
    <row r="51" spans="1:11">
      <c r="A51" s="127">
        <v>2018</v>
      </c>
      <c r="B51" s="128">
        <f>($B$48/$B$7)*B11</f>
        <v>10304.64</v>
      </c>
      <c r="C51" s="129"/>
      <c r="D51" s="129"/>
      <c r="E51" s="129"/>
      <c r="F51" s="129"/>
      <c r="G51" s="129"/>
      <c r="H51" s="129"/>
      <c r="J51" s="128">
        <f t="shared" ref="J51:J63" si="3">SUM(B51:I51)</f>
        <v>10304.64</v>
      </c>
      <c r="K51" s="127" t="s">
        <v>235</v>
      </c>
    </row>
    <row r="52" spans="1:11">
      <c r="A52" s="127">
        <v>2019</v>
      </c>
      <c r="B52" s="128">
        <f>($B$48/$B$7)*B12</f>
        <v>15456.96</v>
      </c>
      <c r="C52" s="128">
        <f>($C$48/$C$7)*C12</f>
        <v>1981.04</v>
      </c>
      <c r="D52" s="129"/>
      <c r="E52" s="129"/>
      <c r="F52" s="129"/>
      <c r="G52" s="129"/>
      <c r="H52" s="129"/>
      <c r="J52" s="128">
        <f t="shared" si="3"/>
        <v>17438</v>
      </c>
      <c r="K52" s="127" t="s">
        <v>234</v>
      </c>
    </row>
    <row r="53" spans="1:11">
      <c r="A53" s="127">
        <v>2020</v>
      </c>
      <c r="B53" s="128">
        <f>($B$48/$B$7)*B13</f>
        <v>15456.96</v>
      </c>
      <c r="C53" s="128">
        <f>($C$48/$C$7)*C13</f>
        <v>2971.5600000000004</v>
      </c>
      <c r="D53" s="128">
        <f>($D$48/$D$7)*D13</f>
        <v>0</v>
      </c>
      <c r="E53" s="128">
        <f>($E$48/$E$7)*E13</f>
        <v>39981.5</v>
      </c>
      <c r="F53" s="128">
        <f>($F$48/$F$7)*F13</f>
        <v>0</v>
      </c>
      <c r="G53" s="129"/>
      <c r="H53" s="129"/>
      <c r="J53" s="128">
        <f t="shared" si="3"/>
        <v>58410.020000000004</v>
      </c>
      <c r="K53" s="127" t="s">
        <v>233</v>
      </c>
    </row>
    <row r="54" spans="1:11">
      <c r="A54" s="127">
        <v>2021</v>
      </c>
      <c r="B54" s="128">
        <f>($B$48/$B$7)*B14</f>
        <v>15456.96</v>
      </c>
      <c r="C54" s="128">
        <f>($C$48/$C$7)*C14</f>
        <v>2971.5600000000004</v>
      </c>
      <c r="D54" s="128">
        <f>($D$48/$D$7)*D14</f>
        <v>0</v>
      </c>
      <c r="E54" s="128">
        <f>($E$48/$E$7)*E14</f>
        <v>95955.6</v>
      </c>
      <c r="F54" s="128">
        <f>($F$48/$F$7)*F14</f>
        <v>0</v>
      </c>
      <c r="G54" s="129"/>
      <c r="H54" s="129"/>
      <c r="J54" s="128">
        <f t="shared" si="3"/>
        <v>114384.12000000001</v>
      </c>
      <c r="K54" s="127" t="s">
        <v>232</v>
      </c>
    </row>
    <row r="55" spans="1:11">
      <c r="A55" s="127">
        <v>2022</v>
      </c>
      <c r="B55" s="128">
        <f>($B$48/$B$7)*B15</f>
        <v>8104.2758673767139</v>
      </c>
      <c r="C55" s="128">
        <f>($C$48/$C$7)*C15</f>
        <v>2971.5600000000004</v>
      </c>
      <c r="D55" s="128">
        <f>($D$48/$D$7)*D15</f>
        <v>0</v>
      </c>
      <c r="E55" s="128">
        <f>($E$48/$E$7)*E15</f>
        <v>95955.6</v>
      </c>
      <c r="F55" s="128">
        <f>($F$48/$F$7)*F15</f>
        <v>0</v>
      </c>
      <c r="G55" s="128">
        <f>G48*3</f>
        <v>0</v>
      </c>
      <c r="H55" s="129"/>
      <c r="J55" s="128">
        <f t="shared" si="3"/>
        <v>107031.43586737671</v>
      </c>
      <c r="K55" s="127" t="s">
        <v>231</v>
      </c>
    </row>
    <row r="56" spans="1:11">
      <c r="A56" s="127">
        <v>2023</v>
      </c>
      <c r="B56" s="129"/>
      <c r="C56" s="128">
        <f>($C$48/$C$7)*C16</f>
        <v>1553.2917754417233</v>
      </c>
      <c r="D56" s="128">
        <f>($D$48/$D$7)*D16</f>
        <v>0</v>
      </c>
      <c r="E56" s="128">
        <f>($E$48/$E$7)*E16</f>
        <v>95955.6</v>
      </c>
      <c r="F56" s="128">
        <f>($F$48/$F$7)*F16</f>
        <v>0</v>
      </c>
      <c r="G56" s="128">
        <f>G48*12</f>
        <v>0</v>
      </c>
      <c r="H56" s="129"/>
      <c r="J56" s="128">
        <f t="shared" si="3"/>
        <v>97508.891775441734</v>
      </c>
      <c r="K56" s="127" t="s">
        <v>230</v>
      </c>
    </row>
    <row r="57" spans="1:11">
      <c r="A57" s="127">
        <v>2024</v>
      </c>
      <c r="B57" s="129"/>
      <c r="C57" s="129"/>
      <c r="D57" s="128">
        <f>($D$48/$D$7)*D17</f>
        <v>0</v>
      </c>
      <c r="E57" s="128">
        <f>($E$48/$E$7)*E17</f>
        <v>74425.132678219015</v>
      </c>
      <c r="F57" s="128">
        <f>($F$48/$F$7)*F17</f>
        <v>0</v>
      </c>
      <c r="G57" s="128">
        <f>G48*12</f>
        <v>0</v>
      </c>
      <c r="H57" s="129"/>
      <c r="J57" s="128">
        <f t="shared" si="3"/>
        <v>74425.132678219015</v>
      </c>
      <c r="K57" s="127" t="s">
        <v>229</v>
      </c>
    </row>
    <row r="58" spans="1:11">
      <c r="A58" s="127">
        <v>2025</v>
      </c>
      <c r="B58" s="129"/>
      <c r="C58" s="129"/>
      <c r="D58" s="129"/>
      <c r="E58" s="129"/>
      <c r="F58" s="129"/>
      <c r="G58" s="128">
        <f>G48*12</f>
        <v>0</v>
      </c>
      <c r="H58" s="129"/>
      <c r="J58" s="128">
        <f t="shared" si="3"/>
        <v>0</v>
      </c>
      <c r="K58" s="127" t="s">
        <v>228</v>
      </c>
    </row>
    <row r="59" spans="1:11">
      <c r="A59" s="127">
        <v>2026</v>
      </c>
      <c r="B59" s="129"/>
      <c r="C59" s="129"/>
      <c r="D59" s="129"/>
      <c r="E59" s="129"/>
      <c r="F59" s="129"/>
      <c r="G59" s="128">
        <f>(G48*9)+(G47*0.05)</f>
        <v>0</v>
      </c>
      <c r="H59" s="129"/>
      <c r="J59" s="128">
        <f t="shared" si="3"/>
        <v>0</v>
      </c>
      <c r="K59" s="127" t="s">
        <v>227</v>
      </c>
    </row>
    <row r="60" spans="1:11">
      <c r="A60" s="127">
        <v>2027</v>
      </c>
      <c r="B60" s="129"/>
      <c r="C60" s="129"/>
      <c r="D60" s="129"/>
      <c r="E60" s="129"/>
      <c r="F60" s="129"/>
      <c r="G60" s="129"/>
      <c r="H60" s="129"/>
      <c r="J60" s="128">
        <f t="shared" si="3"/>
        <v>0</v>
      </c>
      <c r="K60" s="127" t="s">
        <v>226</v>
      </c>
    </row>
    <row r="61" spans="1:11">
      <c r="A61" s="127">
        <v>2028</v>
      </c>
      <c r="B61" s="129"/>
      <c r="C61" s="129"/>
      <c r="D61" s="129"/>
      <c r="E61" s="129"/>
      <c r="F61" s="129"/>
      <c r="G61" s="129"/>
      <c r="H61" s="129"/>
      <c r="J61" s="128">
        <f t="shared" si="3"/>
        <v>0</v>
      </c>
      <c r="K61" s="127" t="s">
        <v>225</v>
      </c>
    </row>
    <row r="62" spans="1:11">
      <c r="A62" s="127">
        <v>2029</v>
      </c>
      <c r="B62" s="129"/>
      <c r="C62" s="129"/>
      <c r="D62" s="129"/>
      <c r="E62" s="129"/>
      <c r="F62" s="129"/>
      <c r="G62" s="129"/>
      <c r="H62" s="129"/>
      <c r="J62" s="128">
        <f t="shared" si="3"/>
        <v>0</v>
      </c>
      <c r="K62" s="127" t="s">
        <v>224</v>
      </c>
    </row>
    <row r="63" spans="1:11">
      <c r="A63" s="127">
        <v>2030</v>
      </c>
      <c r="B63" s="129"/>
      <c r="C63" s="129"/>
      <c r="D63" s="129"/>
      <c r="E63" s="129"/>
      <c r="F63" s="129"/>
      <c r="G63" s="129"/>
      <c r="H63" s="129"/>
      <c r="J63" s="128">
        <f t="shared" si="3"/>
        <v>0</v>
      </c>
      <c r="K63" s="127" t="s">
        <v>223</v>
      </c>
    </row>
    <row r="65" spans="1:11" ht="15">
      <c r="A65" s="131" t="s">
        <v>242</v>
      </c>
    </row>
    <row r="67" spans="1:11">
      <c r="A67" t="s">
        <v>239</v>
      </c>
      <c r="B67" s="115">
        <f>(B68/$B$7)*$B$6</f>
        <v>121551.15091255716</v>
      </c>
      <c r="C67" s="115">
        <f>(C68/$C$7)*$C$6</f>
        <v>67751.694744048174</v>
      </c>
      <c r="D67" s="115">
        <f>(D68/$D$7)*$D$6</f>
        <v>0</v>
      </c>
      <c r="E67" s="115">
        <f>(E68/$E$7)*$E$6</f>
        <v>467996.25424213422</v>
      </c>
      <c r="F67" s="115">
        <f>(F68/$F$7)*$F$6</f>
        <v>0</v>
      </c>
      <c r="G67" s="115">
        <v>0</v>
      </c>
      <c r="H67" s="115">
        <v>0</v>
      </c>
    </row>
    <row r="68" spans="1:11">
      <c r="A68" t="s">
        <v>238</v>
      </c>
      <c r="B68" s="115">
        <v>2651.93</v>
      </c>
      <c r="C68" s="115">
        <v>1490.6</v>
      </c>
      <c r="D68" s="115">
        <v>0</v>
      </c>
      <c r="E68" s="115">
        <v>10141</v>
      </c>
      <c r="F68" s="115">
        <v>0</v>
      </c>
      <c r="G68" s="115">
        <v>0</v>
      </c>
      <c r="H68" s="115">
        <v>0</v>
      </c>
    </row>
    <row r="69" spans="1:11">
      <c r="A69" t="s">
        <v>237</v>
      </c>
      <c r="B69" s="130" t="str">
        <f>$B$5</f>
        <v>10</v>
      </c>
      <c r="C69" s="130" t="str">
        <f>$C$5</f>
        <v>12</v>
      </c>
      <c r="D69" s="130" t="str">
        <f>$D$5</f>
        <v>14</v>
      </c>
      <c r="E69" s="130" t="str">
        <f>$E$5</f>
        <v>15</v>
      </c>
      <c r="F69" s="130" t="str">
        <f>$F$5</f>
        <v>16</v>
      </c>
      <c r="G69" s="130">
        <f>$G$5</f>
        <v>18</v>
      </c>
      <c r="H69" s="130">
        <f>$G$5</f>
        <v>18</v>
      </c>
    </row>
    <row r="70" spans="1:11" ht="15">
      <c r="J70" s="125" t="s">
        <v>236</v>
      </c>
      <c r="K70" s="125" t="s">
        <v>214</v>
      </c>
    </row>
    <row r="71" spans="1:11">
      <c r="A71" s="127">
        <v>2018</v>
      </c>
      <c r="B71" s="128">
        <f>($B$68/$B$7)*B11</f>
        <v>21215.439999999999</v>
      </c>
      <c r="C71" s="129"/>
      <c r="D71" s="129"/>
      <c r="E71" s="129"/>
      <c r="F71" s="129"/>
      <c r="G71" s="129"/>
      <c r="H71" s="129"/>
      <c r="J71" s="128">
        <f t="shared" ref="J71:J83" si="4">SUM(B71:I71)</f>
        <v>21215.439999999999</v>
      </c>
      <c r="K71" s="127" t="s">
        <v>235</v>
      </c>
    </row>
    <row r="72" spans="1:11">
      <c r="A72" s="127">
        <v>2019</v>
      </c>
      <c r="B72" s="128">
        <f>($B$68/$B$7)*B12</f>
        <v>31823.159999999996</v>
      </c>
      <c r="C72" s="128">
        <f>($C$68/$C$7)*C12</f>
        <v>11924.8</v>
      </c>
      <c r="D72" s="129"/>
      <c r="E72" s="129"/>
      <c r="F72" s="129"/>
      <c r="G72" s="129"/>
      <c r="H72" s="129"/>
      <c r="J72" s="128">
        <f t="shared" si="4"/>
        <v>43747.959999999992</v>
      </c>
      <c r="K72" s="127" t="s">
        <v>234</v>
      </c>
    </row>
    <row r="73" spans="1:11">
      <c r="A73" s="127">
        <v>2020</v>
      </c>
      <c r="B73" s="128">
        <f>($B$68/$B$7)*B13</f>
        <v>31823.159999999996</v>
      </c>
      <c r="C73" s="128">
        <f>($C$68/$C$7)*C13</f>
        <v>17887.2</v>
      </c>
      <c r="D73" s="128">
        <f>($D$68/$D$7)*D13</f>
        <v>0</v>
      </c>
      <c r="E73" s="128">
        <f>($E$68/$E$7)*E13</f>
        <v>50705</v>
      </c>
      <c r="F73" s="128">
        <f>($F$68/$F$7)*F13</f>
        <v>0</v>
      </c>
      <c r="G73" s="129"/>
      <c r="H73" s="129"/>
      <c r="J73" s="128">
        <f t="shared" si="4"/>
        <v>100415.36</v>
      </c>
      <c r="K73" s="127" t="s">
        <v>233</v>
      </c>
    </row>
    <row r="74" spans="1:11">
      <c r="A74" s="127">
        <v>2021</v>
      </c>
      <c r="B74" s="128">
        <f>($B$68/$B$7)*B14</f>
        <v>31823.159999999996</v>
      </c>
      <c r="C74" s="128">
        <f>($C$68/$C$7)*C14</f>
        <v>17887.2</v>
      </c>
      <c r="D74" s="128">
        <f>($D$68/$D$7)*D14</f>
        <v>0</v>
      </c>
      <c r="E74" s="128">
        <f>($E$68/$E$7)*E14</f>
        <v>121692</v>
      </c>
      <c r="F74" s="128">
        <f>($F$68/$F$7)*F14</f>
        <v>0</v>
      </c>
      <c r="G74" s="129"/>
      <c r="H74" s="129"/>
      <c r="J74" s="128">
        <f t="shared" si="4"/>
        <v>171402.36</v>
      </c>
      <c r="K74" s="127" t="s">
        <v>232</v>
      </c>
    </row>
    <row r="75" spans="1:11">
      <c r="A75" s="127">
        <v>2022</v>
      </c>
      <c r="B75" s="128">
        <f>($B$68/$B$7)*B15</f>
        <v>16685.277545627858</v>
      </c>
      <c r="C75" s="128">
        <f>($C$68/$C$7)*C15</f>
        <v>17887.2</v>
      </c>
      <c r="D75" s="128">
        <f>($D$68/$D$7)*D15</f>
        <v>0</v>
      </c>
      <c r="E75" s="128">
        <f>($E$68/$E$7)*E15</f>
        <v>121692</v>
      </c>
      <c r="F75" s="128">
        <f>($F$68/$F$7)*F15</f>
        <v>0</v>
      </c>
      <c r="G75" s="128">
        <f>G68*3</f>
        <v>0</v>
      </c>
      <c r="H75" s="129"/>
      <c r="J75" s="128">
        <f t="shared" si="4"/>
        <v>156264.47754562786</v>
      </c>
      <c r="K75" s="127" t="s">
        <v>231</v>
      </c>
    </row>
    <row r="76" spans="1:11">
      <c r="A76" s="127">
        <v>2023</v>
      </c>
      <c r="B76" s="129"/>
      <c r="C76" s="128">
        <f>($C$68/$C$7)*C16</f>
        <v>9349.9847372024087</v>
      </c>
      <c r="D76" s="128">
        <f>($D$68/$D$7)*D16</f>
        <v>0</v>
      </c>
      <c r="E76" s="128">
        <f>($E$68/$E$7)*E16</f>
        <v>121692</v>
      </c>
      <c r="F76" s="128">
        <f>($F$68/$F$7)*F16</f>
        <v>0</v>
      </c>
      <c r="G76" s="128">
        <f>G68*12</f>
        <v>0</v>
      </c>
      <c r="H76" s="129"/>
      <c r="J76" s="128">
        <f t="shared" si="4"/>
        <v>131041.98473720241</v>
      </c>
      <c r="K76" s="127" t="s">
        <v>230</v>
      </c>
    </row>
    <row r="77" spans="1:11">
      <c r="A77" s="127">
        <v>2024</v>
      </c>
      <c r="B77" s="129"/>
      <c r="C77" s="129"/>
      <c r="D77" s="128">
        <f>($D$68/$D$7)*D17</f>
        <v>0</v>
      </c>
      <c r="E77" s="128">
        <f>($E$68/$E$7)*E17</f>
        <v>94386.812712106708</v>
      </c>
      <c r="F77" s="128">
        <f>($F$68/$F$7)*F17</f>
        <v>0</v>
      </c>
      <c r="G77" s="128">
        <f>G68*12</f>
        <v>0</v>
      </c>
      <c r="H77" s="129"/>
      <c r="J77" s="128">
        <f t="shared" si="4"/>
        <v>94386.812712106708</v>
      </c>
      <c r="K77" s="127" t="s">
        <v>229</v>
      </c>
    </row>
    <row r="78" spans="1:11">
      <c r="A78" s="127">
        <v>2025</v>
      </c>
      <c r="B78" s="129"/>
      <c r="C78" s="129"/>
      <c r="D78" s="129"/>
      <c r="E78" s="129"/>
      <c r="F78" s="129"/>
      <c r="G78" s="128">
        <f>G68*12</f>
        <v>0</v>
      </c>
      <c r="H78" s="129"/>
      <c r="J78" s="128">
        <f t="shared" si="4"/>
        <v>0</v>
      </c>
      <c r="K78" s="127" t="s">
        <v>228</v>
      </c>
    </row>
    <row r="79" spans="1:11">
      <c r="A79" s="127">
        <v>2026</v>
      </c>
      <c r="B79" s="129"/>
      <c r="C79" s="129"/>
      <c r="D79" s="129"/>
      <c r="E79" s="129"/>
      <c r="F79" s="129"/>
      <c r="G79" s="128">
        <f>(G68*9)+(G67*0.05)</f>
        <v>0</v>
      </c>
      <c r="H79" s="129"/>
      <c r="J79" s="128">
        <f t="shared" si="4"/>
        <v>0</v>
      </c>
      <c r="K79" s="127" t="s">
        <v>227</v>
      </c>
    </row>
    <row r="80" spans="1:11">
      <c r="A80" s="127">
        <v>2027</v>
      </c>
      <c r="B80" s="129"/>
      <c r="C80" s="129"/>
      <c r="D80" s="129"/>
      <c r="E80" s="129"/>
      <c r="F80" s="129"/>
      <c r="G80" s="129"/>
      <c r="H80" s="129"/>
      <c r="J80" s="128">
        <f t="shared" si="4"/>
        <v>0</v>
      </c>
      <c r="K80" s="127" t="s">
        <v>226</v>
      </c>
    </row>
    <row r="81" spans="1:11">
      <c r="A81" s="127">
        <v>2028</v>
      </c>
      <c r="B81" s="129"/>
      <c r="C81" s="129"/>
      <c r="D81" s="129"/>
      <c r="E81" s="129"/>
      <c r="F81" s="129"/>
      <c r="G81" s="129"/>
      <c r="H81" s="129"/>
      <c r="J81" s="128">
        <f t="shared" si="4"/>
        <v>0</v>
      </c>
      <c r="K81" s="127" t="s">
        <v>225</v>
      </c>
    </row>
    <row r="82" spans="1:11">
      <c r="A82" s="127">
        <v>2029</v>
      </c>
      <c r="B82" s="129"/>
      <c r="C82" s="129"/>
      <c r="D82" s="129"/>
      <c r="E82" s="129"/>
      <c r="F82" s="129"/>
      <c r="G82" s="129"/>
      <c r="H82" s="129"/>
      <c r="J82" s="128">
        <f t="shared" si="4"/>
        <v>0</v>
      </c>
      <c r="K82" s="127" t="s">
        <v>224</v>
      </c>
    </row>
    <row r="83" spans="1:11">
      <c r="A83" s="127">
        <v>2030</v>
      </c>
      <c r="B83" s="129"/>
      <c r="C83" s="129"/>
      <c r="D83" s="129"/>
      <c r="E83" s="129"/>
      <c r="F83" s="129"/>
      <c r="G83" s="129"/>
      <c r="H83" s="129"/>
      <c r="J83" s="128">
        <f t="shared" si="4"/>
        <v>0</v>
      </c>
      <c r="K83" s="127" t="s">
        <v>223</v>
      </c>
    </row>
    <row r="85" spans="1:11" ht="15">
      <c r="A85" s="131" t="s">
        <v>241</v>
      </c>
    </row>
    <row r="87" spans="1:11">
      <c r="A87" t="s">
        <v>239</v>
      </c>
      <c r="B87" s="115">
        <f>(B88/$B$7)*$B$6</f>
        <v>378545.57595739712</v>
      </c>
      <c r="C87" s="115">
        <f>(C88/$C$7)*$C$6</f>
        <v>469566.15169350588</v>
      </c>
      <c r="D87" s="115">
        <f>(D88/$D$7)*$D$6</f>
        <v>0</v>
      </c>
      <c r="E87" s="115">
        <f>(E88/$E$7)*$E$6</f>
        <v>0</v>
      </c>
      <c r="F87" s="115">
        <f>(F88/$F$7)*$F$6</f>
        <v>341700.71</v>
      </c>
      <c r="G87" s="115">
        <v>461137.46</v>
      </c>
      <c r="H87" s="115">
        <v>0</v>
      </c>
    </row>
    <row r="88" spans="1:11">
      <c r="A88" t="s">
        <v>238</v>
      </c>
      <c r="B88" s="115">
        <v>8258.8799999999992</v>
      </c>
      <c r="C88" s="115">
        <v>10330.89</v>
      </c>
      <c r="D88" s="115">
        <v>0</v>
      </c>
      <c r="E88" s="115">
        <v>0</v>
      </c>
      <c r="F88" s="115">
        <v>7404.31</v>
      </c>
      <c r="G88" s="115">
        <f>(G87/$G$6)*$G$7</f>
        <v>10131.412215527473</v>
      </c>
      <c r="H88" s="115">
        <v>0</v>
      </c>
    </row>
    <row r="89" spans="1:11">
      <c r="A89" t="s">
        <v>237</v>
      </c>
      <c r="B89" s="130" t="str">
        <f>$B$5</f>
        <v>10</v>
      </c>
      <c r="C89" s="130" t="str">
        <f>$C$5</f>
        <v>12</v>
      </c>
      <c r="D89" s="130" t="str">
        <f>$D$5</f>
        <v>14</v>
      </c>
      <c r="E89" s="130" t="str">
        <f>$E$5</f>
        <v>15</v>
      </c>
      <c r="F89" s="130" t="str">
        <f>$F$5</f>
        <v>16</v>
      </c>
      <c r="G89" s="130">
        <f>$G$5</f>
        <v>18</v>
      </c>
      <c r="H89" s="130">
        <v>20</v>
      </c>
    </row>
    <row r="90" spans="1:11" ht="15">
      <c r="J90" s="125" t="s">
        <v>236</v>
      </c>
      <c r="K90" s="125" t="s">
        <v>214</v>
      </c>
    </row>
    <row r="91" spans="1:11">
      <c r="A91" s="127">
        <v>2018</v>
      </c>
      <c r="B91" s="128">
        <f>($B$88/$B$7)*B11</f>
        <v>66071.039999999994</v>
      </c>
      <c r="C91" s="129"/>
      <c r="D91" s="129"/>
      <c r="E91" s="129"/>
      <c r="F91" s="129"/>
      <c r="G91" s="129"/>
      <c r="H91" s="129"/>
      <c r="J91" s="128">
        <f t="shared" ref="J91:J103" si="5">SUM(B91:I91)</f>
        <v>66071.039999999994</v>
      </c>
      <c r="K91" s="127" t="s">
        <v>235</v>
      </c>
    </row>
    <row r="92" spans="1:11">
      <c r="A92" s="127">
        <v>2019</v>
      </c>
      <c r="B92" s="128">
        <f>($B$88/$B$7)*B12</f>
        <v>99106.559999999983</v>
      </c>
      <c r="C92" s="128">
        <f>($C$88/$C$7)*C12</f>
        <v>82647.12</v>
      </c>
      <c r="D92" s="129"/>
      <c r="E92" s="129"/>
      <c r="F92" s="129"/>
      <c r="G92" s="129"/>
      <c r="H92" s="129"/>
      <c r="J92" s="128">
        <f t="shared" si="5"/>
        <v>181753.68</v>
      </c>
      <c r="K92" s="127" t="s">
        <v>234</v>
      </c>
    </row>
    <row r="93" spans="1:11">
      <c r="A93" s="127">
        <v>2020</v>
      </c>
      <c r="B93" s="128">
        <f>($B$88/$B$7)*B13</f>
        <v>99106.559999999983</v>
      </c>
      <c r="C93" s="128">
        <f>($C$88/$C$7)*C13</f>
        <v>123970.68000000001</v>
      </c>
      <c r="D93" s="128">
        <f>($D$88/$D$7)*D13</f>
        <v>0</v>
      </c>
      <c r="E93" s="128">
        <f>($E$88/$E$7)*E12</f>
        <v>0</v>
      </c>
      <c r="F93" s="128">
        <f>($F$88/$F$7)*F13</f>
        <v>37021.550000000003</v>
      </c>
      <c r="G93" s="129"/>
      <c r="H93" s="129"/>
      <c r="J93" s="128">
        <f t="shared" si="5"/>
        <v>260098.78999999998</v>
      </c>
      <c r="K93" s="127" t="s">
        <v>233</v>
      </c>
    </row>
    <row r="94" spans="1:11">
      <c r="A94" s="127">
        <v>2021</v>
      </c>
      <c r="B94" s="128">
        <f>($B$88/$B$7)*B14</f>
        <v>99106.559999999983</v>
      </c>
      <c r="C94" s="128">
        <f>($C$88/$C$7)*C14</f>
        <v>123970.68000000001</v>
      </c>
      <c r="D94" s="128">
        <f>($D$88/$D$7)*D14</f>
        <v>0</v>
      </c>
      <c r="E94" s="128">
        <f>($E$88/$E$7)*E13</f>
        <v>0</v>
      </c>
      <c r="F94" s="128">
        <f>($F$88/$F$7)*F14</f>
        <v>88851.72</v>
      </c>
      <c r="G94" s="129"/>
      <c r="H94" s="129"/>
      <c r="J94" s="128">
        <f t="shared" si="5"/>
        <v>311928.95999999996</v>
      </c>
      <c r="K94" s="127" t="s">
        <v>232</v>
      </c>
    </row>
    <row r="95" spans="1:11">
      <c r="A95" s="127">
        <v>2022</v>
      </c>
      <c r="B95" s="128">
        <f>($B$88/$B$7)*B15</f>
        <v>51962.798797869851</v>
      </c>
      <c r="C95" s="128">
        <f>($C$88/$C$7)*C15</f>
        <v>123970.68000000001</v>
      </c>
      <c r="D95" s="128">
        <f>($D$88/$D$7)*D15</f>
        <v>0</v>
      </c>
      <c r="E95" s="128">
        <f>($E$88/$E$7)*E14</f>
        <v>0</v>
      </c>
      <c r="F95" s="128">
        <f>($F$88/$F$7)*F15</f>
        <v>88851.72</v>
      </c>
      <c r="G95" s="128">
        <f>G88*3</f>
        <v>30394.236646582416</v>
      </c>
      <c r="H95" s="129"/>
      <c r="J95" s="128">
        <f t="shared" si="5"/>
        <v>295179.43544445228</v>
      </c>
      <c r="K95" s="127" t="s">
        <v>231</v>
      </c>
    </row>
    <row r="96" spans="1:11">
      <c r="A96" s="127">
        <v>2023</v>
      </c>
      <c r="B96" s="129"/>
      <c r="C96" s="128">
        <f>($C$88/$C$7)*C16</f>
        <v>64801.867584675296</v>
      </c>
      <c r="D96" s="128">
        <f>($D$88/$D$7)*D16</f>
        <v>0</v>
      </c>
      <c r="E96" s="128">
        <f>($E$88/$E$7)*E15</f>
        <v>0</v>
      </c>
      <c r="F96" s="128">
        <f>($F$88/$F$7)*F16</f>
        <v>88851.72</v>
      </c>
      <c r="G96" s="128">
        <f>G88*12</f>
        <v>121576.94658632966</v>
      </c>
      <c r="H96" s="129"/>
      <c r="J96" s="128">
        <f t="shared" si="5"/>
        <v>275230.53417100495</v>
      </c>
      <c r="K96" s="127" t="s">
        <v>230</v>
      </c>
    </row>
    <row r="97" spans="1:11">
      <c r="A97" s="127">
        <v>2024</v>
      </c>
      <c r="B97" s="129"/>
      <c r="C97" s="129"/>
      <c r="D97" s="128">
        <f>($D$88/$D$7)*D17</f>
        <v>0</v>
      </c>
      <c r="E97" s="128">
        <f>($E$88/$E$7)*E16</f>
        <v>0</v>
      </c>
      <c r="F97" s="128">
        <f>($F$88/$F$7)*F17</f>
        <v>68915.205500000011</v>
      </c>
      <c r="G97" s="128">
        <f>G88*12</f>
        <v>121576.94658632966</v>
      </c>
      <c r="H97" s="129"/>
      <c r="J97" s="128">
        <f t="shared" si="5"/>
        <v>190492.15208632968</v>
      </c>
      <c r="K97" s="127" t="s">
        <v>229</v>
      </c>
    </row>
    <row r="98" spans="1:11">
      <c r="A98" s="127">
        <v>2025</v>
      </c>
      <c r="B98" s="129"/>
      <c r="C98" s="129"/>
      <c r="D98" s="129"/>
      <c r="E98" s="129"/>
      <c r="F98" s="129"/>
      <c r="G98" s="128">
        <f>G88*12</f>
        <v>121576.94658632966</v>
      </c>
      <c r="H98" s="129"/>
      <c r="J98" s="128">
        <f t="shared" si="5"/>
        <v>121576.94658632966</v>
      </c>
      <c r="K98" s="127" t="s">
        <v>228</v>
      </c>
    </row>
    <row r="99" spans="1:11">
      <c r="A99" s="127">
        <v>2026</v>
      </c>
      <c r="B99" s="129"/>
      <c r="C99" s="129"/>
      <c r="D99" s="129"/>
      <c r="E99" s="129"/>
      <c r="F99" s="129"/>
      <c r="G99" s="128">
        <f>(G88*9)+(G87*0.05)</f>
        <v>114239.58293974726</v>
      </c>
      <c r="H99" s="129"/>
      <c r="J99" s="128">
        <f t="shared" si="5"/>
        <v>114239.58293974726</v>
      </c>
      <c r="K99" s="127" t="s">
        <v>227</v>
      </c>
    </row>
    <row r="100" spans="1:11">
      <c r="A100" s="127">
        <v>2027</v>
      </c>
      <c r="B100" s="129"/>
      <c r="C100" s="129"/>
      <c r="D100" s="129"/>
      <c r="E100" s="129"/>
      <c r="F100" s="129"/>
      <c r="G100" s="129"/>
      <c r="H100" s="129"/>
      <c r="J100" s="128">
        <f t="shared" si="5"/>
        <v>0</v>
      </c>
      <c r="K100" s="127" t="s">
        <v>226</v>
      </c>
    </row>
    <row r="101" spans="1:11">
      <c r="A101" s="127">
        <v>2028</v>
      </c>
      <c r="B101" s="129"/>
      <c r="C101" s="129"/>
      <c r="D101" s="129"/>
      <c r="E101" s="129"/>
      <c r="F101" s="129"/>
      <c r="G101" s="129"/>
      <c r="H101" s="129"/>
      <c r="J101" s="128">
        <f t="shared" si="5"/>
        <v>0</v>
      </c>
      <c r="K101" s="127" t="s">
        <v>225</v>
      </c>
    </row>
    <row r="102" spans="1:11">
      <c r="A102" s="127">
        <v>2029</v>
      </c>
      <c r="B102" s="129"/>
      <c r="C102" s="129"/>
      <c r="D102" s="129"/>
      <c r="E102" s="129"/>
      <c r="F102" s="129"/>
      <c r="G102" s="129"/>
      <c r="H102" s="129"/>
      <c r="J102" s="128">
        <f t="shared" si="5"/>
        <v>0</v>
      </c>
      <c r="K102" s="127" t="s">
        <v>224</v>
      </c>
    </row>
    <row r="103" spans="1:11">
      <c r="A103" s="127">
        <v>2030</v>
      </c>
      <c r="B103" s="129"/>
      <c r="C103" s="129"/>
      <c r="D103" s="129"/>
      <c r="E103" s="129"/>
      <c r="F103" s="129"/>
      <c r="G103" s="129"/>
      <c r="H103" s="129"/>
      <c r="J103" s="128">
        <f t="shared" si="5"/>
        <v>0</v>
      </c>
      <c r="K103" s="127" t="s">
        <v>223</v>
      </c>
    </row>
    <row r="105" spans="1:11" ht="15">
      <c r="A105" s="131" t="s">
        <v>240</v>
      </c>
    </row>
    <row r="107" spans="1:11">
      <c r="A107" t="s">
        <v>239</v>
      </c>
      <c r="B107" s="115">
        <f>(B108/$B$7)*$B$6</f>
        <v>0</v>
      </c>
      <c r="C107" s="115">
        <f>(C108/$C$7)*$C$6</f>
        <v>0</v>
      </c>
      <c r="D107" s="115">
        <f>(D108/$D$7)*$D$6</f>
        <v>1257041.3</v>
      </c>
      <c r="E107" s="115">
        <f>(E108/$E$7)*$E$6</f>
        <v>0</v>
      </c>
      <c r="F107" s="115">
        <f>(F108/$F$7)*$F$6</f>
        <v>0</v>
      </c>
      <c r="G107" s="115">
        <v>241369.65</v>
      </c>
      <c r="H107" s="115">
        <v>422934.3</v>
      </c>
    </row>
    <row r="108" spans="1:11">
      <c r="A108" t="s">
        <v>238</v>
      </c>
      <c r="B108" s="115">
        <v>0</v>
      </c>
      <c r="C108" s="115">
        <v>0</v>
      </c>
      <c r="D108" s="115">
        <v>27238.799999999999</v>
      </c>
      <c r="E108" s="115">
        <v>0</v>
      </c>
      <c r="F108" s="115">
        <v>0</v>
      </c>
      <c r="G108" s="115">
        <f>(G107/$G$6)*$G$7</f>
        <v>5303.0075250611617</v>
      </c>
      <c r="H108" s="115">
        <v>9513.36</v>
      </c>
    </row>
    <row r="109" spans="1:11">
      <c r="A109" t="s">
        <v>237</v>
      </c>
      <c r="B109" s="130" t="str">
        <f>$B$5</f>
        <v>10</v>
      </c>
      <c r="C109" s="130" t="str">
        <f>$C$5</f>
        <v>12</v>
      </c>
      <c r="D109" s="130" t="str">
        <f>$D$5</f>
        <v>14</v>
      </c>
      <c r="E109" s="130" t="str">
        <f>$E$5</f>
        <v>15</v>
      </c>
      <c r="F109" s="130" t="str">
        <f>$F$5</f>
        <v>16</v>
      </c>
      <c r="G109" s="130">
        <f>$G$5</f>
        <v>18</v>
      </c>
      <c r="H109" s="130">
        <v>20</v>
      </c>
    </row>
    <row r="110" spans="1:11" ht="15">
      <c r="J110" s="125" t="s">
        <v>236</v>
      </c>
      <c r="K110" s="125" t="s">
        <v>214</v>
      </c>
    </row>
    <row r="111" spans="1:11">
      <c r="A111" s="127">
        <v>2018</v>
      </c>
      <c r="B111" s="128">
        <f>($B$108/$B$7)*B11</f>
        <v>0</v>
      </c>
      <c r="C111" s="129"/>
      <c r="D111" s="129"/>
      <c r="E111" s="129"/>
      <c r="F111" s="129"/>
      <c r="G111" s="129"/>
      <c r="J111" s="128">
        <f t="shared" ref="J111:J123" si="6">SUM(B111:I111)</f>
        <v>0</v>
      </c>
      <c r="K111" s="127" t="s">
        <v>235</v>
      </c>
    </row>
    <row r="112" spans="1:11">
      <c r="A112" s="127">
        <v>2019</v>
      </c>
      <c r="B112" s="128">
        <f>($B$108/$B$7)*B12</f>
        <v>0</v>
      </c>
      <c r="C112" s="128">
        <f>($C$108/$C$7)*C12</f>
        <v>0</v>
      </c>
      <c r="D112" s="129"/>
      <c r="E112" s="129"/>
      <c r="F112" s="129"/>
      <c r="G112" s="129"/>
      <c r="H112" s="129"/>
      <c r="J112" s="128">
        <f t="shared" si="6"/>
        <v>0</v>
      </c>
      <c r="K112" s="127" t="s">
        <v>234</v>
      </c>
    </row>
    <row r="113" spans="1:11">
      <c r="A113" s="127">
        <v>2020</v>
      </c>
      <c r="B113" s="128">
        <f>($B$108/$B$7)*B13</f>
        <v>0</v>
      </c>
      <c r="C113" s="128">
        <f>($C$108/$C$7)*C13</f>
        <v>0</v>
      </c>
      <c r="D113" s="128">
        <f>($D$108/$D$7)*D13</f>
        <v>136194</v>
      </c>
      <c r="E113" s="128">
        <f>($E$108/$E$7)*E12</f>
        <v>0</v>
      </c>
      <c r="F113" s="128">
        <f>($F$108/$F$7)*F13</f>
        <v>0</v>
      </c>
      <c r="G113" s="129"/>
      <c r="H113" s="129"/>
      <c r="J113" s="128">
        <f t="shared" si="6"/>
        <v>136194</v>
      </c>
      <c r="K113" s="127" t="s">
        <v>233</v>
      </c>
    </row>
    <row r="114" spans="1:11">
      <c r="A114" s="127">
        <v>2021</v>
      </c>
      <c r="B114" s="128">
        <f>($B$108/$B$7)*B14</f>
        <v>0</v>
      </c>
      <c r="C114" s="128">
        <f>($C$108/$C$7)*C14</f>
        <v>0</v>
      </c>
      <c r="D114" s="128">
        <f>($D$108/$D$7)*D14</f>
        <v>326865.59999999998</v>
      </c>
      <c r="E114" s="128">
        <f>($E$108/$E$7)*E13</f>
        <v>0</v>
      </c>
      <c r="F114" s="128">
        <f>($F$108/$F$7)*F14</f>
        <v>0</v>
      </c>
      <c r="G114" s="129"/>
      <c r="H114" s="129"/>
      <c r="J114" s="128">
        <f t="shared" si="6"/>
        <v>326865.59999999998</v>
      </c>
      <c r="K114" s="127" t="s">
        <v>232</v>
      </c>
    </row>
    <row r="115" spans="1:11">
      <c r="A115" s="127">
        <v>2022</v>
      </c>
      <c r="B115" s="128">
        <f>($B$108/$B$7)*B15</f>
        <v>0</v>
      </c>
      <c r="C115" s="128">
        <f>($C$108/$C$7)*C15</f>
        <v>0</v>
      </c>
      <c r="D115" s="128">
        <f>($D$108/$D$7)*D15</f>
        <v>326865.59999999998</v>
      </c>
      <c r="E115" s="128">
        <f>($E$108/$E$7)*E14</f>
        <v>0</v>
      </c>
      <c r="F115" s="128">
        <f>($F$108/$F$7)*F15</f>
        <v>0</v>
      </c>
      <c r="G115" s="128">
        <f>G108*3</f>
        <v>15909.022575183484</v>
      </c>
      <c r="H115" s="129"/>
      <c r="J115" s="128">
        <f t="shared" si="6"/>
        <v>342774.62257518346</v>
      </c>
      <c r="K115" s="127" t="s">
        <v>231</v>
      </c>
    </row>
    <row r="116" spans="1:11">
      <c r="A116" s="127">
        <v>2023</v>
      </c>
      <c r="B116" s="129"/>
      <c r="C116" s="128">
        <f>($C$108/$C$7)*C16</f>
        <v>0</v>
      </c>
      <c r="D116" s="128">
        <f>($D$108/$D$7)*D16</f>
        <v>326865.59999999998</v>
      </c>
      <c r="E116" s="128">
        <f>($E$108/$E$7)*E15</f>
        <v>0</v>
      </c>
      <c r="F116" s="128">
        <f>($F$108/$F$7)*F16</f>
        <v>0</v>
      </c>
      <c r="G116" s="128">
        <f>G108*12</f>
        <v>63636.090300733937</v>
      </c>
      <c r="H116" s="129"/>
      <c r="J116" s="128">
        <f t="shared" si="6"/>
        <v>390501.6903007339</v>
      </c>
      <c r="K116" s="127" t="s">
        <v>230</v>
      </c>
    </row>
    <row r="117" spans="1:11">
      <c r="A117" s="127">
        <v>2024</v>
      </c>
      <c r="B117" s="129"/>
      <c r="C117" s="129"/>
      <c r="D117" s="128">
        <f>($D$108/$D$7)*D17</f>
        <v>253523.66500000001</v>
      </c>
      <c r="E117" s="128">
        <f>($E$108/$E$7)*E16</f>
        <v>0</v>
      </c>
      <c r="F117" s="128">
        <f>($F$108/$F$7)*F17</f>
        <v>0</v>
      </c>
      <c r="G117" s="128">
        <f>G108*12</f>
        <v>63636.090300733937</v>
      </c>
      <c r="H117" s="128">
        <f>H108*6</f>
        <v>57080.160000000003</v>
      </c>
      <c r="J117" s="128">
        <f t="shared" si="6"/>
        <v>374239.91530073399</v>
      </c>
      <c r="K117" s="127" t="s">
        <v>229</v>
      </c>
    </row>
    <row r="118" spans="1:11">
      <c r="A118" s="127">
        <v>2025</v>
      </c>
      <c r="B118" s="129"/>
      <c r="C118" s="129"/>
      <c r="D118" s="129"/>
      <c r="E118" s="129"/>
      <c r="F118" s="129"/>
      <c r="G118" s="128">
        <f>G108*12</f>
        <v>63636.090300733937</v>
      </c>
      <c r="H118" s="128">
        <f>H108*12</f>
        <v>114160.32000000001</v>
      </c>
      <c r="J118" s="128">
        <f t="shared" si="6"/>
        <v>177796.41030073393</v>
      </c>
      <c r="K118" s="127" t="s">
        <v>228</v>
      </c>
    </row>
    <row r="119" spans="1:11">
      <c r="A119" s="127">
        <v>2026</v>
      </c>
      <c r="B119" s="129"/>
      <c r="C119" s="129"/>
      <c r="D119" s="129"/>
      <c r="E119" s="129"/>
      <c r="F119" s="129"/>
      <c r="G119" s="128">
        <f>(G108*9)+(G107*0.05)</f>
        <v>59795.550225550454</v>
      </c>
      <c r="H119" s="128">
        <f>H108*12</f>
        <v>114160.32000000001</v>
      </c>
      <c r="J119" s="128">
        <f t="shared" si="6"/>
        <v>173955.87022555046</v>
      </c>
      <c r="K119" s="127" t="s">
        <v>227</v>
      </c>
    </row>
    <row r="120" spans="1:11">
      <c r="A120" s="127">
        <v>2027</v>
      </c>
      <c r="B120" s="129"/>
      <c r="C120" s="129"/>
      <c r="D120" s="129"/>
      <c r="E120" s="129"/>
      <c r="F120" s="129"/>
      <c r="G120" s="129"/>
      <c r="H120" s="128">
        <f>H108*12</f>
        <v>114160.32000000001</v>
      </c>
      <c r="J120" s="128">
        <f t="shared" si="6"/>
        <v>114160.32000000001</v>
      </c>
      <c r="K120" s="127" t="s">
        <v>226</v>
      </c>
    </row>
    <row r="121" spans="1:11">
      <c r="A121" s="127">
        <v>2028</v>
      </c>
      <c r="B121" s="129"/>
      <c r="C121" s="129"/>
      <c r="D121" s="129"/>
      <c r="E121" s="129"/>
      <c r="F121" s="129"/>
      <c r="G121" s="129"/>
      <c r="H121" s="128">
        <f>(H108*6)+(H107*0.05)</f>
        <v>78226.875</v>
      </c>
      <c r="J121" s="128">
        <f t="shared" si="6"/>
        <v>78226.875</v>
      </c>
      <c r="K121" s="127" t="s">
        <v>225</v>
      </c>
    </row>
    <row r="122" spans="1:11">
      <c r="A122" s="127">
        <v>2029</v>
      </c>
      <c r="B122" s="129"/>
      <c r="C122" s="129"/>
      <c r="D122" s="129"/>
      <c r="E122" s="129"/>
      <c r="F122" s="129"/>
      <c r="G122" s="129"/>
      <c r="H122" s="129"/>
      <c r="J122" s="128">
        <f t="shared" si="6"/>
        <v>0</v>
      </c>
      <c r="K122" s="127" t="s">
        <v>224</v>
      </c>
    </row>
    <row r="123" spans="1:11">
      <c r="A123" s="127">
        <v>2030</v>
      </c>
      <c r="B123" s="129"/>
      <c r="C123" s="129"/>
      <c r="D123" s="129"/>
      <c r="E123" s="129"/>
      <c r="F123" s="129"/>
      <c r="G123" s="129"/>
      <c r="H123" s="129"/>
      <c r="J123" s="128">
        <f t="shared" si="6"/>
        <v>0</v>
      </c>
      <c r="K123" s="127" t="s">
        <v>223</v>
      </c>
    </row>
    <row r="125" spans="1:11">
      <c r="B125" t="b">
        <f>SUM(B11:B23)=(SUM(B111:B123)+SUM(B91:B103)+SUM(B71:B83)+SUM(B51:B63)+SUM(B31:B43))</f>
        <v>1</v>
      </c>
      <c r="C125" t="b">
        <f>SUM(C12:C23)=(SUM(C112:C123)+SUM(C92:C103)+SUM(C72:C83)+SUM(C52:C63)+SUM(C32:C43))</f>
        <v>1</v>
      </c>
      <c r="D125" t="b">
        <f>SUM(D11:D23)=(SUM(D111:D123)+SUM(D91:D103)+SUM(D71:D83)+SUM(D51:D63)+SUM(D31:D43))</f>
        <v>1</v>
      </c>
      <c r="E125" t="b">
        <f>SUM(E11:E23)=(SUM(E111:E123)+SUM(E91:E103)+SUM(E71:E83)+SUM(E51:E63)+SUM(E31:E43))</f>
        <v>1</v>
      </c>
      <c r="F125" t="b">
        <f>SUM(F11:F23)=(SUM(F111:F123)+SUM(F91:F103)+SUM(F71:F83)+SUM(F51:F63)+SUM(F31:F43))</f>
        <v>1</v>
      </c>
      <c r="G125" t="b">
        <f>SUM(G11:G23)=(SUM(G111:G123)+SUM(G91:G103)+SUM(G71:G83)+SUM(G51:G63)+SUM(G31:G43))</f>
        <v>1</v>
      </c>
      <c r="H125" t="b">
        <f>SUM(H11:H23)=(SUM(H111:H123)+SUM(H91:H103)+SUM(H71:H83)+SUM(H51:H63)+SUM(H31:H43))</f>
        <v>1</v>
      </c>
    </row>
  </sheetData>
  <pageMargins left="0.7" right="0.7" top="0.75" bottom="0.75" header="0.3" footer="0.3"/>
  <pageSetup orientation="portrait" horizontalDpi="100" verticalDpi="1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25"/>
  <sheetViews>
    <sheetView zoomScale="75" zoomScaleNormal="75" workbookViewId="0">
      <pane xSplit="1" ySplit="1" topLeftCell="BK133" activePane="bottomRight" state="frozen"/>
      <selection activeCell="E165" sqref="E164:E165"/>
      <selection pane="topRight" activeCell="E165" sqref="E164:E165"/>
      <selection pane="bottomLeft" activeCell="E165" sqref="E164:E165"/>
      <selection pane="bottomRight" activeCell="E165" sqref="E164:E165"/>
    </sheetView>
  </sheetViews>
  <sheetFormatPr defaultColWidth="8.625" defaultRowHeight="14.25"/>
  <cols>
    <col min="1" max="1" width="56.5" style="7" customWidth="1"/>
    <col min="2" max="7" width="15.625" style="92" customWidth="1"/>
    <col min="8" max="8" width="15.625" style="92" hidden="1" customWidth="1"/>
    <col min="9" max="9" width="15.625" style="92" customWidth="1"/>
    <col min="10" max="10" width="7.25" style="14" bestFit="1" customWidth="1"/>
    <col min="11" max="16" width="15.625" style="92" customWidth="1"/>
    <col min="17" max="17" width="15.625" style="92" hidden="1" customWidth="1"/>
    <col min="18" max="18" width="15.625" style="92" customWidth="1"/>
    <col min="19" max="19" width="8.625" style="7"/>
    <col min="20" max="25" width="15.625" style="92" customWidth="1"/>
    <col min="26" max="26" width="15.625" style="92" hidden="1" customWidth="1"/>
    <col min="27" max="27" width="15.625" style="92" customWidth="1"/>
    <col min="28" max="28" width="8.625" style="7"/>
    <col min="29" max="34" width="15.625" style="92" customWidth="1"/>
    <col min="35" max="35" width="15.625" style="92" hidden="1" customWidth="1"/>
    <col min="36" max="36" width="15.625" style="92" customWidth="1"/>
    <col min="37" max="37" width="8.625" style="7"/>
    <col min="38" max="43" width="15.625" style="92" customWidth="1"/>
    <col min="44" max="44" width="15.625" style="92" hidden="1" customWidth="1"/>
    <col min="45" max="45" width="15.625" style="92" customWidth="1"/>
    <col min="46" max="46" width="8.625" style="7"/>
    <col min="47" max="52" width="15.625" style="92" customWidth="1"/>
    <col min="53" max="53" width="15.625" style="92" hidden="1" customWidth="1"/>
    <col min="54" max="54" width="15.625" style="92" customWidth="1"/>
    <col min="55" max="55" width="8.625" style="7"/>
    <col min="56" max="61" width="15.625" style="92" customWidth="1"/>
    <col min="62" max="62" width="15.625" style="92" hidden="1" customWidth="1"/>
    <col min="63" max="63" width="15.625" style="92" customWidth="1"/>
    <col min="64" max="64" width="8.625" style="7"/>
    <col min="65" max="70" width="15.625" style="92" customWidth="1"/>
    <col min="71" max="71" width="15.625" style="92" hidden="1" customWidth="1"/>
    <col min="72" max="72" width="15.625" style="92" customWidth="1"/>
    <col min="73" max="73" width="8.625" style="7"/>
    <col min="74" max="79" width="15.625" style="92" customWidth="1"/>
    <col min="80" max="80" width="15.625" style="92" hidden="1" customWidth="1"/>
    <col min="81" max="81" width="15.625" style="92" customWidth="1"/>
    <col min="82" max="16384" width="8.625" style="7"/>
  </cols>
  <sheetData>
    <row r="1" spans="1:82" s="3" customFormat="1" ht="15">
      <c r="A1" s="1" t="s">
        <v>206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196</v>
      </c>
      <c r="J1" s="2"/>
      <c r="K1" s="1" t="s">
        <v>0</v>
      </c>
      <c r="L1" s="1" t="s">
        <v>1</v>
      </c>
      <c r="M1" s="1" t="s">
        <v>2</v>
      </c>
      <c r="N1" s="1" t="s">
        <v>3</v>
      </c>
      <c r="O1" s="1" t="s">
        <v>4</v>
      </c>
      <c r="P1" s="1" t="s">
        <v>5</v>
      </c>
      <c r="Q1" s="1" t="s">
        <v>6</v>
      </c>
      <c r="R1" s="1" t="s">
        <v>198</v>
      </c>
      <c r="T1" s="1" t="s">
        <v>0</v>
      </c>
      <c r="U1" s="1" t="s">
        <v>1</v>
      </c>
      <c r="V1" s="1" t="s">
        <v>2</v>
      </c>
      <c r="W1" s="1" t="s">
        <v>3</v>
      </c>
      <c r="X1" s="1" t="s">
        <v>4</v>
      </c>
      <c r="Y1" s="1" t="s">
        <v>5</v>
      </c>
      <c r="Z1" s="1" t="s">
        <v>6</v>
      </c>
      <c r="AA1" s="1" t="s">
        <v>199</v>
      </c>
      <c r="AC1" s="1" t="s">
        <v>0</v>
      </c>
      <c r="AD1" s="1" t="s">
        <v>1</v>
      </c>
      <c r="AE1" s="1" t="s">
        <v>2</v>
      </c>
      <c r="AF1" s="1" t="s">
        <v>3</v>
      </c>
      <c r="AG1" s="1" t="s">
        <v>4</v>
      </c>
      <c r="AH1" s="1" t="s">
        <v>5</v>
      </c>
      <c r="AI1" s="1" t="s">
        <v>6</v>
      </c>
      <c r="AJ1" s="1" t="s">
        <v>200</v>
      </c>
      <c r="AL1" s="1" t="s">
        <v>0</v>
      </c>
      <c r="AM1" s="1" t="s">
        <v>1</v>
      </c>
      <c r="AN1" s="1" t="s">
        <v>2</v>
      </c>
      <c r="AO1" s="1" t="s">
        <v>3</v>
      </c>
      <c r="AP1" s="1" t="s">
        <v>4</v>
      </c>
      <c r="AQ1" s="1" t="s">
        <v>5</v>
      </c>
      <c r="AR1" s="1" t="s">
        <v>6</v>
      </c>
      <c r="AS1" s="1" t="s">
        <v>201</v>
      </c>
      <c r="AU1" s="1" t="s">
        <v>0</v>
      </c>
      <c r="AV1" s="1" t="s">
        <v>1</v>
      </c>
      <c r="AW1" s="1" t="s">
        <v>2</v>
      </c>
      <c r="AX1" s="1" t="s">
        <v>3</v>
      </c>
      <c r="AY1" s="1" t="s">
        <v>4</v>
      </c>
      <c r="AZ1" s="1" t="s">
        <v>5</v>
      </c>
      <c r="BA1" s="1" t="s">
        <v>6</v>
      </c>
      <c r="BB1" s="1" t="s">
        <v>202</v>
      </c>
      <c r="BD1" s="1" t="s">
        <v>0</v>
      </c>
      <c r="BE1" s="1" t="s">
        <v>1</v>
      </c>
      <c r="BF1" s="1" t="s">
        <v>2</v>
      </c>
      <c r="BG1" s="1" t="s">
        <v>3</v>
      </c>
      <c r="BH1" s="1" t="s">
        <v>4</v>
      </c>
      <c r="BI1" s="1" t="s">
        <v>5</v>
      </c>
      <c r="BJ1" s="1" t="s">
        <v>6</v>
      </c>
      <c r="BK1" s="1" t="s">
        <v>203</v>
      </c>
      <c r="BM1" s="1" t="s">
        <v>0</v>
      </c>
      <c r="BN1" s="1" t="s">
        <v>1</v>
      </c>
      <c r="BO1" s="1" t="s">
        <v>2</v>
      </c>
      <c r="BP1" s="1" t="s">
        <v>3</v>
      </c>
      <c r="BQ1" s="1" t="s">
        <v>4</v>
      </c>
      <c r="BR1" s="1" t="s">
        <v>5</v>
      </c>
      <c r="BS1" s="1" t="s">
        <v>6</v>
      </c>
      <c r="BT1" s="1" t="s">
        <v>204</v>
      </c>
      <c r="BV1" s="1" t="s">
        <v>0</v>
      </c>
      <c r="BW1" s="1" t="s">
        <v>1</v>
      </c>
      <c r="BX1" s="1" t="s">
        <v>2</v>
      </c>
      <c r="BY1" s="1" t="s">
        <v>3</v>
      </c>
      <c r="BZ1" s="1" t="s">
        <v>4</v>
      </c>
      <c r="CA1" s="1" t="s">
        <v>5</v>
      </c>
      <c r="CB1" s="1" t="s">
        <v>6</v>
      </c>
      <c r="CC1" s="1" t="s">
        <v>205</v>
      </c>
    </row>
    <row r="2" spans="1:82">
      <c r="A2" s="4" t="s">
        <v>7</v>
      </c>
      <c r="B2" s="5">
        <v>9414</v>
      </c>
      <c r="C2" s="5"/>
      <c r="D2" s="5"/>
      <c r="E2" s="5"/>
      <c r="F2" s="5"/>
      <c r="G2" s="5"/>
      <c r="H2" s="5"/>
      <c r="I2" s="5">
        <f>SUM(B2:H2)</f>
        <v>9414</v>
      </c>
      <c r="J2" s="6"/>
      <c r="K2" s="5">
        <v>9414</v>
      </c>
      <c r="L2" s="5"/>
      <c r="M2" s="5"/>
      <c r="N2" s="5"/>
      <c r="O2" s="5"/>
      <c r="P2" s="5"/>
      <c r="Q2" s="5"/>
      <c r="R2" s="5">
        <f>SUM(K2:Q2)</f>
        <v>9414</v>
      </c>
      <c r="T2" s="5">
        <v>9414</v>
      </c>
      <c r="U2" s="5"/>
      <c r="V2" s="5"/>
      <c r="W2" s="5"/>
      <c r="X2" s="5"/>
      <c r="Y2" s="5"/>
      <c r="Z2" s="5"/>
      <c r="AA2" s="5">
        <f>SUM(T2:Z2)</f>
        <v>9414</v>
      </c>
      <c r="AC2" s="5">
        <v>9414</v>
      </c>
      <c r="AD2" s="5"/>
      <c r="AE2" s="5"/>
      <c r="AF2" s="5"/>
      <c r="AG2" s="5"/>
      <c r="AH2" s="5"/>
      <c r="AI2" s="5"/>
      <c r="AJ2" s="5">
        <f>SUM(AC2:AI2)</f>
        <v>9414</v>
      </c>
      <c r="AL2" s="5">
        <v>9414</v>
      </c>
      <c r="AM2" s="5"/>
      <c r="AN2" s="5"/>
      <c r="AO2" s="5"/>
      <c r="AP2" s="5"/>
      <c r="AQ2" s="5"/>
      <c r="AR2" s="5"/>
      <c r="AS2" s="5">
        <f>SUM(AL2:AR2)</f>
        <v>9414</v>
      </c>
      <c r="AU2" s="5">
        <v>9414</v>
      </c>
      <c r="AV2" s="5"/>
      <c r="AW2" s="5"/>
      <c r="AX2" s="5"/>
      <c r="AY2" s="5"/>
      <c r="AZ2" s="5"/>
      <c r="BA2" s="5"/>
      <c r="BB2" s="5">
        <f>SUM(AU2:BA2)</f>
        <v>9414</v>
      </c>
      <c r="BD2" s="5">
        <v>9414</v>
      </c>
      <c r="BE2" s="5"/>
      <c r="BF2" s="5"/>
      <c r="BG2" s="5"/>
      <c r="BH2" s="5"/>
      <c r="BI2" s="5"/>
      <c r="BJ2" s="5"/>
      <c r="BK2" s="5">
        <f>SUM(BD2:BJ2)</f>
        <v>9414</v>
      </c>
      <c r="BM2" s="5">
        <v>9414</v>
      </c>
      <c r="BN2" s="5"/>
      <c r="BO2" s="5"/>
      <c r="BP2" s="5"/>
      <c r="BQ2" s="5"/>
      <c r="BR2" s="5"/>
      <c r="BS2" s="5"/>
      <c r="BT2" s="5">
        <f>SUM(BM2:BS2)</f>
        <v>9414</v>
      </c>
      <c r="BV2" s="5">
        <v>9414</v>
      </c>
      <c r="BW2" s="5"/>
      <c r="BX2" s="5"/>
      <c r="BY2" s="5"/>
      <c r="BZ2" s="5"/>
      <c r="CA2" s="5"/>
      <c r="CB2" s="5"/>
      <c r="CC2" s="5">
        <f>SUM(BV2:CB2)</f>
        <v>9414</v>
      </c>
    </row>
    <row r="3" spans="1:82" ht="15">
      <c r="A3" s="8" t="s">
        <v>8</v>
      </c>
      <c r="B3" s="9">
        <f t="shared" ref="B3" si="0">B4+B5+B6+B7+B8+B9+B10+B11+B12+B13+B14+B15+B16</f>
        <v>905</v>
      </c>
      <c r="C3" s="9"/>
      <c r="D3" s="9"/>
      <c r="E3" s="9"/>
      <c r="F3" s="9"/>
      <c r="G3" s="9"/>
      <c r="H3" s="9"/>
      <c r="I3" s="9">
        <f t="shared" ref="I3:I16" si="1">SUM(B3:H3)</f>
        <v>905</v>
      </c>
      <c r="J3" s="6"/>
      <c r="K3" s="9">
        <f t="shared" ref="K3" si="2">K4+K5+K6+K7+K8+K9+K10+K11+K12+K13+K14+K15+K16</f>
        <v>1022</v>
      </c>
      <c r="L3" s="9"/>
      <c r="M3" s="9"/>
      <c r="N3" s="9"/>
      <c r="O3" s="9"/>
      <c r="P3" s="9"/>
      <c r="Q3" s="9"/>
      <c r="R3" s="9">
        <f t="shared" ref="R3:R16" si="3">SUM(K3:Q3)</f>
        <v>1022</v>
      </c>
      <c r="T3" s="9">
        <f t="shared" ref="T3" si="4">T4+T5+T6+T7+T8+T9+T10+T11+T12+T13+T14+T15+T16</f>
        <v>1193</v>
      </c>
      <c r="U3" s="9"/>
      <c r="V3" s="9"/>
      <c r="W3" s="9"/>
      <c r="X3" s="9"/>
      <c r="Y3" s="9"/>
      <c r="Z3" s="9"/>
      <c r="AA3" s="9">
        <f t="shared" ref="AA3:AA16" si="5">SUM(T3:Z3)</f>
        <v>1193</v>
      </c>
      <c r="AC3" s="9">
        <f t="shared" ref="AC3" si="6">AC4+AC5+AC6+AC7+AC8+AC9+AC10+AC11+AC12+AC13+AC14+AC15+AC16</f>
        <v>2338</v>
      </c>
      <c r="AD3" s="9"/>
      <c r="AE3" s="9"/>
      <c r="AF3" s="9"/>
      <c r="AG3" s="9"/>
      <c r="AH3" s="9"/>
      <c r="AI3" s="9"/>
      <c r="AJ3" s="9">
        <f t="shared" ref="AJ3:AJ16" si="7">SUM(AC3:AI3)</f>
        <v>2338</v>
      </c>
      <c r="AL3" s="9">
        <f t="shared" ref="AL3" si="8">AL4+AL5+AL6+AL7+AL8+AL9+AL10+AL11+AL12+AL13+AL14+AL15+AL16</f>
        <v>2271</v>
      </c>
      <c r="AM3" s="9"/>
      <c r="AN3" s="9"/>
      <c r="AO3" s="9"/>
      <c r="AP3" s="9"/>
      <c r="AQ3" s="9"/>
      <c r="AR3" s="9"/>
      <c r="AS3" s="9">
        <f t="shared" ref="AS3:AS16" si="9">SUM(AL3:AR3)</f>
        <v>2271</v>
      </c>
      <c r="AU3" s="9">
        <f t="shared" ref="AU3" si="10">AU4+AU5+AU6+AU7+AU8+AU9+AU10+AU11+AU12+AU13+AU14+AU15+AU16</f>
        <v>135</v>
      </c>
      <c r="AV3" s="9"/>
      <c r="AW3" s="9"/>
      <c r="AX3" s="9"/>
      <c r="AY3" s="9"/>
      <c r="AZ3" s="9"/>
      <c r="BA3" s="9"/>
      <c r="BB3" s="9">
        <f t="shared" ref="BB3:BB16" si="11">SUM(AU3:BA3)</f>
        <v>135</v>
      </c>
      <c r="BD3" s="9">
        <f t="shared" ref="BD3" si="12">BD4+BD5+BD6+BD7+BD8+BD9+BD10+BD11+BD12+BD13+BD14+BD15+BD16</f>
        <v>266</v>
      </c>
      <c r="BE3" s="9"/>
      <c r="BF3" s="9"/>
      <c r="BG3" s="9"/>
      <c r="BH3" s="9"/>
      <c r="BI3" s="9"/>
      <c r="BJ3" s="9"/>
      <c r="BK3" s="9">
        <f t="shared" ref="BK3:BK16" si="13">SUM(BD3:BJ3)</f>
        <v>266</v>
      </c>
      <c r="BM3" s="9">
        <f t="shared" ref="BM3" si="14">BM4+BM5+BM6+BM7+BM8+BM9+BM10+BM11+BM12+BM13+BM14+BM15+BM16</f>
        <v>0</v>
      </c>
      <c r="BN3" s="9"/>
      <c r="BO3" s="9"/>
      <c r="BP3" s="9"/>
      <c r="BQ3" s="9"/>
      <c r="BR3" s="9"/>
      <c r="BS3" s="9"/>
      <c r="BT3" s="9">
        <f t="shared" ref="BT3:BT16" si="15">SUM(BM3:BS3)</f>
        <v>0</v>
      </c>
      <c r="BV3" s="9">
        <f t="shared" ref="BV3" si="16">BV4+BV5+BV6+BV7+BV8+BV9+BV10+BV11+BV12+BV13+BV14+BV15+BV16</f>
        <v>8130</v>
      </c>
      <c r="BW3" s="9"/>
      <c r="BX3" s="9"/>
      <c r="BY3" s="9"/>
      <c r="BZ3" s="9"/>
      <c r="CA3" s="9"/>
      <c r="CB3" s="9"/>
      <c r="CC3" s="9">
        <f t="shared" ref="CC3:CC16" si="17">SUM(BV3:CB3)</f>
        <v>8130</v>
      </c>
    </row>
    <row r="4" spans="1:82">
      <c r="A4" s="10" t="s">
        <v>9</v>
      </c>
      <c r="B4" s="5">
        <f>25*6</f>
        <v>150</v>
      </c>
      <c r="C4" s="11"/>
      <c r="D4" s="11"/>
      <c r="E4" s="11"/>
      <c r="F4" s="11"/>
      <c r="G4" s="11"/>
      <c r="H4" s="11"/>
      <c r="I4" s="11">
        <f t="shared" si="1"/>
        <v>150</v>
      </c>
      <c r="J4" s="12">
        <v>6</v>
      </c>
      <c r="K4" s="5">
        <f>25*4</f>
        <v>100</v>
      </c>
      <c r="L4" s="11"/>
      <c r="M4" s="11"/>
      <c r="N4" s="11"/>
      <c r="O4" s="11"/>
      <c r="P4" s="11"/>
      <c r="Q4" s="11"/>
      <c r="R4" s="11">
        <f t="shared" si="3"/>
        <v>100</v>
      </c>
      <c r="S4" s="12">
        <v>4</v>
      </c>
      <c r="T4" s="5">
        <f>25*5</f>
        <v>125</v>
      </c>
      <c r="U4" s="11"/>
      <c r="V4" s="11"/>
      <c r="W4" s="11"/>
      <c r="X4" s="11"/>
      <c r="Y4" s="11"/>
      <c r="Z4" s="11"/>
      <c r="AA4" s="11">
        <f t="shared" si="5"/>
        <v>125</v>
      </c>
      <c r="AB4" s="141">
        <v>5</v>
      </c>
      <c r="AC4" s="5">
        <v>122</v>
      </c>
      <c r="AD4" s="11"/>
      <c r="AE4" s="11"/>
      <c r="AF4" s="11"/>
      <c r="AG4" s="11"/>
      <c r="AH4" s="11"/>
      <c r="AI4" s="11"/>
      <c r="AJ4" s="11">
        <f t="shared" si="7"/>
        <v>122</v>
      </c>
      <c r="AK4" s="141">
        <v>5</v>
      </c>
      <c r="AL4" s="5">
        <f>25*5</f>
        <v>125</v>
      </c>
      <c r="AM4" s="11"/>
      <c r="AN4" s="11"/>
      <c r="AO4" s="11"/>
      <c r="AP4" s="11"/>
      <c r="AQ4" s="11"/>
      <c r="AR4" s="11"/>
      <c r="AS4" s="11">
        <f t="shared" si="9"/>
        <v>125</v>
      </c>
      <c r="AT4" s="141">
        <v>5</v>
      </c>
      <c r="AU4" s="5">
        <v>0</v>
      </c>
      <c r="AV4" s="11"/>
      <c r="AW4" s="11"/>
      <c r="AX4" s="11"/>
      <c r="AY4" s="11"/>
      <c r="AZ4" s="11"/>
      <c r="BA4" s="11"/>
      <c r="BB4" s="11">
        <f t="shared" si="11"/>
        <v>0</v>
      </c>
      <c r="BD4" s="5">
        <v>73</v>
      </c>
      <c r="BE4" s="11"/>
      <c r="BF4" s="11"/>
      <c r="BG4" s="11"/>
      <c r="BH4" s="11"/>
      <c r="BI4" s="11"/>
      <c r="BJ4" s="11"/>
      <c r="BK4" s="11">
        <f t="shared" si="13"/>
        <v>73</v>
      </c>
      <c r="BL4" s="12">
        <v>3</v>
      </c>
      <c r="BM4" s="5">
        <v>0</v>
      </c>
      <c r="BN4" s="11"/>
      <c r="BO4" s="11"/>
      <c r="BP4" s="11"/>
      <c r="BQ4" s="11"/>
      <c r="BR4" s="11"/>
      <c r="BS4" s="11"/>
      <c r="BT4" s="11">
        <f t="shared" si="15"/>
        <v>0</v>
      </c>
      <c r="BV4" s="5">
        <f>B4+K4+T4+AC4+AL4+AU4+BD4+BM4</f>
        <v>695</v>
      </c>
      <c r="BW4" s="5">
        <f t="shared" ref="BW4:CA16" si="18">C4+L4+U4+AD4+AM4+AV4+BE4+BN4</f>
        <v>0</v>
      </c>
      <c r="BX4" s="5">
        <f t="shared" si="18"/>
        <v>0</v>
      </c>
      <c r="BY4" s="5">
        <f t="shared" si="18"/>
        <v>0</v>
      </c>
      <c r="BZ4" s="5">
        <f t="shared" si="18"/>
        <v>0</v>
      </c>
      <c r="CA4" s="5">
        <f t="shared" si="18"/>
        <v>0</v>
      </c>
      <c r="CB4" s="11"/>
      <c r="CC4" s="11">
        <f t="shared" si="17"/>
        <v>695</v>
      </c>
      <c r="CD4" s="12">
        <f>J4+S4+AB4+AK4+AT4+BC4+BL4+BU4</f>
        <v>28</v>
      </c>
    </row>
    <row r="5" spans="1:82">
      <c r="A5" s="8" t="s">
        <v>10</v>
      </c>
      <c r="B5" s="5">
        <f>26*6-3</f>
        <v>153</v>
      </c>
      <c r="C5" s="11"/>
      <c r="D5" s="11"/>
      <c r="E5" s="11"/>
      <c r="F5" s="11"/>
      <c r="G5" s="11"/>
      <c r="H5" s="11"/>
      <c r="I5" s="11">
        <f t="shared" si="1"/>
        <v>153</v>
      </c>
      <c r="J5" s="12">
        <v>6</v>
      </c>
      <c r="K5" s="5">
        <f>26*4</f>
        <v>104</v>
      </c>
      <c r="L5" s="11"/>
      <c r="M5" s="11"/>
      <c r="N5" s="11"/>
      <c r="O5" s="11"/>
      <c r="P5" s="11"/>
      <c r="Q5" s="11"/>
      <c r="R5" s="11">
        <f t="shared" si="3"/>
        <v>104</v>
      </c>
      <c r="S5" s="12">
        <v>4</v>
      </c>
      <c r="T5" s="5">
        <f>26*5</f>
        <v>130</v>
      </c>
      <c r="U5" s="11"/>
      <c r="V5" s="11"/>
      <c r="W5" s="11"/>
      <c r="X5" s="11"/>
      <c r="Y5" s="11"/>
      <c r="Z5" s="11"/>
      <c r="AA5" s="11">
        <f t="shared" si="5"/>
        <v>130</v>
      </c>
      <c r="AB5" s="141">
        <v>5</v>
      </c>
      <c r="AC5" s="5">
        <v>128</v>
      </c>
      <c r="AD5" s="11"/>
      <c r="AE5" s="11"/>
      <c r="AF5" s="11"/>
      <c r="AG5" s="11"/>
      <c r="AH5" s="11"/>
      <c r="AI5" s="11"/>
      <c r="AJ5" s="11">
        <f t="shared" si="7"/>
        <v>128</v>
      </c>
      <c r="AK5" s="141">
        <v>5</v>
      </c>
      <c r="AL5" s="5">
        <f>25*5</f>
        <v>125</v>
      </c>
      <c r="AM5" s="11"/>
      <c r="AN5" s="11"/>
      <c r="AO5" s="11"/>
      <c r="AP5" s="11"/>
      <c r="AQ5" s="11"/>
      <c r="AR5" s="11"/>
      <c r="AS5" s="11">
        <f t="shared" si="9"/>
        <v>125</v>
      </c>
      <c r="AT5" s="141">
        <v>5</v>
      </c>
      <c r="AU5" s="5">
        <v>0</v>
      </c>
      <c r="AV5" s="11"/>
      <c r="AW5" s="11"/>
      <c r="AX5" s="11"/>
      <c r="AY5" s="11"/>
      <c r="AZ5" s="11"/>
      <c r="BA5" s="11"/>
      <c r="BB5" s="11">
        <f t="shared" si="11"/>
        <v>0</v>
      </c>
      <c r="BD5" s="5">
        <v>72</v>
      </c>
      <c r="BE5" s="11"/>
      <c r="BF5" s="11"/>
      <c r="BG5" s="11"/>
      <c r="BH5" s="11"/>
      <c r="BI5" s="11"/>
      <c r="BJ5" s="11"/>
      <c r="BK5" s="11">
        <f t="shared" si="13"/>
        <v>72</v>
      </c>
      <c r="BL5" s="12">
        <v>3</v>
      </c>
      <c r="BM5" s="5">
        <v>0</v>
      </c>
      <c r="BN5" s="11"/>
      <c r="BO5" s="11"/>
      <c r="BP5" s="11"/>
      <c r="BQ5" s="11"/>
      <c r="BR5" s="11"/>
      <c r="BS5" s="11"/>
      <c r="BT5" s="11">
        <f t="shared" si="15"/>
        <v>0</v>
      </c>
      <c r="BV5" s="5">
        <f t="shared" ref="BV5:BV16" si="19">B5+K5+T5+AC5+AL5+AU5+BD5+BM5</f>
        <v>712</v>
      </c>
      <c r="BW5" s="5">
        <f t="shared" si="18"/>
        <v>0</v>
      </c>
      <c r="BX5" s="5">
        <f t="shared" si="18"/>
        <v>0</v>
      </c>
      <c r="BY5" s="5">
        <f t="shared" si="18"/>
        <v>0</v>
      </c>
      <c r="BZ5" s="5">
        <f t="shared" si="18"/>
        <v>0</v>
      </c>
      <c r="CA5" s="5">
        <f t="shared" si="18"/>
        <v>0</v>
      </c>
      <c r="CB5" s="11"/>
      <c r="CC5" s="11">
        <f t="shared" si="17"/>
        <v>712</v>
      </c>
      <c r="CD5" s="12">
        <f t="shared" ref="CD5:CD16" si="20">J5+S5+AB5+AK5+AT5+BC5+BL5+BU5</f>
        <v>28</v>
      </c>
    </row>
    <row r="6" spans="1:82">
      <c r="A6" s="8" t="s">
        <v>11</v>
      </c>
      <c r="B6" s="5">
        <f>26*6</f>
        <v>156</v>
      </c>
      <c r="C6" s="11"/>
      <c r="D6" s="11"/>
      <c r="E6" s="11"/>
      <c r="F6" s="11"/>
      <c r="G6" s="11"/>
      <c r="H6" s="11"/>
      <c r="I6" s="11">
        <f t="shared" si="1"/>
        <v>156</v>
      </c>
      <c r="J6" s="12">
        <v>6</v>
      </c>
      <c r="K6" s="5">
        <f>27*4</f>
        <v>108</v>
      </c>
      <c r="L6" s="11"/>
      <c r="M6" s="11"/>
      <c r="N6" s="11"/>
      <c r="O6" s="11"/>
      <c r="P6" s="11"/>
      <c r="Q6" s="11"/>
      <c r="R6" s="11">
        <f t="shared" si="3"/>
        <v>108</v>
      </c>
      <c r="S6" s="12">
        <v>4</v>
      </c>
      <c r="T6" s="5">
        <f>26*5</f>
        <v>130</v>
      </c>
      <c r="U6" s="11"/>
      <c r="V6" s="11"/>
      <c r="W6" s="11"/>
      <c r="X6" s="11"/>
      <c r="Y6" s="11"/>
      <c r="Z6" s="11"/>
      <c r="AA6" s="11">
        <f t="shared" si="5"/>
        <v>130</v>
      </c>
      <c r="AB6" s="141">
        <v>5</v>
      </c>
      <c r="AC6" s="5">
        <v>132</v>
      </c>
      <c r="AD6" s="11"/>
      <c r="AE6" s="11"/>
      <c r="AF6" s="11"/>
      <c r="AG6" s="11"/>
      <c r="AH6" s="11"/>
      <c r="AI6" s="11"/>
      <c r="AJ6" s="11">
        <f t="shared" si="7"/>
        <v>132</v>
      </c>
      <c r="AK6" s="141">
        <v>5</v>
      </c>
      <c r="AL6" s="5">
        <f>26*5</f>
        <v>130</v>
      </c>
      <c r="AM6" s="11"/>
      <c r="AN6" s="11"/>
      <c r="AO6" s="11"/>
      <c r="AP6" s="11"/>
      <c r="AQ6" s="11"/>
      <c r="AR6" s="11"/>
      <c r="AS6" s="11">
        <f t="shared" si="9"/>
        <v>130</v>
      </c>
      <c r="AT6" s="141">
        <v>5</v>
      </c>
      <c r="AU6" s="5">
        <v>0</v>
      </c>
      <c r="AV6" s="11"/>
      <c r="AW6" s="11"/>
      <c r="AX6" s="11"/>
      <c r="AY6" s="11"/>
      <c r="AZ6" s="11"/>
      <c r="BA6" s="11"/>
      <c r="BB6" s="11">
        <f t="shared" si="11"/>
        <v>0</v>
      </c>
      <c r="BD6" s="5">
        <v>48</v>
      </c>
      <c r="BE6" s="11"/>
      <c r="BF6" s="11"/>
      <c r="BG6" s="11"/>
      <c r="BH6" s="11"/>
      <c r="BI6" s="11"/>
      <c r="BJ6" s="11"/>
      <c r="BK6" s="11">
        <f t="shared" si="13"/>
        <v>48</v>
      </c>
      <c r="BL6" s="12">
        <v>2</v>
      </c>
      <c r="BM6" s="5">
        <v>0</v>
      </c>
      <c r="BN6" s="11"/>
      <c r="BO6" s="11"/>
      <c r="BP6" s="11"/>
      <c r="BQ6" s="11"/>
      <c r="BR6" s="11"/>
      <c r="BS6" s="11"/>
      <c r="BT6" s="11">
        <f t="shared" si="15"/>
        <v>0</v>
      </c>
      <c r="BV6" s="5">
        <f t="shared" si="19"/>
        <v>704</v>
      </c>
      <c r="BW6" s="5">
        <f t="shared" si="18"/>
        <v>0</v>
      </c>
      <c r="BX6" s="5">
        <f t="shared" si="18"/>
        <v>0</v>
      </c>
      <c r="BY6" s="5">
        <f t="shared" si="18"/>
        <v>0</v>
      </c>
      <c r="BZ6" s="5">
        <f t="shared" si="18"/>
        <v>0</v>
      </c>
      <c r="CA6" s="5">
        <f t="shared" si="18"/>
        <v>0</v>
      </c>
      <c r="CB6" s="11"/>
      <c r="CC6" s="11">
        <f t="shared" si="17"/>
        <v>704</v>
      </c>
      <c r="CD6" s="12">
        <f t="shared" si="20"/>
        <v>27</v>
      </c>
    </row>
    <row r="7" spans="1:82">
      <c r="A7" s="13" t="s">
        <v>12</v>
      </c>
      <c r="B7" s="5">
        <f>26*6-2</f>
        <v>154</v>
      </c>
      <c r="C7" s="11"/>
      <c r="D7" s="11"/>
      <c r="E7" s="11"/>
      <c r="F7" s="11"/>
      <c r="G7" s="11"/>
      <c r="H7" s="11"/>
      <c r="I7" s="11">
        <f t="shared" si="1"/>
        <v>154</v>
      </c>
      <c r="J7" s="12">
        <v>6</v>
      </c>
      <c r="K7" s="5">
        <v>111</v>
      </c>
      <c r="L7" s="11"/>
      <c r="M7" s="11"/>
      <c r="N7" s="11"/>
      <c r="O7" s="11"/>
      <c r="P7" s="11"/>
      <c r="Q7" s="11"/>
      <c r="R7" s="11">
        <f t="shared" si="3"/>
        <v>111</v>
      </c>
      <c r="S7" s="12">
        <v>4</v>
      </c>
      <c r="T7" s="5">
        <v>129</v>
      </c>
      <c r="U7" s="11"/>
      <c r="V7" s="11"/>
      <c r="W7" s="11"/>
      <c r="X7" s="11"/>
      <c r="Y7" s="11"/>
      <c r="Z7" s="11"/>
      <c r="AA7" s="11">
        <f t="shared" si="5"/>
        <v>129</v>
      </c>
      <c r="AB7" s="141">
        <v>5</v>
      </c>
      <c r="AC7" s="5">
        <v>131</v>
      </c>
      <c r="AD7" s="11"/>
      <c r="AE7" s="11"/>
      <c r="AF7" s="11"/>
      <c r="AG7" s="11"/>
      <c r="AH7" s="11"/>
      <c r="AI7" s="11"/>
      <c r="AJ7" s="11">
        <f t="shared" si="7"/>
        <v>131</v>
      </c>
      <c r="AK7" s="141">
        <v>5</v>
      </c>
      <c r="AL7" s="5">
        <f>27*5</f>
        <v>135</v>
      </c>
      <c r="AM7" s="11"/>
      <c r="AN7" s="11"/>
      <c r="AO7" s="11"/>
      <c r="AP7" s="11"/>
      <c r="AQ7" s="11"/>
      <c r="AR7" s="11"/>
      <c r="AS7" s="11">
        <f t="shared" si="9"/>
        <v>135</v>
      </c>
      <c r="AT7" s="141">
        <v>5</v>
      </c>
      <c r="AU7" s="5">
        <v>0</v>
      </c>
      <c r="AV7" s="11"/>
      <c r="AW7" s="11"/>
      <c r="AX7" s="11"/>
      <c r="AY7" s="11"/>
      <c r="AZ7" s="11"/>
      <c r="BA7" s="11"/>
      <c r="BB7" s="11">
        <f t="shared" si="11"/>
        <v>0</v>
      </c>
      <c r="BD7" s="5">
        <v>48</v>
      </c>
      <c r="BE7" s="11"/>
      <c r="BF7" s="11"/>
      <c r="BG7" s="11"/>
      <c r="BH7" s="11"/>
      <c r="BI7" s="11"/>
      <c r="BJ7" s="11"/>
      <c r="BK7" s="11">
        <f t="shared" si="13"/>
        <v>48</v>
      </c>
      <c r="BL7" s="12">
        <v>2</v>
      </c>
      <c r="BM7" s="5">
        <v>0</v>
      </c>
      <c r="BN7" s="11"/>
      <c r="BO7" s="11"/>
      <c r="BP7" s="11"/>
      <c r="BQ7" s="11"/>
      <c r="BR7" s="11"/>
      <c r="BS7" s="11"/>
      <c r="BT7" s="11">
        <f t="shared" si="15"/>
        <v>0</v>
      </c>
      <c r="BV7" s="5">
        <f t="shared" si="19"/>
        <v>708</v>
      </c>
      <c r="BW7" s="5">
        <f t="shared" si="18"/>
        <v>0</v>
      </c>
      <c r="BX7" s="5">
        <f t="shared" si="18"/>
        <v>0</v>
      </c>
      <c r="BY7" s="5">
        <f t="shared" si="18"/>
        <v>0</v>
      </c>
      <c r="BZ7" s="5">
        <f t="shared" si="18"/>
        <v>0</v>
      </c>
      <c r="CA7" s="5">
        <f t="shared" si="18"/>
        <v>0</v>
      </c>
      <c r="CB7" s="11"/>
      <c r="CC7" s="11">
        <f t="shared" si="17"/>
        <v>708</v>
      </c>
      <c r="CD7" s="12">
        <f t="shared" si="20"/>
        <v>27</v>
      </c>
    </row>
    <row r="8" spans="1:82">
      <c r="A8" s="13" t="s">
        <v>13</v>
      </c>
      <c r="B8" s="5">
        <f>27*5-2</f>
        <v>133</v>
      </c>
      <c r="C8" s="11"/>
      <c r="D8" s="11"/>
      <c r="E8" s="11"/>
      <c r="F8" s="11"/>
      <c r="G8" s="11"/>
      <c r="H8" s="11"/>
      <c r="I8" s="11">
        <f t="shared" si="1"/>
        <v>133</v>
      </c>
      <c r="J8" s="12">
        <v>5</v>
      </c>
      <c r="K8" s="5">
        <v>112</v>
      </c>
      <c r="L8" s="11"/>
      <c r="M8" s="11"/>
      <c r="N8" s="11"/>
      <c r="O8" s="11"/>
      <c r="P8" s="11"/>
      <c r="Q8" s="11"/>
      <c r="R8" s="11">
        <f t="shared" si="3"/>
        <v>112</v>
      </c>
      <c r="S8" s="12">
        <v>4</v>
      </c>
      <c r="T8" s="5">
        <v>133</v>
      </c>
      <c r="U8" s="11"/>
      <c r="V8" s="11"/>
      <c r="W8" s="11"/>
      <c r="X8" s="11"/>
      <c r="Y8" s="11"/>
      <c r="Z8" s="11"/>
      <c r="AA8" s="11">
        <f t="shared" si="5"/>
        <v>133</v>
      </c>
      <c r="AB8" s="141">
        <v>5</v>
      </c>
      <c r="AC8" s="5">
        <v>135</v>
      </c>
      <c r="AD8" s="11"/>
      <c r="AE8" s="11"/>
      <c r="AF8" s="11"/>
      <c r="AG8" s="11"/>
      <c r="AH8" s="11"/>
      <c r="AI8" s="11"/>
      <c r="AJ8" s="11">
        <f t="shared" si="7"/>
        <v>135</v>
      </c>
      <c r="AK8" s="141">
        <v>5</v>
      </c>
      <c r="AL8" s="5">
        <v>135</v>
      </c>
      <c r="AM8" s="11"/>
      <c r="AN8" s="11"/>
      <c r="AO8" s="11"/>
      <c r="AP8" s="11"/>
      <c r="AQ8" s="11"/>
      <c r="AR8" s="11"/>
      <c r="AS8" s="11">
        <f t="shared" si="9"/>
        <v>135</v>
      </c>
      <c r="AT8" s="141">
        <v>5</v>
      </c>
      <c r="AU8" s="5">
        <v>0</v>
      </c>
      <c r="AV8" s="11"/>
      <c r="AW8" s="11"/>
      <c r="AX8" s="11"/>
      <c r="AY8" s="11"/>
      <c r="AZ8" s="11"/>
      <c r="BA8" s="11"/>
      <c r="BB8" s="11">
        <f t="shared" si="11"/>
        <v>0</v>
      </c>
      <c r="BD8" s="5">
        <v>25</v>
      </c>
      <c r="BE8" s="11"/>
      <c r="BF8" s="11"/>
      <c r="BG8" s="11"/>
      <c r="BH8" s="11"/>
      <c r="BI8" s="11"/>
      <c r="BJ8" s="11"/>
      <c r="BK8" s="11">
        <f t="shared" si="13"/>
        <v>25</v>
      </c>
      <c r="BL8" s="12">
        <v>1</v>
      </c>
      <c r="BM8" s="5">
        <v>0</v>
      </c>
      <c r="BN8" s="11"/>
      <c r="BO8" s="11"/>
      <c r="BP8" s="11"/>
      <c r="BQ8" s="11"/>
      <c r="BR8" s="11"/>
      <c r="BS8" s="11"/>
      <c r="BT8" s="11">
        <f t="shared" si="15"/>
        <v>0</v>
      </c>
      <c r="BV8" s="5">
        <f t="shared" si="19"/>
        <v>673</v>
      </c>
      <c r="BW8" s="5">
        <f t="shared" si="18"/>
        <v>0</v>
      </c>
      <c r="BX8" s="5">
        <f t="shared" si="18"/>
        <v>0</v>
      </c>
      <c r="BY8" s="5">
        <f t="shared" si="18"/>
        <v>0</v>
      </c>
      <c r="BZ8" s="5">
        <f t="shared" si="18"/>
        <v>0</v>
      </c>
      <c r="CA8" s="5">
        <f t="shared" si="18"/>
        <v>0</v>
      </c>
      <c r="CB8" s="11"/>
      <c r="CC8" s="11">
        <f t="shared" si="17"/>
        <v>673</v>
      </c>
      <c r="CD8" s="12">
        <f t="shared" si="20"/>
        <v>25</v>
      </c>
    </row>
    <row r="9" spans="1:82">
      <c r="A9" s="13" t="s">
        <v>14</v>
      </c>
      <c r="B9" s="5">
        <f>27*6-3</f>
        <v>159</v>
      </c>
      <c r="C9" s="11"/>
      <c r="D9" s="11"/>
      <c r="E9" s="11"/>
      <c r="F9" s="11"/>
      <c r="G9" s="11"/>
      <c r="H9" s="11"/>
      <c r="I9" s="11">
        <f t="shared" si="1"/>
        <v>159</v>
      </c>
      <c r="J9" s="12">
        <v>6</v>
      </c>
      <c r="K9" s="5">
        <v>122</v>
      </c>
      <c r="L9" s="11"/>
      <c r="M9" s="11"/>
      <c r="N9" s="11"/>
      <c r="O9" s="11"/>
      <c r="P9" s="11"/>
      <c r="Q9" s="11"/>
      <c r="R9" s="11">
        <f t="shared" si="3"/>
        <v>122</v>
      </c>
      <c r="S9" s="12">
        <v>4</v>
      </c>
      <c r="T9" s="5">
        <v>151</v>
      </c>
      <c r="U9" s="11"/>
      <c r="V9" s="11"/>
      <c r="W9" s="11"/>
      <c r="X9" s="11"/>
      <c r="Y9" s="11"/>
      <c r="Z9" s="11"/>
      <c r="AA9" s="11">
        <f t="shared" si="5"/>
        <v>151</v>
      </c>
      <c r="AB9" s="141">
        <v>6</v>
      </c>
      <c r="AC9" s="5">
        <v>138</v>
      </c>
      <c r="AD9" s="11"/>
      <c r="AE9" s="11"/>
      <c r="AF9" s="11"/>
      <c r="AG9" s="11"/>
      <c r="AH9" s="11"/>
      <c r="AI9" s="11"/>
      <c r="AJ9" s="11">
        <f t="shared" si="7"/>
        <v>138</v>
      </c>
      <c r="AK9" s="141">
        <v>5</v>
      </c>
      <c r="AL9" s="5">
        <v>155</v>
      </c>
      <c r="AM9" s="11"/>
      <c r="AN9" s="11"/>
      <c r="AO9" s="11"/>
      <c r="AP9" s="11"/>
      <c r="AQ9" s="11"/>
      <c r="AR9" s="11"/>
      <c r="AS9" s="11">
        <f t="shared" si="9"/>
        <v>155</v>
      </c>
      <c r="AT9" s="141">
        <v>6</v>
      </c>
      <c r="AU9" s="5">
        <v>0</v>
      </c>
      <c r="AV9" s="11"/>
      <c r="AW9" s="11"/>
      <c r="AX9" s="11"/>
      <c r="AY9" s="11"/>
      <c r="AZ9" s="11"/>
      <c r="BA9" s="11"/>
      <c r="BB9" s="11">
        <f t="shared" si="11"/>
        <v>0</v>
      </c>
      <c r="BD9" s="5">
        <v>0</v>
      </c>
      <c r="BE9" s="11"/>
      <c r="BF9" s="11"/>
      <c r="BG9" s="11"/>
      <c r="BH9" s="11"/>
      <c r="BI9" s="11"/>
      <c r="BJ9" s="11"/>
      <c r="BK9" s="11">
        <f t="shared" si="13"/>
        <v>0</v>
      </c>
      <c r="BL9" s="12">
        <v>0</v>
      </c>
      <c r="BM9" s="5">
        <v>0</v>
      </c>
      <c r="BN9" s="11"/>
      <c r="BO9" s="11"/>
      <c r="BP9" s="11"/>
      <c r="BQ9" s="11"/>
      <c r="BR9" s="11"/>
      <c r="BS9" s="11"/>
      <c r="BT9" s="11">
        <f t="shared" si="15"/>
        <v>0</v>
      </c>
      <c r="BV9" s="5">
        <f t="shared" si="19"/>
        <v>725</v>
      </c>
      <c r="BW9" s="5">
        <f t="shared" si="18"/>
        <v>0</v>
      </c>
      <c r="BX9" s="5">
        <f t="shared" si="18"/>
        <v>0</v>
      </c>
      <c r="BY9" s="5">
        <f t="shared" si="18"/>
        <v>0</v>
      </c>
      <c r="BZ9" s="5">
        <f t="shared" si="18"/>
        <v>0</v>
      </c>
      <c r="CA9" s="5">
        <f t="shared" si="18"/>
        <v>0</v>
      </c>
      <c r="CB9" s="11"/>
      <c r="CC9" s="11">
        <f t="shared" si="17"/>
        <v>725</v>
      </c>
      <c r="CD9" s="12">
        <f t="shared" si="20"/>
        <v>27</v>
      </c>
    </row>
    <row r="10" spans="1:82">
      <c r="A10" s="13" t="s">
        <v>15</v>
      </c>
      <c r="B10" s="5">
        <v>0</v>
      </c>
      <c r="C10" s="5"/>
      <c r="D10" s="5"/>
      <c r="E10" s="5"/>
      <c r="F10" s="5"/>
      <c r="G10" s="5"/>
      <c r="H10" s="5"/>
      <c r="I10" s="11">
        <f t="shared" si="1"/>
        <v>0</v>
      </c>
      <c r="J10" s="12"/>
      <c r="K10" s="5">
        <v>123</v>
      </c>
      <c r="L10" s="5"/>
      <c r="M10" s="5"/>
      <c r="N10" s="5"/>
      <c r="O10" s="5"/>
      <c r="P10" s="5"/>
      <c r="Q10" s="5"/>
      <c r="R10" s="11">
        <f t="shared" si="3"/>
        <v>123</v>
      </c>
      <c r="S10" s="12">
        <v>4</v>
      </c>
      <c r="T10" s="5">
        <v>142</v>
      </c>
      <c r="U10" s="5"/>
      <c r="V10" s="5"/>
      <c r="W10" s="5"/>
      <c r="X10" s="5"/>
      <c r="Y10" s="5"/>
      <c r="Z10" s="5"/>
      <c r="AA10" s="11">
        <f t="shared" si="5"/>
        <v>142</v>
      </c>
      <c r="AB10" s="141">
        <v>5</v>
      </c>
      <c r="AC10" s="5">
        <v>245</v>
      </c>
      <c r="AD10" s="5"/>
      <c r="AE10" s="5"/>
      <c r="AF10" s="5"/>
      <c r="AG10" s="5"/>
      <c r="AH10" s="5"/>
      <c r="AI10" s="5"/>
      <c r="AJ10" s="11">
        <f t="shared" si="7"/>
        <v>245</v>
      </c>
      <c r="AK10" s="141">
        <v>8</v>
      </c>
      <c r="AL10" s="5">
        <v>155</v>
      </c>
      <c r="AM10" s="5"/>
      <c r="AN10" s="5"/>
      <c r="AO10" s="5"/>
      <c r="AP10" s="5"/>
      <c r="AQ10" s="5"/>
      <c r="AR10" s="5"/>
      <c r="AS10" s="11">
        <f t="shared" si="9"/>
        <v>155</v>
      </c>
      <c r="AT10" s="141">
        <v>5</v>
      </c>
      <c r="AU10" s="5">
        <v>24</v>
      </c>
      <c r="AV10" s="5"/>
      <c r="AW10" s="5"/>
      <c r="AX10" s="5"/>
      <c r="AY10" s="5"/>
      <c r="AZ10" s="5"/>
      <c r="BA10" s="5"/>
      <c r="BB10" s="11">
        <f t="shared" si="11"/>
        <v>24</v>
      </c>
      <c r="BD10" s="5">
        <v>0</v>
      </c>
      <c r="BE10" s="5"/>
      <c r="BF10" s="5"/>
      <c r="BG10" s="5"/>
      <c r="BH10" s="5"/>
      <c r="BI10" s="5"/>
      <c r="BJ10" s="5"/>
      <c r="BK10" s="11">
        <f t="shared" si="13"/>
        <v>0</v>
      </c>
      <c r="BL10" s="12">
        <v>0</v>
      </c>
      <c r="BM10" s="5">
        <v>0</v>
      </c>
      <c r="BN10" s="5"/>
      <c r="BO10" s="5"/>
      <c r="BP10" s="5"/>
      <c r="BQ10" s="5"/>
      <c r="BR10" s="5"/>
      <c r="BS10" s="5"/>
      <c r="BT10" s="11">
        <f t="shared" si="15"/>
        <v>0</v>
      </c>
      <c r="BV10" s="5">
        <f t="shared" si="19"/>
        <v>689</v>
      </c>
      <c r="BW10" s="5">
        <f t="shared" si="18"/>
        <v>0</v>
      </c>
      <c r="BX10" s="5">
        <f t="shared" si="18"/>
        <v>0</v>
      </c>
      <c r="BY10" s="5">
        <f t="shared" si="18"/>
        <v>0</v>
      </c>
      <c r="BZ10" s="5">
        <f t="shared" si="18"/>
        <v>0</v>
      </c>
      <c r="CA10" s="5">
        <f t="shared" si="18"/>
        <v>0</v>
      </c>
      <c r="CB10" s="5"/>
      <c r="CC10" s="11">
        <f t="shared" si="17"/>
        <v>689</v>
      </c>
      <c r="CD10" s="12">
        <f t="shared" si="20"/>
        <v>22</v>
      </c>
    </row>
    <row r="11" spans="1:82">
      <c r="A11" s="13" t="s">
        <v>16</v>
      </c>
      <c r="B11" s="5">
        <v>0</v>
      </c>
      <c r="C11" s="5"/>
      <c r="D11" s="5"/>
      <c r="E11" s="5"/>
      <c r="F11" s="5"/>
      <c r="G11" s="5"/>
      <c r="H11" s="5"/>
      <c r="I11" s="11">
        <f t="shared" si="1"/>
        <v>0</v>
      </c>
      <c r="J11" s="12"/>
      <c r="K11" s="5">
        <v>122</v>
      </c>
      <c r="L11" s="5"/>
      <c r="M11" s="5"/>
      <c r="N11" s="5"/>
      <c r="O11" s="5"/>
      <c r="P11" s="5"/>
      <c r="Q11" s="5"/>
      <c r="R11" s="11">
        <f t="shared" si="3"/>
        <v>122</v>
      </c>
      <c r="S11" s="12">
        <v>4</v>
      </c>
      <c r="T11" s="5">
        <v>135</v>
      </c>
      <c r="U11" s="5"/>
      <c r="V11" s="5"/>
      <c r="W11" s="5"/>
      <c r="X11" s="5"/>
      <c r="Y11" s="5"/>
      <c r="Z11" s="5"/>
      <c r="AA11" s="11">
        <f t="shared" si="5"/>
        <v>135</v>
      </c>
      <c r="AB11" s="141">
        <v>5</v>
      </c>
      <c r="AC11" s="5">
        <v>242</v>
      </c>
      <c r="AD11" s="5"/>
      <c r="AE11" s="5"/>
      <c r="AF11" s="5"/>
      <c r="AG11" s="5"/>
      <c r="AH11" s="5"/>
      <c r="AI11" s="5"/>
      <c r="AJ11" s="11">
        <f t="shared" si="7"/>
        <v>242</v>
      </c>
      <c r="AK11" s="141">
        <v>8</v>
      </c>
      <c r="AL11" s="5">
        <v>183</v>
      </c>
      <c r="AM11" s="5"/>
      <c r="AN11" s="5"/>
      <c r="AO11" s="5"/>
      <c r="AP11" s="5"/>
      <c r="AQ11" s="5"/>
      <c r="AR11" s="5"/>
      <c r="AS11" s="11">
        <f t="shared" si="9"/>
        <v>183</v>
      </c>
      <c r="AT11" s="141">
        <v>6</v>
      </c>
      <c r="AU11" s="5">
        <v>24</v>
      </c>
      <c r="AV11" s="5"/>
      <c r="AW11" s="5"/>
      <c r="AX11" s="5"/>
      <c r="AY11" s="5"/>
      <c r="AZ11" s="5"/>
      <c r="BA11" s="5"/>
      <c r="BB11" s="11">
        <f t="shared" si="11"/>
        <v>24</v>
      </c>
      <c r="BD11" s="5">
        <v>0</v>
      </c>
      <c r="BE11" s="5"/>
      <c r="BF11" s="5"/>
      <c r="BG11" s="5"/>
      <c r="BH11" s="5"/>
      <c r="BI11" s="5"/>
      <c r="BJ11" s="5"/>
      <c r="BK11" s="11">
        <f t="shared" si="13"/>
        <v>0</v>
      </c>
      <c r="BL11" s="12">
        <v>0</v>
      </c>
      <c r="BM11" s="5">
        <v>0</v>
      </c>
      <c r="BN11" s="5"/>
      <c r="BO11" s="5"/>
      <c r="BP11" s="5"/>
      <c r="BQ11" s="5"/>
      <c r="BR11" s="5"/>
      <c r="BS11" s="5"/>
      <c r="BT11" s="11">
        <f t="shared" si="15"/>
        <v>0</v>
      </c>
      <c r="BV11" s="5">
        <f t="shared" si="19"/>
        <v>706</v>
      </c>
      <c r="BW11" s="5">
        <f t="shared" si="18"/>
        <v>0</v>
      </c>
      <c r="BX11" s="5">
        <f t="shared" si="18"/>
        <v>0</v>
      </c>
      <c r="BY11" s="5">
        <f t="shared" si="18"/>
        <v>0</v>
      </c>
      <c r="BZ11" s="5">
        <f t="shared" si="18"/>
        <v>0</v>
      </c>
      <c r="CA11" s="5">
        <f t="shared" si="18"/>
        <v>0</v>
      </c>
      <c r="CB11" s="5"/>
      <c r="CC11" s="11">
        <f t="shared" si="17"/>
        <v>706</v>
      </c>
      <c r="CD11" s="12">
        <f t="shared" si="20"/>
        <v>23</v>
      </c>
    </row>
    <row r="12" spans="1:82">
      <c r="A12" s="13" t="s">
        <v>17</v>
      </c>
      <c r="B12" s="5">
        <v>0</v>
      </c>
      <c r="C12" s="5"/>
      <c r="D12" s="5"/>
      <c r="E12" s="5"/>
      <c r="F12" s="5"/>
      <c r="G12" s="5"/>
      <c r="H12" s="5"/>
      <c r="I12" s="11">
        <f t="shared" si="1"/>
        <v>0</v>
      </c>
      <c r="J12" s="12"/>
      <c r="K12" s="5">
        <v>120</v>
      </c>
      <c r="L12" s="5"/>
      <c r="M12" s="5"/>
      <c r="N12" s="5"/>
      <c r="O12" s="5"/>
      <c r="P12" s="5"/>
      <c r="Q12" s="5"/>
      <c r="R12" s="11">
        <f t="shared" si="3"/>
        <v>120</v>
      </c>
      <c r="S12" s="12">
        <v>4</v>
      </c>
      <c r="T12" s="5">
        <v>118</v>
      </c>
      <c r="U12" s="5"/>
      <c r="V12" s="5"/>
      <c r="W12" s="5"/>
      <c r="X12" s="5"/>
      <c r="Y12" s="5"/>
      <c r="Z12" s="5"/>
      <c r="AA12" s="11">
        <f t="shared" si="5"/>
        <v>118</v>
      </c>
      <c r="AB12" s="141">
        <v>5</v>
      </c>
      <c r="AC12" s="5">
        <f>30*8</f>
        <v>240</v>
      </c>
      <c r="AD12" s="5"/>
      <c r="AE12" s="5"/>
      <c r="AF12" s="5"/>
      <c r="AG12" s="5"/>
      <c r="AH12" s="5"/>
      <c r="AI12" s="5"/>
      <c r="AJ12" s="11">
        <f t="shared" si="7"/>
        <v>240</v>
      </c>
      <c r="AK12" s="141">
        <v>8</v>
      </c>
      <c r="AL12" s="5">
        <v>241</v>
      </c>
      <c r="AM12" s="5"/>
      <c r="AN12" s="5"/>
      <c r="AO12" s="5"/>
      <c r="AP12" s="5"/>
      <c r="AQ12" s="5"/>
      <c r="AR12" s="5"/>
      <c r="AS12" s="11">
        <f t="shared" si="9"/>
        <v>241</v>
      </c>
      <c r="AT12" s="141">
        <v>8</v>
      </c>
      <c r="AU12" s="5">
        <v>22</v>
      </c>
      <c r="AV12" s="5"/>
      <c r="AW12" s="5"/>
      <c r="AX12" s="5"/>
      <c r="AY12" s="5"/>
      <c r="AZ12" s="5"/>
      <c r="BA12" s="5"/>
      <c r="BB12" s="11">
        <f t="shared" si="11"/>
        <v>22</v>
      </c>
      <c r="BD12" s="5">
        <v>0</v>
      </c>
      <c r="BE12" s="5"/>
      <c r="BF12" s="5"/>
      <c r="BG12" s="5"/>
      <c r="BH12" s="5"/>
      <c r="BI12" s="5"/>
      <c r="BJ12" s="5"/>
      <c r="BK12" s="11">
        <f t="shared" si="13"/>
        <v>0</v>
      </c>
      <c r="BL12" s="12">
        <v>0</v>
      </c>
      <c r="BM12" s="5">
        <v>0</v>
      </c>
      <c r="BN12" s="5"/>
      <c r="BO12" s="5"/>
      <c r="BP12" s="5"/>
      <c r="BQ12" s="5"/>
      <c r="BR12" s="5"/>
      <c r="BS12" s="5"/>
      <c r="BT12" s="11">
        <f t="shared" si="15"/>
        <v>0</v>
      </c>
      <c r="BV12" s="5">
        <f t="shared" si="19"/>
        <v>741</v>
      </c>
      <c r="BW12" s="5">
        <f t="shared" si="18"/>
        <v>0</v>
      </c>
      <c r="BX12" s="5">
        <f t="shared" si="18"/>
        <v>0</v>
      </c>
      <c r="BY12" s="5">
        <f t="shared" si="18"/>
        <v>0</v>
      </c>
      <c r="BZ12" s="5">
        <f t="shared" si="18"/>
        <v>0</v>
      </c>
      <c r="CA12" s="5">
        <f t="shared" si="18"/>
        <v>0</v>
      </c>
      <c r="CB12" s="5"/>
      <c r="CC12" s="11">
        <f t="shared" si="17"/>
        <v>741</v>
      </c>
      <c r="CD12" s="12">
        <f t="shared" si="20"/>
        <v>25</v>
      </c>
    </row>
    <row r="13" spans="1:82">
      <c r="A13" s="13" t="s">
        <v>18</v>
      </c>
      <c r="B13" s="5">
        <v>0</v>
      </c>
      <c r="C13" s="5"/>
      <c r="D13" s="5"/>
      <c r="E13" s="5"/>
      <c r="F13" s="5"/>
      <c r="G13" s="5"/>
      <c r="H13" s="5"/>
      <c r="I13" s="11">
        <f t="shared" si="1"/>
        <v>0</v>
      </c>
      <c r="K13" s="5">
        <v>0</v>
      </c>
      <c r="L13" s="5"/>
      <c r="M13" s="5"/>
      <c r="N13" s="5"/>
      <c r="O13" s="5"/>
      <c r="P13" s="5"/>
      <c r="Q13" s="5"/>
      <c r="R13" s="11">
        <f t="shared" si="3"/>
        <v>0</v>
      </c>
      <c r="S13" s="14"/>
      <c r="T13" s="5">
        <v>0</v>
      </c>
      <c r="U13" s="5"/>
      <c r="V13" s="5"/>
      <c r="W13" s="5"/>
      <c r="X13" s="5"/>
      <c r="Y13" s="5"/>
      <c r="Z13" s="5"/>
      <c r="AA13" s="11">
        <f t="shared" si="5"/>
        <v>0</v>
      </c>
      <c r="AB13" s="14"/>
      <c r="AC13" s="5">
        <v>235</v>
      </c>
      <c r="AD13" s="5"/>
      <c r="AE13" s="5"/>
      <c r="AF13" s="5"/>
      <c r="AG13" s="5"/>
      <c r="AH13" s="5"/>
      <c r="AI13" s="5"/>
      <c r="AJ13" s="11">
        <f t="shared" si="7"/>
        <v>235</v>
      </c>
      <c r="AK13" s="141">
        <v>7</v>
      </c>
      <c r="AL13" s="5">
        <v>272</v>
      </c>
      <c r="AM13" s="5"/>
      <c r="AN13" s="5"/>
      <c r="AO13" s="5"/>
      <c r="AP13" s="5"/>
      <c r="AQ13" s="5"/>
      <c r="AR13" s="5"/>
      <c r="AS13" s="11">
        <f t="shared" si="9"/>
        <v>272</v>
      </c>
      <c r="AT13" s="141">
        <v>9</v>
      </c>
      <c r="AU13" s="5">
        <v>20</v>
      </c>
      <c r="AV13" s="5"/>
      <c r="AW13" s="5"/>
      <c r="AX13" s="5"/>
      <c r="AY13" s="5"/>
      <c r="AZ13" s="5"/>
      <c r="BA13" s="5"/>
      <c r="BB13" s="11">
        <f t="shared" si="11"/>
        <v>20</v>
      </c>
      <c r="BD13" s="5">
        <v>0</v>
      </c>
      <c r="BE13" s="5"/>
      <c r="BF13" s="5"/>
      <c r="BG13" s="5"/>
      <c r="BH13" s="5"/>
      <c r="BI13" s="5"/>
      <c r="BJ13" s="5"/>
      <c r="BK13" s="11">
        <f t="shared" si="13"/>
        <v>0</v>
      </c>
      <c r="BL13" s="141">
        <v>0</v>
      </c>
      <c r="BM13" s="5">
        <v>0</v>
      </c>
      <c r="BN13" s="5"/>
      <c r="BO13" s="5"/>
      <c r="BP13" s="5"/>
      <c r="BQ13" s="5"/>
      <c r="BR13" s="5"/>
      <c r="BS13" s="5"/>
      <c r="BT13" s="11">
        <f t="shared" si="15"/>
        <v>0</v>
      </c>
      <c r="BV13" s="5">
        <f t="shared" si="19"/>
        <v>527</v>
      </c>
      <c r="BW13" s="5">
        <f t="shared" si="18"/>
        <v>0</v>
      </c>
      <c r="BX13" s="5">
        <f t="shared" si="18"/>
        <v>0</v>
      </c>
      <c r="BY13" s="5">
        <f t="shared" si="18"/>
        <v>0</v>
      </c>
      <c r="BZ13" s="5">
        <f t="shared" si="18"/>
        <v>0</v>
      </c>
      <c r="CA13" s="5">
        <f t="shared" si="18"/>
        <v>0</v>
      </c>
      <c r="CB13" s="5"/>
      <c r="CC13" s="11">
        <f t="shared" si="17"/>
        <v>527</v>
      </c>
      <c r="CD13" s="12">
        <f t="shared" si="20"/>
        <v>16</v>
      </c>
    </row>
    <row r="14" spans="1:82">
      <c r="A14" s="13" t="s">
        <v>19</v>
      </c>
      <c r="B14" s="5">
        <v>0</v>
      </c>
      <c r="C14" s="5"/>
      <c r="D14" s="5"/>
      <c r="E14" s="5"/>
      <c r="F14" s="5"/>
      <c r="G14" s="5"/>
      <c r="H14" s="5"/>
      <c r="I14" s="11">
        <f t="shared" si="1"/>
        <v>0</v>
      </c>
      <c r="K14" s="5">
        <v>0</v>
      </c>
      <c r="L14" s="5"/>
      <c r="M14" s="5"/>
      <c r="N14" s="5"/>
      <c r="O14" s="5"/>
      <c r="P14" s="5"/>
      <c r="Q14" s="5"/>
      <c r="R14" s="11">
        <f t="shared" si="3"/>
        <v>0</v>
      </c>
      <c r="S14" s="14"/>
      <c r="T14" s="5">
        <v>0</v>
      </c>
      <c r="U14" s="5"/>
      <c r="V14" s="5"/>
      <c r="W14" s="5"/>
      <c r="X14" s="5"/>
      <c r="Y14" s="5"/>
      <c r="Z14" s="5"/>
      <c r="AA14" s="11">
        <f t="shared" si="5"/>
        <v>0</v>
      </c>
      <c r="AB14" s="14"/>
      <c r="AC14" s="5">
        <v>215</v>
      </c>
      <c r="AD14" s="5"/>
      <c r="AE14" s="5"/>
      <c r="AF14" s="5"/>
      <c r="AG14" s="5"/>
      <c r="AH14" s="5"/>
      <c r="AI14" s="5"/>
      <c r="AJ14" s="11">
        <f t="shared" si="7"/>
        <v>215</v>
      </c>
      <c r="AK14" s="141">
        <v>7</v>
      </c>
      <c r="AL14" s="5">
        <v>235</v>
      </c>
      <c r="AM14" s="5"/>
      <c r="AN14" s="5"/>
      <c r="AO14" s="5"/>
      <c r="AP14" s="5"/>
      <c r="AQ14" s="5"/>
      <c r="AR14" s="5"/>
      <c r="AS14" s="11">
        <f t="shared" si="9"/>
        <v>235</v>
      </c>
      <c r="AT14" s="141">
        <v>8</v>
      </c>
      <c r="AU14" s="5">
        <v>20</v>
      </c>
      <c r="AV14" s="5"/>
      <c r="AW14" s="5"/>
      <c r="AX14" s="5"/>
      <c r="AY14" s="5"/>
      <c r="AZ14" s="5"/>
      <c r="BA14" s="5"/>
      <c r="BB14" s="11">
        <f t="shared" si="11"/>
        <v>20</v>
      </c>
      <c r="BD14" s="5">
        <v>0</v>
      </c>
      <c r="BE14" s="5"/>
      <c r="BF14" s="5"/>
      <c r="BG14" s="5"/>
      <c r="BH14" s="5"/>
      <c r="BI14" s="5"/>
      <c r="BJ14" s="5"/>
      <c r="BK14" s="11">
        <f t="shared" si="13"/>
        <v>0</v>
      </c>
      <c r="BL14" s="141">
        <v>0</v>
      </c>
      <c r="BM14" s="5">
        <v>0</v>
      </c>
      <c r="BN14" s="5"/>
      <c r="BO14" s="5"/>
      <c r="BP14" s="5"/>
      <c r="BQ14" s="5"/>
      <c r="BR14" s="5"/>
      <c r="BS14" s="5"/>
      <c r="BT14" s="11">
        <f t="shared" si="15"/>
        <v>0</v>
      </c>
      <c r="BV14" s="5">
        <f t="shared" si="19"/>
        <v>470</v>
      </c>
      <c r="BW14" s="5">
        <f t="shared" si="18"/>
        <v>0</v>
      </c>
      <c r="BX14" s="5">
        <f t="shared" si="18"/>
        <v>0</v>
      </c>
      <c r="BY14" s="5">
        <f t="shared" si="18"/>
        <v>0</v>
      </c>
      <c r="BZ14" s="5">
        <f t="shared" si="18"/>
        <v>0</v>
      </c>
      <c r="CA14" s="5">
        <f t="shared" si="18"/>
        <v>0</v>
      </c>
      <c r="CB14" s="5"/>
      <c r="CC14" s="11">
        <f t="shared" si="17"/>
        <v>470</v>
      </c>
      <c r="CD14" s="12">
        <f t="shared" si="20"/>
        <v>15</v>
      </c>
    </row>
    <row r="15" spans="1:82">
      <c r="A15" s="13" t="s">
        <v>20</v>
      </c>
      <c r="B15" s="5">
        <v>0</v>
      </c>
      <c r="C15" s="5"/>
      <c r="D15" s="5"/>
      <c r="E15" s="5"/>
      <c r="F15" s="5"/>
      <c r="G15" s="5"/>
      <c r="H15" s="5"/>
      <c r="I15" s="11">
        <f t="shared" si="1"/>
        <v>0</v>
      </c>
      <c r="K15" s="5">
        <v>0</v>
      </c>
      <c r="L15" s="5"/>
      <c r="M15" s="5"/>
      <c r="N15" s="5"/>
      <c r="O15" s="5"/>
      <c r="P15" s="5"/>
      <c r="Q15" s="5"/>
      <c r="R15" s="11">
        <f t="shared" si="3"/>
        <v>0</v>
      </c>
      <c r="S15" s="14"/>
      <c r="T15" s="5">
        <v>0</v>
      </c>
      <c r="U15" s="5"/>
      <c r="V15" s="5"/>
      <c r="W15" s="5"/>
      <c r="X15" s="5"/>
      <c r="Y15" s="5"/>
      <c r="Z15" s="5"/>
      <c r="AA15" s="11">
        <f t="shared" si="5"/>
        <v>0</v>
      </c>
      <c r="AB15" s="14"/>
      <c r="AC15" s="5">
        <v>205</v>
      </c>
      <c r="AD15" s="5"/>
      <c r="AE15" s="5"/>
      <c r="AF15" s="5"/>
      <c r="AG15" s="5"/>
      <c r="AH15" s="5"/>
      <c r="AI15" s="5"/>
      <c r="AJ15" s="11">
        <f t="shared" si="7"/>
        <v>205</v>
      </c>
      <c r="AK15" s="141">
        <v>7</v>
      </c>
      <c r="AL15" s="5">
        <v>225</v>
      </c>
      <c r="AM15" s="5"/>
      <c r="AN15" s="5"/>
      <c r="AO15" s="5"/>
      <c r="AP15" s="5"/>
      <c r="AQ15" s="5"/>
      <c r="AR15" s="5"/>
      <c r="AS15" s="11">
        <f t="shared" si="9"/>
        <v>225</v>
      </c>
      <c r="AT15" s="141">
        <v>8</v>
      </c>
      <c r="AU15" s="5">
        <v>15</v>
      </c>
      <c r="AV15" s="5"/>
      <c r="AW15" s="5"/>
      <c r="AX15" s="5"/>
      <c r="AY15" s="5"/>
      <c r="AZ15" s="5"/>
      <c r="BA15" s="5"/>
      <c r="BB15" s="11">
        <f t="shared" si="11"/>
        <v>15</v>
      </c>
      <c r="BD15" s="5">
        <v>0</v>
      </c>
      <c r="BE15" s="5"/>
      <c r="BF15" s="5"/>
      <c r="BG15" s="5"/>
      <c r="BH15" s="5"/>
      <c r="BI15" s="5"/>
      <c r="BJ15" s="5"/>
      <c r="BK15" s="11">
        <f t="shared" si="13"/>
        <v>0</v>
      </c>
      <c r="BL15" s="141">
        <v>0</v>
      </c>
      <c r="BM15" s="5">
        <v>0</v>
      </c>
      <c r="BN15" s="5"/>
      <c r="BO15" s="5"/>
      <c r="BP15" s="5"/>
      <c r="BQ15" s="5"/>
      <c r="BR15" s="5"/>
      <c r="BS15" s="5"/>
      <c r="BT15" s="11">
        <f t="shared" si="15"/>
        <v>0</v>
      </c>
      <c r="BV15" s="5">
        <f t="shared" si="19"/>
        <v>445</v>
      </c>
      <c r="BW15" s="5">
        <f t="shared" si="18"/>
        <v>0</v>
      </c>
      <c r="BX15" s="5">
        <f t="shared" si="18"/>
        <v>0</v>
      </c>
      <c r="BY15" s="5">
        <f t="shared" si="18"/>
        <v>0</v>
      </c>
      <c r="BZ15" s="5">
        <f t="shared" si="18"/>
        <v>0</v>
      </c>
      <c r="CA15" s="5">
        <f t="shared" si="18"/>
        <v>0</v>
      </c>
      <c r="CB15" s="5"/>
      <c r="CC15" s="11">
        <f t="shared" si="17"/>
        <v>445</v>
      </c>
      <c r="CD15" s="12">
        <f t="shared" si="20"/>
        <v>15</v>
      </c>
    </row>
    <row r="16" spans="1:82">
      <c r="A16" s="13" t="s">
        <v>21</v>
      </c>
      <c r="B16" s="5">
        <v>0</v>
      </c>
      <c r="C16" s="5"/>
      <c r="D16" s="5"/>
      <c r="E16" s="5"/>
      <c r="F16" s="5"/>
      <c r="G16" s="5"/>
      <c r="H16" s="5"/>
      <c r="I16" s="11">
        <f t="shared" si="1"/>
        <v>0</v>
      </c>
      <c r="K16" s="5">
        <v>0</v>
      </c>
      <c r="L16" s="5"/>
      <c r="M16" s="5"/>
      <c r="N16" s="5"/>
      <c r="O16" s="5"/>
      <c r="P16" s="5"/>
      <c r="Q16" s="5"/>
      <c r="R16" s="11">
        <f t="shared" si="3"/>
        <v>0</v>
      </c>
      <c r="S16" s="14"/>
      <c r="T16" s="5">
        <v>0</v>
      </c>
      <c r="U16" s="5"/>
      <c r="V16" s="5"/>
      <c r="W16" s="5"/>
      <c r="X16" s="5"/>
      <c r="Y16" s="5"/>
      <c r="Z16" s="5"/>
      <c r="AA16" s="11">
        <f t="shared" si="5"/>
        <v>0</v>
      </c>
      <c r="AB16" s="14"/>
      <c r="AC16" s="5">
        <v>170</v>
      </c>
      <c r="AD16" s="5"/>
      <c r="AE16" s="5"/>
      <c r="AF16" s="5"/>
      <c r="AG16" s="5"/>
      <c r="AH16" s="5"/>
      <c r="AI16" s="5"/>
      <c r="AJ16" s="11">
        <f t="shared" si="7"/>
        <v>170</v>
      </c>
      <c r="AK16" s="141">
        <v>5</v>
      </c>
      <c r="AL16" s="5">
        <v>155</v>
      </c>
      <c r="AM16" s="5"/>
      <c r="AN16" s="5"/>
      <c r="AO16" s="5"/>
      <c r="AP16" s="5"/>
      <c r="AQ16" s="5"/>
      <c r="AR16" s="5"/>
      <c r="AS16" s="11">
        <f t="shared" si="9"/>
        <v>155</v>
      </c>
      <c r="AT16" s="141">
        <v>5</v>
      </c>
      <c r="AU16" s="5">
        <v>10</v>
      </c>
      <c r="AV16" s="5"/>
      <c r="AW16" s="5"/>
      <c r="AX16" s="5"/>
      <c r="AY16" s="5"/>
      <c r="AZ16" s="5"/>
      <c r="BA16" s="5"/>
      <c r="BB16" s="11">
        <f t="shared" si="11"/>
        <v>10</v>
      </c>
      <c r="BD16" s="5">
        <v>0</v>
      </c>
      <c r="BE16" s="5"/>
      <c r="BF16" s="5"/>
      <c r="BG16" s="5"/>
      <c r="BH16" s="5"/>
      <c r="BI16" s="5"/>
      <c r="BJ16" s="5"/>
      <c r="BK16" s="11">
        <f t="shared" si="13"/>
        <v>0</v>
      </c>
      <c r="BL16" s="141">
        <v>0</v>
      </c>
      <c r="BM16" s="5">
        <v>0</v>
      </c>
      <c r="BN16" s="5"/>
      <c r="BO16" s="5"/>
      <c r="BP16" s="5"/>
      <c r="BQ16" s="5"/>
      <c r="BR16" s="5"/>
      <c r="BS16" s="5"/>
      <c r="BT16" s="11">
        <f t="shared" si="15"/>
        <v>0</v>
      </c>
      <c r="BV16" s="5">
        <f t="shared" si="19"/>
        <v>335</v>
      </c>
      <c r="BW16" s="5">
        <f t="shared" si="18"/>
        <v>0</v>
      </c>
      <c r="BX16" s="5">
        <f t="shared" si="18"/>
        <v>0</v>
      </c>
      <c r="BY16" s="5">
        <f t="shared" si="18"/>
        <v>0</v>
      </c>
      <c r="BZ16" s="5">
        <f t="shared" si="18"/>
        <v>0</v>
      </c>
      <c r="CA16" s="5">
        <f t="shared" si="18"/>
        <v>0</v>
      </c>
      <c r="CB16" s="5"/>
      <c r="CC16" s="11">
        <f t="shared" si="17"/>
        <v>335</v>
      </c>
      <c r="CD16" s="12">
        <f t="shared" si="20"/>
        <v>10</v>
      </c>
    </row>
    <row r="17" spans="1:82" ht="15">
      <c r="A17" s="15" t="s">
        <v>8</v>
      </c>
      <c r="B17" s="9">
        <f t="shared" ref="B17:H17" si="21">SUM(B4:B16)</f>
        <v>905</v>
      </c>
      <c r="C17" s="9">
        <f t="shared" si="21"/>
        <v>0</v>
      </c>
      <c r="D17" s="9">
        <f t="shared" si="21"/>
        <v>0</v>
      </c>
      <c r="E17" s="9"/>
      <c r="F17" s="9">
        <f t="shared" si="21"/>
        <v>0</v>
      </c>
      <c r="G17" s="9">
        <f t="shared" si="21"/>
        <v>0</v>
      </c>
      <c r="H17" s="9">
        <f t="shared" si="21"/>
        <v>0</v>
      </c>
      <c r="I17" s="9">
        <f>SUM(I4:I16)</f>
        <v>905</v>
      </c>
      <c r="J17" s="106" t="b">
        <f>SUM(J4:J12)=I27</f>
        <v>1</v>
      </c>
      <c r="K17" s="9">
        <f t="shared" ref="K17:Q17" si="22">SUM(K4:K16)</f>
        <v>1022</v>
      </c>
      <c r="L17" s="9">
        <f t="shared" si="22"/>
        <v>0</v>
      </c>
      <c r="M17" s="9">
        <f t="shared" si="22"/>
        <v>0</v>
      </c>
      <c r="N17" s="9"/>
      <c r="O17" s="9">
        <f t="shared" si="22"/>
        <v>0</v>
      </c>
      <c r="P17" s="9">
        <f t="shared" si="22"/>
        <v>0</v>
      </c>
      <c r="Q17" s="9">
        <f t="shared" si="22"/>
        <v>0</v>
      </c>
      <c r="R17" s="9">
        <f>SUM(R4:R16)</f>
        <v>1022</v>
      </c>
      <c r="S17" s="106" t="b">
        <f>SUM(S4:S12)=R27</f>
        <v>1</v>
      </c>
      <c r="T17" s="9">
        <f t="shared" ref="T17:Z17" si="23">SUM(T4:T16)</f>
        <v>1193</v>
      </c>
      <c r="U17" s="9">
        <f t="shared" si="23"/>
        <v>0</v>
      </c>
      <c r="V17" s="9">
        <f t="shared" si="23"/>
        <v>0</v>
      </c>
      <c r="W17" s="9"/>
      <c r="X17" s="9">
        <f t="shared" si="23"/>
        <v>0</v>
      </c>
      <c r="Y17" s="9">
        <f t="shared" si="23"/>
        <v>0</v>
      </c>
      <c r="Z17" s="9">
        <f t="shared" si="23"/>
        <v>0</v>
      </c>
      <c r="AA17" s="9">
        <f>SUM(AA4:AA16)</f>
        <v>1193</v>
      </c>
      <c r="AB17" s="106" t="b">
        <f>SUM(AB4:AB12)=AA27</f>
        <v>1</v>
      </c>
      <c r="AC17" s="9">
        <f t="shared" ref="AC17:AI17" si="24">SUM(AC4:AC16)</f>
        <v>2338</v>
      </c>
      <c r="AD17" s="9">
        <f t="shared" si="24"/>
        <v>0</v>
      </c>
      <c r="AE17" s="9">
        <f t="shared" si="24"/>
        <v>0</v>
      </c>
      <c r="AF17" s="9"/>
      <c r="AG17" s="9">
        <f t="shared" si="24"/>
        <v>0</v>
      </c>
      <c r="AH17" s="9">
        <f t="shared" si="24"/>
        <v>0</v>
      </c>
      <c r="AI17" s="9">
        <f t="shared" si="24"/>
        <v>0</v>
      </c>
      <c r="AJ17" s="9">
        <f>SUM(AJ4:AJ16)</f>
        <v>2338</v>
      </c>
      <c r="AK17" s="106" t="b">
        <f>SUM(AK4:AK16)=AJ27</f>
        <v>1</v>
      </c>
      <c r="AL17" s="9">
        <f t="shared" ref="AL17:AR17" si="25">SUM(AL4:AL16)</f>
        <v>2271</v>
      </c>
      <c r="AM17" s="9">
        <f t="shared" si="25"/>
        <v>0</v>
      </c>
      <c r="AN17" s="9">
        <f t="shared" si="25"/>
        <v>0</v>
      </c>
      <c r="AO17" s="9"/>
      <c r="AP17" s="9">
        <f t="shared" si="25"/>
        <v>0</v>
      </c>
      <c r="AQ17" s="9">
        <f t="shared" si="25"/>
        <v>0</v>
      </c>
      <c r="AR17" s="9">
        <f t="shared" si="25"/>
        <v>0</v>
      </c>
      <c r="AS17" s="9">
        <f>SUM(AS4:AS16)</f>
        <v>2271</v>
      </c>
      <c r="AT17" s="106" t="b">
        <f>SUM(AT4:AT16)=AS27</f>
        <v>1</v>
      </c>
      <c r="AU17" s="9">
        <f t="shared" ref="AU17:BA17" si="26">SUM(AU4:AU16)</f>
        <v>135</v>
      </c>
      <c r="AV17" s="9">
        <f t="shared" si="26"/>
        <v>0</v>
      </c>
      <c r="AW17" s="9">
        <f t="shared" si="26"/>
        <v>0</v>
      </c>
      <c r="AX17" s="9"/>
      <c r="AY17" s="9">
        <f t="shared" si="26"/>
        <v>0</v>
      </c>
      <c r="AZ17" s="9">
        <f t="shared" si="26"/>
        <v>0</v>
      </c>
      <c r="BA17" s="9">
        <f t="shared" si="26"/>
        <v>0</v>
      </c>
      <c r="BB17" s="9">
        <f>SUM(BB4:BB16)</f>
        <v>135</v>
      </c>
      <c r="BD17" s="9">
        <f t="shared" ref="BD17:BJ17" si="27">SUM(BD4:BD16)</f>
        <v>266</v>
      </c>
      <c r="BE17" s="9">
        <f t="shared" si="27"/>
        <v>0</v>
      </c>
      <c r="BF17" s="9">
        <f t="shared" si="27"/>
        <v>0</v>
      </c>
      <c r="BG17" s="9"/>
      <c r="BH17" s="9">
        <f t="shared" si="27"/>
        <v>0</v>
      </c>
      <c r="BI17" s="9">
        <f t="shared" si="27"/>
        <v>0</v>
      </c>
      <c r="BJ17" s="9">
        <f t="shared" si="27"/>
        <v>0</v>
      </c>
      <c r="BK17" s="9">
        <f>SUM(BK4:BK16)</f>
        <v>266</v>
      </c>
      <c r="BL17" s="106" t="b">
        <f>SUM(BL4:BL16)=BK27</f>
        <v>1</v>
      </c>
      <c r="BM17" s="9">
        <f t="shared" ref="BM17:BS17" si="28">SUM(BM4:BM16)</f>
        <v>0</v>
      </c>
      <c r="BN17" s="9">
        <f t="shared" si="28"/>
        <v>0</v>
      </c>
      <c r="BO17" s="9">
        <f t="shared" si="28"/>
        <v>0</v>
      </c>
      <c r="BP17" s="9"/>
      <c r="BQ17" s="9">
        <f t="shared" si="28"/>
        <v>0</v>
      </c>
      <c r="BR17" s="9">
        <f t="shared" si="28"/>
        <v>0</v>
      </c>
      <c r="BS17" s="9">
        <f t="shared" si="28"/>
        <v>0</v>
      </c>
      <c r="BT17" s="9">
        <f>SUM(BT4:BT16)</f>
        <v>0</v>
      </c>
      <c r="BV17" s="9">
        <f t="shared" ref="BV17:BX17" si="29">SUM(BV4:BV16)</f>
        <v>8130</v>
      </c>
      <c r="BW17" s="9">
        <f t="shared" si="29"/>
        <v>0</v>
      </c>
      <c r="BX17" s="9">
        <f t="shared" si="29"/>
        <v>0</v>
      </c>
      <c r="BY17" s="9"/>
      <c r="BZ17" s="9">
        <f t="shared" ref="BZ17:CB17" si="30">SUM(BZ4:BZ16)</f>
        <v>0</v>
      </c>
      <c r="CA17" s="9">
        <f t="shared" si="30"/>
        <v>0</v>
      </c>
      <c r="CB17" s="9">
        <f t="shared" si="30"/>
        <v>0</v>
      </c>
      <c r="CC17" s="9">
        <f>SUM(CC4:CC16)</f>
        <v>8130</v>
      </c>
      <c r="CD17" s="106" t="b">
        <f>SUM(CD4:CD16)=CC27</f>
        <v>1</v>
      </c>
    </row>
    <row r="18" spans="1:82">
      <c r="A18" s="13"/>
      <c r="B18" s="5"/>
      <c r="C18" s="16"/>
      <c r="D18" s="16"/>
      <c r="E18" s="16"/>
      <c r="F18" s="16"/>
      <c r="G18" s="16"/>
      <c r="H18" s="16"/>
      <c r="I18" s="16"/>
      <c r="J18" s="7"/>
      <c r="K18" s="5"/>
      <c r="L18" s="16"/>
      <c r="M18" s="16"/>
      <c r="N18" s="16"/>
      <c r="O18" s="16"/>
      <c r="P18" s="16"/>
      <c r="Q18" s="16"/>
      <c r="R18" s="16"/>
      <c r="T18" s="5"/>
      <c r="U18" s="16"/>
      <c r="V18" s="16"/>
      <c r="W18" s="16"/>
      <c r="X18" s="16"/>
      <c r="Y18" s="16"/>
      <c r="Z18" s="16"/>
      <c r="AA18" s="16"/>
      <c r="AC18" s="5"/>
      <c r="AD18" s="16"/>
      <c r="AE18" s="16"/>
      <c r="AF18" s="16"/>
      <c r="AG18" s="16"/>
      <c r="AH18" s="16"/>
      <c r="AI18" s="16"/>
      <c r="AJ18" s="16"/>
      <c r="AL18" s="5"/>
      <c r="AM18" s="16"/>
      <c r="AN18" s="16"/>
      <c r="AO18" s="16"/>
      <c r="AP18" s="16"/>
      <c r="AQ18" s="16"/>
      <c r="AR18" s="16"/>
      <c r="AS18" s="16"/>
      <c r="AU18" s="5"/>
      <c r="AV18" s="16"/>
      <c r="AW18" s="16"/>
      <c r="AX18" s="16"/>
      <c r="AY18" s="16"/>
      <c r="AZ18" s="16"/>
      <c r="BA18" s="16"/>
      <c r="BB18" s="16"/>
      <c r="BD18" s="5"/>
      <c r="BE18" s="16"/>
      <c r="BF18" s="16"/>
      <c r="BG18" s="16"/>
      <c r="BH18" s="16"/>
      <c r="BI18" s="16"/>
      <c r="BJ18" s="16"/>
      <c r="BK18" s="16"/>
      <c r="BM18" s="5"/>
      <c r="BN18" s="16"/>
      <c r="BO18" s="16"/>
      <c r="BP18" s="16"/>
      <c r="BQ18" s="16"/>
      <c r="BR18" s="16"/>
      <c r="BS18" s="16"/>
      <c r="BT18" s="16"/>
      <c r="BV18" s="5"/>
      <c r="BW18" s="16"/>
      <c r="BX18" s="16"/>
      <c r="BY18" s="16"/>
      <c r="BZ18" s="16"/>
      <c r="CA18" s="16"/>
      <c r="CB18" s="16"/>
      <c r="CC18" s="16"/>
    </row>
    <row r="19" spans="1:82" ht="15">
      <c r="A19" s="17" t="s">
        <v>22</v>
      </c>
      <c r="B19" s="18" t="str">
        <f t="shared" ref="B19:I19" si="31">B1</f>
        <v>Operating</v>
      </c>
      <c r="C19" s="18" t="str">
        <f t="shared" si="31"/>
        <v>SPED</v>
      </c>
      <c r="D19" s="18" t="str">
        <f t="shared" si="31"/>
        <v>NSLP</v>
      </c>
      <c r="E19" s="18" t="str">
        <f t="shared" si="31"/>
        <v>Other</v>
      </c>
      <c r="F19" s="18" t="str">
        <f t="shared" si="31"/>
        <v>Title I</v>
      </c>
      <c r="G19" s="18" t="str">
        <f t="shared" si="31"/>
        <v>SGF</v>
      </c>
      <c r="H19" s="18" t="str">
        <f t="shared" si="31"/>
        <v>Title III</v>
      </c>
      <c r="I19" s="18" t="str">
        <f t="shared" si="31"/>
        <v>Horizon</v>
      </c>
      <c r="J19" s="19"/>
      <c r="K19" s="18" t="str">
        <f t="shared" ref="K19:R19" si="32">K1</f>
        <v>Operating</v>
      </c>
      <c r="L19" s="18" t="str">
        <f t="shared" si="32"/>
        <v>SPED</v>
      </c>
      <c r="M19" s="18" t="str">
        <f t="shared" si="32"/>
        <v>NSLP</v>
      </c>
      <c r="N19" s="18" t="str">
        <f t="shared" si="32"/>
        <v>Other</v>
      </c>
      <c r="O19" s="18" t="str">
        <f t="shared" si="32"/>
        <v>Title I</v>
      </c>
      <c r="P19" s="18" t="str">
        <f t="shared" si="32"/>
        <v>SGF</v>
      </c>
      <c r="Q19" s="18" t="str">
        <f t="shared" si="32"/>
        <v>Title III</v>
      </c>
      <c r="R19" s="18" t="str">
        <f t="shared" si="32"/>
        <v>St. Rose</v>
      </c>
      <c r="T19" s="18" t="str">
        <f t="shared" ref="T19:AA19" si="33">T1</f>
        <v>Operating</v>
      </c>
      <c r="U19" s="18" t="str">
        <f t="shared" si="33"/>
        <v>SPED</v>
      </c>
      <c r="V19" s="18" t="str">
        <f t="shared" si="33"/>
        <v>NSLP</v>
      </c>
      <c r="W19" s="18" t="str">
        <f t="shared" si="33"/>
        <v>Other</v>
      </c>
      <c r="X19" s="18" t="str">
        <f t="shared" si="33"/>
        <v>Title I</v>
      </c>
      <c r="Y19" s="18" t="str">
        <f t="shared" si="33"/>
        <v>SGF</v>
      </c>
      <c r="Z19" s="18" t="str">
        <f t="shared" si="33"/>
        <v>Title III</v>
      </c>
      <c r="AA19" s="18" t="str">
        <f t="shared" si="33"/>
        <v>Inspirada</v>
      </c>
      <c r="AC19" s="18" t="str">
        <f t="shared" ref="AC19:AJ19" si="34">AC1</f>
        <v>Operating</v>
      </c>
      <c r="AD19" s="18" t="str">
        <f t="shared" si="34"/>
        <v>SPED</v>
      </c>
      <c r="AE19" s="18" t="str">
        <f t="shared" si="34"/>
        <v>NSLP</v>
      </c>
      <c r="AF19" s="18" t="str">
        <f t="shared" si="34"/>
        <v>Other</v>
      </c>
      <c r="AG19" s="18" t="str">
        <f t="shared" si="34"/>
        <v>Title I</v>
      </c>
      <c r="AH19" s="18" t="str">
        <f t="shared" si="34"/>
        <v>SGF</v>
      </c>
      <c r="AI19" s="18" t="str">
        <f t="shared" si="34"/>
        <v>Title III</v>
      </c>
      <c r="AJ19" s="18" t="str">
        <f t="shared" si="34"/>
        <v>Cadence</v>
      </c>
      <c r="AL19" s="18" t="str">
        <f t="shared" ref="AL19:AS19" si="35">AL1</f>
        <v>Operating</v>
      </c>
      <c r="AM19" s="18" t="str">
        <f t="shared" si="35"/>
        <v>SPED</v>
      </c>
      <c r="AN19" s="18" t="str">
        <f t="shared" si="35"/>
        <v>NSLP</v>
      </c>
      <c r="AO19" s="18" t="str">
        <f t="shared" si="35"/>
        <v>Other</v>
      </c>
      <c r="AP19" s="18" t="str">
        <f t="shared" si="35"/>
        <v>Title I</v>
      </c>
      <c r="AQ19" s="18" t="str">
        <f t="shared" si="35"/>
        <v>SGF</v>
      </c>
      <c r="AR19" s="18" t="str">
        <f t="shared" si="35"/>
        <v>Title III</v>
      </c>
      <c r="AS19" s="18" t="str">
        <f t="shared" si="35"/>
        <v>Sloan</v>
      </c>
      <c r="AU19" s="18" t="str">
        <f t="shared" ref="AU19:BB19" si="36">AU1</f>
        <v>Operating</v>
      </c>
      <c r="AV19" s="18" t="str">
        <f t="shared" si="36"/>
        <v>SPED</v>
      </c>
      <c r="AW19" s="18" t="str">
        <f t="shared" si="36"/>
        <v>NSLP</v>
      </c>
      <c r="AX19" s="18" t="str">
        <f t="shared" si="36"/>
        <v>Other</v>
      </c>
      <c r="AY19" s="18" t="str">
        <f t="shared" si="36"/>
        <v>Title I</v>
      </c>
      <c r="AZ19" s="18" t="str">
        <f t="shared" si="36"/>
        <v>SGF</v>
      </c>
      <c r="BA19" s="18" t="str">
        <f t="shared" si="36"/>
        <v>Title III</v>
      </c>
      <c r="BB19" s="18" t="str">
        <f t="shared" si="36"/>
        <v>Virtual</v>
      </c>
      <c r="BD19" s="18" t="str">
        <f t="shared" ref="BD19:BK19" si="37">BD1</f>
        <v>Operating</v>
      </c>
      <c r="BE19" s="18" t="str">
        <f t="shared" si="37"/>
        <v>SPED</v>
      </c>
      <c r="BF19" s="18" t="str">
        <f t="shared" si="37"/>
        <v>NSLP</v>
      </c>
      <c r="BG19" s="18" t="str">
        <f t="shared" si="37"/>
        <v>Other</v>
      </c>
      <c r="BH19" s="18" t="str">
        <f t="shared" si="37"/>
        <v>Title I</v>
      </c>
      <c r="BI19" s="18" t="str">
        <f t="shared" si="37"/>
        <v>SGF</v>
      </c>
      <c r="BJ19" s="18" t="str">
        <f t="shared" si="37"/>
        <v>Title III</v>
      </c>
      <c r="BK19" s="18" t="str">
        <f t="shared" si="37"/>
        <v>Springs</v>
      </c>
      <c r="BM19" s="18" t="str">
        <f t="shared" ref="BM19:BT19" si="38">BM1</f>
        <v>Operating</v>
      </c>
      <c r="BN19" s="18" t="str">
        <f t="shared" si="38"/>
        <v>SPED</v>
      </c>
      <c r="BO19" s="18" t="str">
        <f t="shared" si="38"/>
        <v>NSLP</v>
      </c>
      <c r="BP19" s="18" t="str">
        <f t="shared" si="38"/>
        <v>Other</v>
      </c>
      <c r="BQ19" s="18" t="str">
        <f t="shared" si="38"/>
        <v>Title I</v>
      </c>
      <c r="BR19" s="18" t="str">
        <f t="shared" si="38"/>
        <v>SGF</v>
      </c>
      <c r="BS19" s="18" t="str">
        <f t="shared" si="38"/>
        <v>Title III</v>
      </c>
      <c r="BT19" s="18" t="str">
        <f t="shared" si="38"/>
        <v>Exec. Office</v>
      </c>
      <c r="BV19" s="18" t="str">
        <f t="shared" ref="BV19:CC19" si="39">BV1</f>
        <v>Operating</v>
      </c>
      <c r="BW19" s="18" t="str">
        <f t="shared" si="39"/>
        <v>SPED</v>
      </c>
      <c r="BX19" s="18" t="str">
        <f t="shared" si="39"/>
        <v>NSLP</v>
      </c>
      <c r="BY19" s="18" t="str">
        <f t="shared" si="39"/>
        <v>Other</v>
      </c>
      <c r="BZ19" s="18" t="str">
        <f t="shared" si="39"/>
        <v>Title I</v>
      </c>
      <c r="CA19" s="18" t="str">
        <f t="shared" si="39"/>
        <v>SGF</v>
      </c>
      <c r="CB19" s="18" t="str">
        <f t="shared" si="39"/>
        <v>Title III</v>
      </c>
      <c r="CC19" s="18" t="str">
        <f t="shared" si="39"/>
        <v>Systemwide</v>
      </c>
    </row>
    <row r="20" spans="1:82">
      <c r="A20" s="13" t="s">
        <v>23</v>
      </c>
      <c r="B20" s="5"/>
      <c r="C20" s="5">
        <v>121</v>
      </c>
      <c r="D20" s="5"/>
      <c r="E20" s="5"/>
      <c r="F20" s="5"/>
      <c r="G20" s="5"/>
      <c r="H20" s="5"/>
      <c r="I20" s="5">
        <f>SUM(B20:H20)</f>
        <v>121</v>
      </c>
      <c r="J20" s="20"/>
      <c r="K20" s="5"/>
      <c r="L20" s="5">
        <v>73</v>
      </c>
      <c r="M20" s="5"/>
      <c r="N20" s="5"/>
      <c r="O20" s="5"/>
      <c r="P20" s="5"/>
      <c r="Q20" s="5"/>
      <c r="R20" s="5">
        <f>SUM(K20:Q20)</f>
        <v>73</v>
      </c>
      <c r="T20" s="5"/>
      <c r="U20" s="5">
        <v>108</v>
      </c>
      <c r="V20" s="5"/>
      <c r="W20" s="5"/>
      <c r="X20" s="5"/>
      <c r="Y20" s="5"/>
      <c r="Z20" s="5"/>
      <c r="AA20" s="5">
        <f>SUM(T20:Z20)</f>
        <v>108</v>
      </c>
      <c r="AC20" s="5"/>
      <c r="AD20" s="5">
        <v>278</v>
      </c>
      <c r="AE20" s="5"/>
      <c r="AF20" s="5"/>
      <c r="AG20" s="5"/>
      <c r="AH20" s="5"/>
      <c r="AI20" s="5"/>
      <c r="AJ20" s="5">
        <f>SUM(AC20:AI20)</f>
        <v>278</v>
      </c>
      <c r="AL20" s="5"/>
      <c r="AM20" s="5">
        <v>213</v>
      </c>
      <c r="AN20" s="5"/>
      <c r="AO20" s="5"/>
      <c r="AP20" s="5"/>
      <c r="AQ20" s="5"/>
      <c r="AR20" s="5"/>
      <c r="AS20" s="5">
        <f>SUM(AL20:AR20)</f>
        <v>213</v>
      </c>
      <c r="AU20" s="5"/>
      <c r="AV20" s="5">
        <v>18</v>
      </c>
      <c r="AW20" s="5"/>
      <c r="AX20" s="5"/>
      <c r="AY20" s="5"/>
      <c r="AZ20" s="5"/>
      <c r="BA20" s="5"/>
      <c r="BB20" s="5">
        <f>SUM(AU20:BA20)</f>
        <v>18</v>
      </c>
      <c r="BD20" s="5"/>
      <c r="BE20" s="5">
        <v>17</v>
      </c>
      <c r="BF20" s="5"/>
      <c r="BG20" s="5"/>
      <c r="BH20" s="5"/>
      <c r="BI20" s="5"/>
      <c r="BJ20" s="5"/>
      <c r="BK20" s="5">
        <f>SUM(BD20:BJ20)</f>
        <v>17</v>
      </c>
      <c r="BM20" s="5">
        <v>0</v>
      </c>
      <c r="BN20" s="5">
        <v>0</v>
      </c>
      <c r="BO20" s="5"/>
      <c r="BP20" s="5"/>
      <c r="BQ20" s="5"/>
      <c r="BR20" s="5"/>
      <c r="BS20" s="5"/>
      <c r="BT20" s="5">
        <f>SUM(BM20:BS20)</f>
        <v>0</v>
      </c>
      <c r="BV20" s="5">
        <f>B20+K20+T20+AC20+AL20+AU20+BD20+BM20</f>
        <v>0</v>
      </c>
      <c r="BW20" s="5">
        <f t="shared" ref="BW20:CA24" si="40">C20+L20+U20+AD20+AM20+AV20+BE20+BN20</f>
        <v>828</v>
      </c>
      <c r="BX20" s="5">
        <f t="shared" si="40"/>
        <v>0</v>
      </c>
      <c r="BY20" s="5">
        <f t="shared" si="40"/>
        <v>0</v>
      </c>
      <c r="BZ20" s="5">
        <f t="shared" si="40"/>
        <v>0</v>
      </c>
      <c r="CA20" s="5">
        <f t="shared" si="40"/>
        <v>0</v>
      </c>
      <c r="CB20" s="5"/>
      <c r="CC20" s="5">
        <f>SUM(BV20:CB20)</f>
        <v>828</v>
      </c>
    </row>
    <row r="21" spans="1:82">
      <c r="A21" s="13" t="s">
        <v>24</v>
      </c>
      <c r="B21" s="5">
        <v>36</v>
      </c>
      <c r="C21" s="5"/>
      <c r="D21" s="5"/>
      <c r="E21" s="5"/>
      <c r="F21" s="5"/>
      <c r="G21" s="5"/>
      <c r="H21" s="5"/>
      <c r="I21" s="5">
        <f>SUM(B21:H21)</f>
        <v>36</v>
      </c>
      <c r="J21" s="20"/>
      <c r="K21" s="5">
        <v>22</v>
      </c>
      <c r="L21" s="5"/>
      <c r="M21" s="5"/>
      <c r="N21" s="5"/>
      <c r="O21" s="5"/>
      <c r="P21" s="5"/>
      <c r="Q21" s="5"/>
      <c r="R21" s="5">
        <f>SUM(K21:Q21)</f>
        <v>22</v>
      </c>
      <c r="T21" s="5">
        <v>17</v>
      </c>
      <c r="U21" s="5"/>
      <c r="V21" s="5"/>
      <c r="W21" s="5"/>
      <c r="X21" s="5"/>
      <c r="Y21" s="5"/>
      <c r="Z21" s="5"/>
      <c r="AA21" s="5">
        <f>SUM(T21:Z21)</f>
        <v>17</v>
      </c>
      <c r="AC21" s="5">
        <v>42</v>
      </c>
      <c r="AD21" s="5"/>
      <c r="AE21" s="5"/>
      <c r="AF21" s="5"/>
      <c r="AG21" s="5"/>
      <c r="AH21" s="5"/>
      <c r="AI21" s="5"/>
      <c r="AJ21" s="5">
        <f>SUM(AC21:AI21)</f>
        <v>42</v>
      </c>
      <c r="AL21" s="5">
        <v>41</v>
      </c>
      <c r="AM21" s="5"/>
      <c r="AN21" s="5"/>
      <c r="AO21" s="5"/>
      <c r="AP21" s="5"/>
      <c r="AQ21" s="5"/>
      <c r="AR21" s="5"/>
      <c r="AS21" s="5">
        <f>SUM(AL21:AR21)</f>
        <v>41</v>
      </c>
      <c r="AU21" s="5">
        <v>1</v>
      </c>
      <c r="AV21" s="5"/>
      <c r="AW21" s="5"/>
      <c r="AX21" s="5"/>
      <c r="AY21" s="5"/>
      <c r="AZ21" s="5"/>
      <c r="BA21" s="5"/>
      <c r="BB21" s="5">
        <f>SUM(AU21:BA21)</f>
        <v>1</v>
      </c>
      <c r="BD21" s="5">
        <v>22</v>
      </c>
      <c r="BE21" s="5"/>
      <c r="BF21" s="5"/>
      <c r="BG21" s="5"/>
      <c r="BH21" s="5"/>
      <c r="BI21" s="5"/>
      <c r="BJ21" s="5"/>
      <c r="BK21" s="5">
        <f>SUM(BD21:BJ21)</f>
        <v>22</v>
      </c>
      <c r="BM21" s="5"/>
      <c r="BN21" s="5"/>
      <c r="BO21" s="5"/>
      <c r="BP21" s="5"/>
      <c r="BQ21" s="5"/>
      <c r="BR21" s="5"/>
      <c r="BS21" s="5"/>
      <c r="BT21" s="5">
        <f>SUM(BM21:BS21)</f>
        <v>0</v>
      </c>
      <c r="BV21" s="5">
        <f t="shared" ref="BV21:BV24" si="41">B21+K21+T21+AC21+AL21+AU21+BD21+BM21</f>
        <v>181</v>
      </c>
      <c r="BW21" s="5">
        <f t="shared" si="40"/>
        <v>0</v>
      </c>
      <c r="BX21" s="5">
        <f t="shared" si="40"/>
        <v>0</v>
      </c>
      <c r="BY21" s="5">
        <f t="shared" si="40"/>
        <v>0</v>
      </c>
      <c r="BZ21" s="5">
        <f t="shared" si="40"/>
        <v>0</v>
      </c>
      <c r="CA21" s="5">
        <f t="shared" si="40"/>
        <v>0</v>
      </c>
      <c r="CB21" s="5"/>
      <c r="CC21" s="5">
        <f>SUM(BV21:CB21)</f>
        <v>181</v>
      </c>
    </row>
    <row r="22" spans="1:82">
      <c r="A22" s="13" t="s">
        <v>25</v>
      </c>
      <c r="B22" s="11">
        <v>51</v>
      </c>
      <c r="C22" s="11"/>
      <c r="D22" s="11"/>
      <c r="E22" s="11"/>
      <c r="F22" s="11"/>
      <c r="G22" s="11"/>
      <c r="H22" s="11"/>
      <c r="I22" s="5">
        <f>SUM(B22:H22)</f>
        <v>51</v>
      </c>
      <c r="K22" s="11">
        <f>15+12+24+17-1</f>
        <v>67</v>
      </c>
      <c r="L22" s="11"/>
      <c r="M22" s="11"/>
      <c r="N22" s="11"/>
      <c r="O22" s="11"/>
      <c r="P22" s="11"/>
      <c r="Q22" s="11"/>
      <c r="R22" s="5">
        <f>SUM(K22:Q22)</f>
        <v>67</v>
      </c>
      <c r="T22" s="11">
        <f>29+25+29+29-1</f>
        <v>111</v>
      </c>
      <c r="U22" s="11"/>
      <c r="V22" s="11"/>
      <c r="W22" s="11"/>
      <c r="X22" s="11"/>
      <c r="Y22" s="11"/>
      <c r="Z22" s="11"/>
      <c r="AA22" s="5">
        <f>SUM(T22:Z22)</f>
        <v>111</v>
      </c>
      <c r="AC22" s="11">
        <f>9+14+17+25-1</f>
        <v>64</v>
      </c>
      <c r="AD22" s="11"/>
      <c r="AE22" s="11"/>
      <c r="AF22" s="11"/>
      <c r="AG22" s="11"/>
      <c r="AH22" s="11"/>
      <c r="AI22" s="11"/>
      <c r="AJ22" s="5">
        <f>SUM(AC22:AI22)</f>
        <v>64</v>
      </c>
      <c r="AL22" s="11">
        <f>26+31+40+18-1</f>
        <v>114</v>
      </c>
      <c r="AM22" s="11"/>
      <c r="AN22" s="11"/>
      <c r="AO22" s="11"/>
      <c r="AP22" s="11"/>
      <c r="AQ22" s="11"/>
      <c r="AR22" s="11"/>
      <c r="AS22" s="5">
        <f>SUM(AL22:AR22)</f>
        <v>114</v>
      </c>
      <c r="AU22" s="11">
        <v>0</v>
      </c>
      <c r="AV22" s="11"/>
      <c r="AW22" s="11"/>
      <c r="AX22" s="11"/>
      <c r="AY22" s="11"/>
      <c r="AZ22" s="11"/>
      <c r="BA22" s="11"/>
      <c r="BB22" s="5">
        <f>SUM(AU22:BA22)</f>
        <v>0</v>
      </c>
      <c r="BD22" s="11"/>
      <c r="BE22" s="11"/>
      <c r="BF22" s="11"/>
      <c r="BG22" s="11"/>
      <c r="BH22" s="11"/>
      <c r="BI22" s="11"/>
      <c r="BJ22" s="11"/>
      <c r="BK22" s="5">
        <f>SUM(BD22:BJ22)</f>
        <v>0</v>
      </c>
      <c r="BM22" s="11"/>
      <c r="BN22" s="11"/>
      <c r="BO22" s="11"/>
      <c r="BP22" s="11"/>
      <c r="BQ22" s="11"/>
      <c r="BR22" s="11"/>
      <c r="BS22" s="11"/>
      <c r="BT22" s="5">
        <f>SUM(BM22:BS22)</f>
        <v>0</v>
      </c>
      <c r="BV22" s="5">
        <f t="shared" si="41"/>
        <v>407</v>
      </c>
      <c r="BW22" s="5">
        <f t="shared" si="40"/>
        <v>0</v>
      </c>
      <c r="BX22" s="5">
        <f t="shared" si="40"/>
        <v>0</v>
      </c>
      <c r="BY22" s="5">
        <f t="shared" si="40"/>
        <v>0</v>
      </c>
      <c r="BZ22" s="5">
        <f t="shared" si="40"/>
        <v>0</v>
      </c>
      <c r="CA22" s="5">
        <f t="shared" si="40"/>
        <v>0</v>
      </c>
      <c r="CB22" s="11"/>
      <c r="CC22" s="5">
        <f>SUM(BV22:CB22)</f>
        <v>407</v>
      </c>
    </row>
    <row r="23" spans="1:82">
      <c r="A23" s="13" t="s">
        <v>26</v>
      </c>
      <c r="B23" s="21"/>
      <c r="C23" s="21"/>
      <c r="D23" s="22">
        <v>0.4073</v>
      </c>
      <c r="E23" s="22"/>
      <c r="F23" s="22"/>
      <c r="G23" s="22"/>
      <c r="H23" s="22"/>
      <c r="I23" s="21">
        <f>SUM(B23:H23)</f>
        <v>0.4073</v>
      </c>
      <c r="J23" s="23"/>
      <c r="K23" s="21"/>
      <c r="L23" s="21"/>
      <c r="M23" s="22">
        <v>0.31319999999999998</v>
      </c>
      <c r="N23" s="22"/>
      <c r="O23" s="22"/>
      <c r="P23" s="22"/>
      <c r="Q23" s="22"/>
      <c r="R23" s="21">
        <f>SUM(K23:Q23)</f>
        <v>0.31319999999999998</v>
      </c>
      <c r="T23" s="21"/>
      <c r="U23" s="21"/>
      <c r="V23" s="22">
        <v>0.13780000000000001</v>
      </c>
      <c r="W23" s="22"/>
      <c r="X23" s="22"/>
      <c r="Y23" s="22"/>
      <c r="Z23" s="22"/>
      <c r="AA23" s="21">
        <f>SUM(T23:Z23)</f>
        <v>0.13780000000000001</v>
      </c>
      <c r="AC23" s="21"/>
      <c r="AD23" s="21"/>
      <c r="AE23" s="22">
        <v>0.31780000000000003</v>
      </c>
      <c r="AF23" s="22"/>
      <c r="AG23" s="22"/>
      <c r="AH23" s="22"/>
      <c r="AI23" s="22"/>
      <c r="AJ23" s="21">
        <f>SUM(AC23:AI23)</f>
        <v>0.31780000000000003</v>
      </c>
      <c r="AL23" s="21"/>
      <c r="AM23" s="21"/>
      <c r="AN23" s="104">
        <v>0.1978</v>
      </c>
      <c r="AO23" s="22"/>
      <c r="AP23" s="22"/>
      <c r="AQ23" s="22"/>
      <c r="AR23" s="22"/>
      <c r="AS23" s="21">
        <f>SUM(AL23:AR23)</f>
        <v>0.1978</v>
      </c>
      <c r="AU23" s="21"/>
      <c r="AV23" s="21"/>
      <c r="AW23" s="22">
        <v>0.24360000000000001</v>
      </c>
      <c r="AX23" s="22"/>
      <c r="AY23" s="22"/>
      <c r="AZ23" s="22"/>
      <c r="BA23" s="22"/>
      <c r="BB23" s="21">
        <f>SUM(AU23:BA23)</f>
        <v>0.24360000000000001</v>
      </c>
      <c r="BD23" s="21"/>
      <c r="BE23" s="21"/>
      <c r="BF23" s="22">
        <v>1</v>
      </c>
      <c r="BG23" s="22"/>
      <c r="BH23" s="22"/>
      <c r="BI23" s="22"/>
      <c r="BJ23" s="22"/>
      <c r="BK23" s="21">
        <f>SUM(BD23:BJ23)</f>
        <v>1</v>
      </c>
      <c r="BM23" s="21"/>
      <c r="BN23" s="21"/>
      <c r="BO23" s="22"/>
      <c r="BP23" s="22"/>
      <c r="BQ23" s="22"/>
      <c r="BR23" s="22"/>
      <c r="BS23" s="22"/>
      <c r="BT23" s="21">
        <f>SUM(BM23:BS23)</f>
        <v>0</v>
      </c>
      <c r="BV23" s="5">
        <f t="shared" si="41"/>
        <v>0</v>
      </c>
      <c r="BW23" s="5">
        <f t="shared" si="40"/>
        <v>0</v>
      </c>
      <c r="BX23" s="101">
        <f>AVERAGE(D23,M23,V23,AE23,AN23,AW23,BF23,BO23)</f>
        <v>0.37392857142857139</v>
      </c>
      <c r="BY23" s="5">
        <f t="shared" si="40"/>
        <v>0</v>
      </c>
      <c r="BZ23" s="5">
        <f t="shared" si="40"/>
        <v>0</v>
      </c>
      <c r="CA23" s="5">
        <f t="shared" si="40"/>
        <v>0</v>
      </c>
      <c r="CB23" s="22"/>
      <c r="CC23" s="21">
        <f>SUM(BV23:CB23)</f>
        <v>0.37392857142857139</v>
      </c>
    </row>
    <row r="24" spans="1:82">
      <c r="A24" s="13" t="s">
        <v>27</v>
      </c>
      <c r="B24" s="5"/>
      <c r="C24" s="5"/>
      <c r="D24" s="5"/>
      <c r="E24" s="5"/>
      <c r="F24" s="5"/>
      <c r="G24" s="5"/>
      <c r="H24" s="5"/>
      <c r="I24" s="5">
        <f>SUM(B24:H24)</f>
        <v>0</v>
      </c>
      <c r="J24" s="23"/>
      <c r="K24" s="5"/>
      <c r="L24" s="5"/>
      <c r="M24" s="5"/>
      <c r="N24" s="5"/>
      <c r="O24" s="5"/>
      <c r="P24" s="5"/>
      <c r="Q24" s="5"/>
      <c r="R24" s="5">
        <f>SUM(K24:Q24)</f>
        <v>0</v>
      </c>
      <c r="T24" s="5">
        <v>0</v>
      </c>
      <c r="U24" s="5"/>
      <c r="V24" s="5"/>
      <c r="W24" s="5"/>
      <c r="X24" s="5"/>
      <c r="Y24" s="5"/>
      <c r="Z24" s="5"/>
      <c r="AA24" s="5">
        <f>SUM(T24:Z24)</f>
        <v>0</v>
      </c>
      <c r="AC24" s="5">
        <v>152</v>
      </c>
      <c r="AD24" s="5"/>
      <c r="AE24" s="5"/>
      <c r="AF24" s="5"/>
      <c r="AG24" s="5"/>
      <c r="AH24" s="5"/>
      <c r="AI24" s="5"/>
      <c r="AJ24" s="5">
        <f>SUM(AC24:AI24)</f>
        <v>152</v>
      </c>
      <c r="AL24" s="5">
        <v>122</v>
      </c>
      <c r="AM24" s="5"/>
      <c r="AN24" s="5"/>
      <c r="AO24" s="5"/>
      <c r="AP24" s="5"/>
      <c r="AQ24" s="5"/>
      <c r="AR24" s="5"/>
      <c r="AS24" s="5">
        <f>SUM(AL24:AR24)</f>
        <v>122</v>
      </c>
      <c r="AU24" s="5">
        <v>39</v>
      </c>
      <c r="AV24" s="5"/>
      <c r="AW24" s="5"/>
      <c r="AX24" s="5"/>
      <c r="AY24" s="5"/>
      <c r="AZ24" s="5"/>
      <c r="BA24" s="5"/>
      <c r="BB24" s="5">
        <f>SUM(AU24:BA24)</f>
        <v>39</v>
      </c>
      <c r="BD24" s="5">
        <v>35</v>
      </c>
      <c r="BE24" s="5"/>
      <c r="BF24" s="5"/>
      <c r="BG24" s="5"/>
      <c r="BH24" s="5"/>
      <c r="BI24" s="5"/>
      <c r="BJ24" s="5"/>
      <c r="BK24" s="5">
        <f>SUM(BD24:BJ24)</f>
        <v>35</v>
      </c>
      <c r="BM24" s="5"/>
      <c r="BN24" s="5"/>
      <c r="BO24" s="5"/>
      <c r="BP24" s="5"/>
      <c r="BQ24" s="5"/>
      <c r="BR24" s="5"/>
      <c r="BS24" s="5"/>
      <c r="BT24" s="5">
        <f>SUM(BM24:BS24)</f>
        <v>0</v>
      </c>
      <c r="BV24" s="5">
        <f t="shared" si="41"/>
        <v>348</v>
      </c>
      <c r="BW24" s="5">
        <f t="shared" si="40"/>
        <v>0</v>
      </c>
      <c r="BX24" s="5">
        <f t="shared" si="40"/>
        <v>0</v>
      </c>
      <c r="BY24" s="5">
        <f t="shared" si="40"/>
        <v>0</v>
      </c>
      <c r="BZ24" s="5">
        <f t="shared" si="40"/>
        <v>0</v>
      </c>
      <c r="CA24" s="5">
        <f t="shared" si="40"/>
        <v>0</v>
      </c>
      <c r="CB24" s="5"/>
      <c r="CC24" s="5">
        <f>SUM(BV24:CB24)</f>
        <v>348</v>
      </c>
    </row>
    <row r="25" spans="1:82">
      <c r="A25" s="13"/>
      <c r="B25" s="5"/>
      <c r="C25" s="5"/>
      <c r="D25" s="5"/>
      <c r="E25" s="5"/>
      <c r="F25" s="5"/>
      <c r="G25" s="5"/>
      <c r="H25" s="5"/>
      <c r="I25" s="5"/>
      <c r="J25" s="7"/>
      <c r="K25" s="5"/>
      <c r="L25" s="5"/>
      <c r="M25" s="5"/>
      <c r="N25" s="5"/>
      <c r="O25" s="5"/>
      <c r="P25" s="5"/>
      <c r="Q25" s="5"/>
      <c r="R25" s="5"/>
      <c r="T25" s="5"/>
      <c r="U25" s="5"/>
      <c r="V25" s="5"/>
      <c r="W25" s="5"/>
      <c r="X25" s="5"/>
      <c r="Y25" s="5"/>
      <c r="Z25" s="5"/>
      <c r="AA25" s="5"/>
      <c r="AC25" s="5"/>
      <c r="AD25" s="5"/>
      <c r="AE25" s="5"/>
      <c r="AF25" s="5"/>
      <c r="AG25" s="5"/>
      <c r="AH25" s="5"/>
      <c r="AI25" s="5"/>
      <c r="AJ25" s="5"/>
      <c r="AL25" s="5"/>
      <c r="AM25" s="5"/>
      <c r="AN25" s="5"/>
      <c r="AO25" s="5"/>
      <c r="AP25" s="5"/>
      <c r="AQ25" s="5"/>
      <c r="AR25" s="5"/>
      <c r="AS25" s="5"/>
      <c r="AU25" s="5"/>
      <c r="AV25" s="5"/>
      <c r="AW25" s="5"/>
      <c r="AX25" s="5"/>
      <c r="AY25" s="5"/>
      <c r="AZ25" s="5"/>
      <c r="BA25" s="5"/>
      <c r="BB25" s="5"/>
      <c r="BD25" s="5"/>
      <c r="BE25" s="5"/>
      <c r="BF25" s="5"/>
      <c r="BG25" s="5"/>
      <c r="BH25" s="5"/>
      <c r="BI25" s="5"/>
      <c r="BJ25" s="5"/>
      <c r="BK25" s="5"/>
      <c r="BM25" s="5"/>
      <c r="BN25" s="5"/>
      <c r="BO25" s="5"/>
      <c r="BP25" s="5"/>
      <c r="BQ25" s="5"/>
      <c r="BR25" s="5"/>
      <c r="BS25" s="5"/>
      <c r="BT25" s="5"/>
      <c r="BV25" s="5"/>
      <c r="BW25" s="5"/>
      <c r="BX25" s="5"/>
      <c r="BY25" s="5"/>
      <c r="BZ25" s="5"/>
      <c r="CA25" s="5"/>
      <c r="CB25" s="5"/>
      <c r="CC25" s="5"/>
    </row>
    <row r="26" spans="1:82" ht="15">
      <c r="A26" s="24" t="s">
        <v>28</v>
      </c>
      <c r="B26" s="18" t="str">
        <f t="shared" ref="B26:I26" si="42">B1</f>
        <v>Operating</v>
      </c>
      <c r="C26" s="18" t="str">
        <f t="shared" si="42"/>
        <v>SPED</v>
      </c>
      <c r="D26" s="18" t="str">
        <f t="shared" si="42"/>
        <v>NSLP</v>
      </c>
      <c r="E26" s="18" t="str">
        <f t="shared" si="42"/>
        <v>Other</v>
      </c>
      <c r="F26" s="18" t="str">
        <f t="shared" si="42"/>
        <v>Title I</v>
      </c>
      <c r="G26" s="18" t="str">
        <f t="shared" si="42"/>
        <v>SGF</v>
      </c>
      <c r="H26" s="18" t="str">
        <f t="shared" si="42"/>
        <v>Title III</v>
      </c>
      <c r="I26" s="18" t="str">
        <f t="shared" si="42"/>
        <v>Horizon</v>
      </c>
      <c r="J26" s="19"/>
      <c r="K26" s="18" t="str">
        <f t="shared" ref="K26:R26" si="43">K1</f>
        <v>Operating</v>
      </c>
      <c r="L26" s="18" t="str">
        <f t="shared" si="43"/>
        <v>SPED</v>
      </c>
      <c r="M26" s="18" t="str">
        <f t="shared" si="43"/>
        <v>NSLP</v>
      </c>
      <c r="N26" s="18" t="str">
        <f t="shared" si="43"/>
        <v>Other</v>
      </c>
      <c r="O26" s="18" t="str">
        <f t="shared" si="43"/>
        <v>Title I</v>
      </c>
      <c r="P26" s="18" t="str">
        <f t="shared" si="43"/>
        <v>SGF</v>
      </c>
      <c r="Q26" s="18" t="str">
        <f t="shared" si="43"/>
        <v>Title III</v>
      </c>
      <c r="R26" s="18" t="str">
        <f t="shared" si="43"/>
        <v>St. Rose</v>
      </c>
      <c r="T26" s="18" t="str">
        <f t="shared" ref="T26:AA26" si="44">T1</f>
        <v>Operating</v>
      </c>
      <c r="U26" s="18" t="str">
        <f t="shared" si="44"/>
        <v>SPED</v>
      </c>
      <c r="V26" s="18" t="str">
        <f t="shared" si="44"/>
        <v>NSLP</v>
      </c>
      <c r="W26" s="18" t="str">
        <f t="shared" si="44"/>
        <v>Other</v>
      </c>
      <c r="X26" s="18" t="str">
        <f t="shared" si="44"/>
        <v>Title I</v>
      </c>
      <c r="Y26" s="18" t="str">
        <f t="shared" si="44"/>
        <v>SGF</v>
      </c>
      <c r="Z26" s="18" t="str">
        <f t="shared" si="44"/>
        <v>Title III</v>
      </c>
      <c r="AA26" s="18" t="str">
        <f t="shared" si="44"/>
        <v>Inspirada</v>
      </c>
      <c r="AC26" s="18" t="str">
        <f t="shared" ref="AC26:AJ26" si="45">AC1</f>
        <v>Operating</v>
      </c>
      <c r="AD26" s="18" t="str">
        <f t="shared" si="45"/>
        <v>SPED</v>
      </c>
      <c r="AE26" s="18" t="str">
        <f t="shared" si="45"/>
        <v>NSLP</v>
      </c>
      <c r="AF26" s="18" t="str">
        <f t="shared" si="45"/>
        <v>Other</v>
      </c>
      <c r="AG26" s="18" t="str">
        <f t="shared" si="45"/>
        <v>Title I</v>
      </c>
      <c r="AH26" s="18" t="str">
        <f t="shared" si="45"/>
        <v>SGF</v>
      </c>
      <c r="AI26" s="18" t="str">
        <f t="shared" si="45"/>
        <v>Title III</v>
      </c>
      <c r="AJ26" s="18" t="str">
        <f t="shared" si="45"/>
        <v>Cadence</v>
      </c>
      <c r="AL26" s="18" t="str">
        <f t="shared" ref="AL26:AS26" si="46">AL1</f>
        <v>Operating</v>
      </c>
      <c r="AM26" s="18" t="str">
        <f t="shared" si="46"/>
        <v>SPED</v>
      </c>
      <c r="AN26" s="18" t="str">
        <f t="shared" si="46"/>
        <v>NSLP</v>
      </c>
      <c r="AO26" s="18" t="str">
        <f t="shared" si="46"/>
        <v>Other</v>
      </c>
      <c r="AP26" s="18" t="str">
        <f t="shared" si="46"/>
        <v>Title I</v>
      </c>
      <c r="AQ26" s="18" t="str">
        <f t="shared" si="46"/>
        <v>SGF</v>
      </c>
      <c r="AR26" s="18" t="str">
        <f t="shared" si="46"/>
        <v>Title III</v>
      </c>
      <c r="AS26" s="18" t="str">
        <f t="shared" si="46"/>
        <v>Sloan</v>
      </c>
      <c r="AU26" s="18" t="str">
        <f t="shared" ref="AU26:BB26" si="47">AU1</f>
        <v>Operating</v>
      </c>
      <c r="AV26" s="18" t="str">
        <f t="shared" si="47"/>
        <v>SPED</v>
      </c>
      <c r="AW26" s="18" t="str">
        <f t="shared" si="47"/>
        <v>NSLP</v>
      </c>
      <c r="AX26" s="18" t="str">
        <f t="shared" si="47"/>
        <v>Other</v>
      </c>
      <c r="AY26" s="18" t="str">
        <f t="shared" si="47"/>
        <v>Title I</v>
      </c>
      <c r="AZ26" s="18" t="str">
        <f t="shared" si="47"/>
        <v>SGF</v>
      </c>
      <c r="BA26" s="18" t="str">
        <f t="shared" si="47"/>
        <v>Title III</v>
      </c>
      <c r="BB26" s="18" t="str">
        <f t="shared" si="47"/>
        <v>Virtual</v>
      </c>
      <c r="BD26" s="18" t="str">
        <f t="shared" ref="BD26:BK26" si="48">BD1</f>
        <v>Operating</v>
      </c>
      <c r="BE26" s="18" t="str">
        <f t="shared" si="48"/>
        <v>SPED</v>
      </c>
      <c r="BF26" s="18" t="str">
        <f t="shared" si="48"/>
        <v>NSLP</v>
      </c>
      <c r="BG26" s="18" t="str">
        <f t="shared" si="48"/>
        <v>Other</v>
      </c>
      <c r="BH26" s="18" t="str">
        <f t="shared" si="48"/>
        <v>Title I</v>
      </c>
      <c r="BI26" s="18" t="str">
        <f t="shared" si="48"/>
        <v>SGF</v>
      </c>
      <c r="BJ26" s="18" t="str">
        <f t="shared" si="48"/>
        <v>Title III</v>
      </c>
      <c r="BK26" s="18" t="str">
        <f t="shared" si="48"/>
        <v>Springs</v>
      </c>
      <c r="BM26" s="18" t="str">
        <f t="shared" ref="BM26:BT26" si="49">BM1</f>
        <v>Operating</v>
      </c>
      <c r="BN26" s="18" t="str">
        <f t="shared" si="49"/>
        <v>SPED</v>
      </c>
      <c r="BO26" s="18" t="str">
        <f t="shared" si="49"/>
        <v>NSLP</v>
      </c>
      <c r="BP26" s="18" t="str">
        <f t="shared" si="49"/>
        <v>Other</v>
      </c>
      <c r="BQ26" s="18" t="str">
        <f t="shared" si="49"/>
        <v>Title I</v>
      </c>
      <c r="BR26" s="18" t="str">
        <f t="shared" si="49"/>
        <v>SGF</v>
      </c>
      <c r="BS26" s="18" t="str">
        <f t="shared" si="49"/>
        <v>Title III</v>
      </c>
      <c r="BT26" s="18" t="str">
        <f t="shared" si="49"/>
        <v>Exec. Office</v>
      </c>
      <c r="BV26" s="18" t="str">
        <f t="shared" ref="BV26:CC26" si="50">BV1</f>
        <v>Operating</v>
      </c>
      <c r="BW26" s="18" t="str">
        <f t="shared" si="50"/>
        <v>SPED</v>
      </c>
      <c r="BX26" s="18" t="str">
        <f t="shared" si="50"/>
        <v>NSLP</v>
      </c>
      <c r="BY26" s="18" t="str">
        <f t="shared" si="50"/>
        <v>Other</v>
      </c>
      <c r="BZ26" s="18" t="str">
        <f t="shared" si="50"/>
        <v>Title I</v>
      </c>
      <c r="CA26" s="18" t="str">
        <f t="shared" si="50"/>
        <v>SGF</v>
      </c>
      <c r="CB26" s="18" t="str">
        <f t="shared" si="50"/>
        <v>Title III</v>
      </c>
      <c r="CC26" s="18" t="str">
        <f t="shared" si="50"/>
        <v>Systemwide</v>
      </c>
    </row>
    <row r="27" spans="1:82">
      <c r="A27" s="25" t="s">
        <v>29</v>
      </c>
      <c r="B27" s="26">
        <v>35</v>
      </c>
      <c r="C27" s="26"/>
      <c r="D27" s="26"/>
      <c r="E27" s="26"/>
      <c r="F27" s="26"/>
      <c r="G27" s="26"/>
      <c r="H27" s="26"/>
      <c r="I27" s="26">
        <f t="shared" ref="I27:I32" si="51">SUM(B27:H27)</f>
        <v>35</v>
      </c>
      <c r="J27" s="12"/>
      <c r="K27" s="26">
        <v>36</v>
      </c>
      <c r="L27" s="26"/>
      <c r="M27" s="26"/>
      <c r="N27" s="26"/>
      <c r="O27" s="26"/>
      <c r="P27" s="26"/>
      <c r="Q27" s="26"/>
      <c r="R27" s="26">
        <f t="shared" ref="R27:R32" si="52">SUM(K27:Q27)</f>
        <v>36</v>
      </c>
      <c r="T27" s="26">
        <v>46</v>
      </c>
      <c r="U27" s="26"/>
      <c r="V27" s="26"/>
      <c r="W27" s="26"/>
      <c r="X27" s="26"/>
      <c r="Y27" s="26"/>
      <c r="Z27" s="26"/>
      <c r="AA27" s="26">
        <f t="shared" ref="AA27:AA32" si="53">SUM(T27:Z27)</f>
        <v>46</v>
      </c>
      <c r="AC27" s="26">
        <v>80</v>
      </c>
      <c r="AD27" s="26"/>
      <c r="AE27" s="26"/>
      <c r="AF27" s="26"/>
      <c r="AG27" s="26"/>
      <c r="AH27" s="26"/>
      <c r="AI27" s="26"/>
      <c r="AJ27" s="26">
        <f t="shared" ref="AJ27:AJ32" si="54">SUM(AC27:AI27)</f>
        <v>80</v>
      </c>
      <c r="AL27" s="26">
        <v>80</v>
      </c>
      <c r="AM27" s="26"/>
      <c r="AN27" s="26"/>
      <c r="AO27" s="26"/>
      <c r="AP27" s="26"/>
      <c r="AQ27" s="26"/>
      <c r="AR27" s="26"/>
      <c r="AS27" s="26">
        <f t="shared" ref="AS27:AS32" si="55">SUM(AL27:AR27)</f>
        <v>80</v>
      </c>
      <c r="AU27" s="26"/>
      <c r="AV27" s="26"/>
      <c r="AW27" s="26"/>
      <c r="AX27" s="26"/>
      <c r="AY27" s="26"/>
      <c r="AZ27" s="26"/>
      <c r="BA27" s="26"/>
      <c r="BB27" s="26">
        <f t="shared" ref="BB27:BB32" si="56">SUM(AU27:BA27)</f>
        <v>0</v>
      </c>
      <c r="BD27" s="26">
        <v>11</v>
      </c>
      <c r="BE27" s="26"/>
      <c r="BF27" s="26"/>
      <c r="BG27" s="26"/>
      <c r="BH27" s="26"/>
      <c r="BI27" s="26"/>
      <c r="BJ27" s="26"/>
      <c r="BK27" s="26">
        <f t="shared" ref="BK27:BK32" si="57">SUM(BD27:BJ27)</f>
        <v>11</v>
      </c>
      <c r="BM27" s="26"/>
      <c r="BN27" s="26"/>
      <c r="BO27" s="26"/>
      <c r="BP27" s="26"/>
      <c r="BQ27" s="26"/>
      <c r="BR27" s="26"/>
      <c r="BS27" s="26"/>
      <c r="BT27" s="26">
        <f t="shared" ref="BT27:BT32" si="58">SUM(BM27:BS27)</f>
        <v>0</v>
      </c>
      <c r="BV27" s="26">
        <f>B27+K27+T27+AC27+AL27+AU27+BD27+BM27</f>
        <v>288</v>
      </c>
      <c r="BW27" s="26">
        <f t="shared" ref="BW27:CA35" si="59">C27+L27+U27+AD27+AM27+AV27+BE27+BN27</f>
        <v>0</v>
      </c>
      <c r="BX27" s="26">
        <f t="shared" si="59"/>
        <v>0</v>
      </c>
      <c r="BY27" s="26">
        <f t="shared" si="59"/>
        <v>0</v>
      </c>
      <c r="BZ27" s="26">
        <f t="shared" si="59"/>
        <v>0</v>
      </c>
      <c r="CA27" s="26">
        <f t="shared" si="59"/>
        <v>0</v>
      </c>
      <c r="CB27" s="26"/>
      <c r="CC27" s="26">
        <f t="shared" ref="CC27:CC28" si="60">SUM(BV27:CB27)</f>
        <v>288</v>
      </c>
    </row>
    <row r="28" spans="1:82">
      <c r="A28" s="25" t="s">
        <v>30</v>
      </c>
      <c r="B28" s="27">
        <v>0</v>
      </c>
      <c r="C28" s="27">
        <v>5</v>
      </c>
      <c r="D28" s="27"/>
      <c r="E28" s="27"/>
      <c r="F28" s="27"/>
      <c r="G28" s="27"/>
      <c r="H28" s="27"/>
      <c r="I28" s="26">
        <f t="shared" si="51"/>
        <v>5</v>
      </c>
      <c r="J28" s="12"/>
      <c r="K28" s="27">
        <v>0</v>
      </c>
      <c r="L28" s="27">
        <v>4</v>
      </c>
      <c r="M28" s="27"/>
      <c r="N28" s="27"/>
      <c r="O28" s="27"/>
      <c r="P28" s="27"/>
      <c r="Q28" s="27"/>
      <c r="R28" s="26">
        <f t="shared" si="52"/>
        <v>4</v>
      </c>
      <c r="T28" s="27"/>
      <c r="U28" s="27">
        <v>5</v>
      </c>
      <c r="V28" s="27"/>
      <c r="W28" s="27"/>
      <c r="X28" s="27"/>
      <c r="Y28" s="27"/>
      <c r="Z28" s="27"/>
      <c r="AA28" s="26">
        <f t="shared" si="53"/>
        <v>5</v>
      </c>
      <c r="AC28" s="27">
        <v>0</v>
      </c>
      <c r="AD28" s="27">
        <v>13</v>
      </c>
      <c r="AE28" s="27"/>
      <c r="AF28" s="27"/>
      <c r="AG28" s="27"/>
      <c r="AH28" s="27"/>
      <c r="AI28" s="27"/>
      <c r="AJ28" s="26">
        <f t="shared" si="54"/>
        <v>13</v>
      </c>
      <c r="AL28" s="27">
        <v>0</v>
      </c>
      <c r="AM28" s="27">
        <v>12</v>
      </c>
      <c r="AN28" s="27"/>
      <c r="AO28" s="27"/>
      <c r="AP28" s="27"/>
      <c r="AQ28" s="27"/>
      <c r="AR28" s="27"/>
      <c r="AS28" s="26">
        <f t="shared" si="55"/>
        <v>12</v>
      </c>
      <c r="AU28" s="27"/>
      <c r="AV28" s="27">
        <v>1</v>
      </c>
      <c r="AW28" s="27"/>
      <c r="AX28" s="27"/>
      <c r="AY28" s="27"/>
      <c r="AZ28" s="27"/>
      <c r="BA28" s="27"/>
      <c r="BB28" s="26">
        <f t="shared" si="56"/>
        <v>1</v>
      </c>
      <c r="BD28" s="27">
        <v>0</v>
      </c>
      <c r="BE28" s="27">
        <v>1</v>
      </c>
      <c r="BF28" s="27"/>
      <c r="BG28" s="27"/>
      <c r="BH28" s="27"/>
      <c r="BI28" s="27"/>
      <c r="BJ28" s="27"/>
      <c r="BK28" s="26">
        <f t="shared" si="57"/>
        <v>1</v>
      </c>
      <c r="BM28" s="27"/>
      <c r="BN28" s="27"/>
      <c r="BO28" s="27"/>
      <c r="BP28" s="27"/>
      <c r="BQ28" s="27"/>
      <c r="BR28" s="27"/>
      <c r="BS28" s="27"/>
      <c r="BT28" s="26">
        <f t="shared" si="58"/>
        <v>0</v>
      </c>
      <c r="BV28" s="26">
        <f t="shared" ref="BV28:BV35" si="61">B28+K28+T28+AC28+AL28+AU28+BD28+BM28</f>
        <v>0</v>
      </c>
      <c r="BW28" s="26">
        <f t="shared" si="59"/>
        <v>41</v>
      </c>
      <c r="BX28" s="26">
        <f t="shared" si="59"/>
        <v>0</v>
      </c>
      <c r="BY28" s="26">
        <f t="shared" si="59"/>
        <v>0</v>
      </c>
      <c r="BZ28" s="26">
        <f t="shared" si="59"/>
        <v>0</v>
      </c>
      <c r="CA28" s="26">
        <f t="shared" si="59"/>
        <v>0</v>
      </c>
      <c r="CB28" s="27"/>
      <c r="CC28" s="26">
        <f t="shared" si="60"/>
        <v>41</v>
      </c>
    </row>
    <row r="29" spans="1:82">
      <c r="A29" s="25" t="s">
        <v>31</v>
      </c>
      <c r="B29" s="26">
        <v>1</v>
      </c>
      <c r="C29" s="26"/>
      <c r="D29" s="26"/>
      <c r="E29" s="26"/>
      <c r="F29" s="26"/>
      <c r="G29" s="26"/>
      <c r="H29" s="26"/>
      <c r="I29" s="26">
        <f>SUM(B29:H29)</f>
        <v>1</v>
      </c>
      <c r="K29" s="26">
        <v>1</v>
      </c>
      <c r="L29" s="26"/>
      <c r="M29" s="26"/>
      <c r="N29" s="26"/>
      <c r="O29" s="26"/>
      <c r="P29" s="26"/>
      <c r="Q29" s="26"/>
      <c r="R29" s="26">
        <f>SUM(K29:Q29)</f>
        <v>1</v>
      </c>
      <c r="T29" s="26">
        <v>1</v>
      </c>
      <c r="U29" s="26"/>
      <c r="V29" s="26"/>
      <c r="W29" s="26"/>
      <c r="X29" s="26"/>
      <c r="Y29" s="26"/>
      <c r="Z29" s="26"/>
      <c r="AA29" s="26">
        <f>SUM(T29:Z29)</f>
        <v>1</v>
      </c>
      <c r="AC29" s="26">
        <v>2</v>
      </c>
      <c r="AD29" s="26"/>
      <c r="AE29" s="26"/>
      <c r="AF29" s="26"/>
      <c r="AG29" s="26"/>
      <c r="AH29" s="26"/>
      <c r="AI29" s="26"/>
      <c r="AJ29" s="26">
        <f>SUM(AC29:AI29)</f>
        <v>2</v>
      </c>
      <c r="AL29" s="26">
        <v>2</v>
      </c>
      <c r="AM29" s="26"/>
      <c r="AN29" s="26"/>
      <c r="AO29" s="26"/>
      <c r="AP29" s="26"/>
      <c r="AQ29" s="26"/>
      <c r="AR29" s="26"/>
      <c r="AS29" s="26">
        <f>SUM(AL29:AR29)</f>
        <v>2</v>
      </c>
      <c r="AU29" s="26"/>
      <c r="AV29" s="26"/>
      <c r="AW29" s="26"/>
      <c r="AX29" s="26"/>
      <c r="AY29" s="26"/>
      <c r="AZ29" s="26"/>
      <c r="BA29" s="26"/>
      <c r="BB29" s="26">
        <f>SUM(AU29:BA29)</f>
        <v>0</v>
      </c>
      <c r="BD29" s="26">
        <v>0</v>
      </c>
      <c r="BE29" s="26"/>
      <c r="BF29" s="26"/>
      <c r="BG29" s="26"/>
      <c r="BH29" s="26"/>
      <c r="BI29" s="26"/>
      <c r="BJ29" s="26"/>
      <c r="BK29" s="26">
        <f>SUM(BD29:BJ29)</f>
        <v>0</v>
      </c>
      <c r="BM29" s="26"/>
      <c r="BN29" s="26"/>
      <c r="BO29" s="26"/>
      <c r="BP29" s="26"/>
      <c r="BQ29" s="26"/>
      <c r="BR29" s="26"/>
      <c r="BS29" s="26"/>
      <c r="BT29" s="26">
        <f>SUM(BM29:BS29)</f>
        <v>0</v>
      </c>
      <c r="BV29" s="26">
        <f t="shared" si="61"/>
        <v>7</v>
      </c>
      <c r="BW29" s="26">
        <f t="shared" si="59"/>
        <v>0</v>
      </c>
      <c r="BX29" s="26">
        <f t="shared" si="59"/>
        <v>0</v>
      </c>
      <c r="BY29" s="26">
        <f t="shared" si="59"/>
        <v>0</v>
      </c>
      <c r="BZ29" s="26">
        <f t="shared" si="59"/>
        <v>0</v>
      </c>
      <c r="CA29" s="26">
        <f t="shared" si="59"/>
        <v>0</v>
      </c>
      <c r="CB29" s="26"/>
      <c r="CC29" s="26">
        <f>SUM(BV29:CB29)</f>
        <v>7</v>
      </c>
    </row>
    <row r="30" spans="1:82">
      <c r="A30" s="25" t="s">
        <v>32</v>
      </c>
      <c r="B30" s="26">
        <v>1</v>
      </c>
      <c r="C30" s="26"/>
      <c r="D30" s="26"/>
      <c r="E30" s="26"/>
      <c r="F30" s="26"/>
      <c r="G30" s="26"/>
      <c r="H30" s="26"/>
      <c r="I30" s="26">
        <f t="shared" si="51"/>
        <v>1</v>
      </c>
      <c r="K30" s="26">
        <v>1</v>
      </c>
      <c r="L30" s="26"/>
      <c r="M30" s="26"/>
      <c r="N30" s="26"/>
      <c r="O30" s="26"/>
      <c r="P30" s="26"/>
      <c r="Q30" s="26"/>
      <c r="R30" s="26">
        <f t="shared" si="52"/>
        <v>1</v>
      </c>
      <c r="T30" s="26">
        <v>1</v>
      </c>
      <c r="U30" s="26"/>
      <c r="V30" s="26"/>
      <c r="W30" s="26"/>
      <c r="X30" s="26"/>
      <c r="Y30" s="26"/>
      <c r="Z30" s="26"/>
      <c r="AA30" s="26">
        <f t="shared" si="53"/>
        <v>1</v>
      </c>
      <c r="AC30" s="26">
        <v>2</v>
      </c>
      <c r="AD30" s="26"/>
      <c r="AE30" s="26"/>
      <c r="AF30" s="26"/>
      <c r="AG30" s="26"/>
      <c r="AH30" s="26"/>
      <c r="AI30" s="26"/>
      <c r="AJ30" s="26">
        <f t="shared" si="54"/>
        <v>2</v>
      </c>
      <c r="AL30" s="26">
        <v>3</v>
      </c>
      <c r="AM30" s="26"/>
      <c r="AN30" s="26"/>
      <c r="AO30" s="26"/>
      <c r="AP30" s="26"/>
      <c r="AQ30" s="26"/>
      <c r="AR30" s="26"/>
      <c r="AS30" s="26">
        <f t="shared" si="55"/>
        <v>3</v>
      </c>
      <c r="AU30" s="26"/>
      <c r="AV30" s="26"/>
      <c r="AW30" s="26"/>
      <c r="AX30" s="26"/>
      <c r="AY30" s="26"/>
      <c r="AZ30" s="26"/>
      <c r="BA30" s="26"/>
      <c r="BB30" s="26">
        <f t="shared" si="56"/>
        <v>0</v>
      </c>
      <c r="BD30" s="26">
        <v>0</v>
      </c>
      <c r="BE30" s="26"/>
      <c r="BF30" s="26"/>
      <c r="BG30" s="26"/>
      <c r="BH30" s="26"/>
      <c r="BI30" s="26"/>
      <c r="BJ30" s="26"/>
      <c r="BK30" s="26">
        <f t="shared" si="57"/>
        <v>0</v>
      </c>
      <c r="BM30" s="26">
        <v>1</v>
      </c>
      <c r="BN30" s="26"/>
      <c r="BO30" s="26"/>
      <c r="BP30" s="26"/>
      <c r="BQ30" s="26"/>
      <c r="BR30" s="26"/>
      <c r="BS30" s="26"/>
      <c r="BT30" s="26">
        <f t="shared" si="58"/>
        <v>1</v>
      </c>
      <c r="BV30" s="26">
        <f t="shared" si="61"/>
        <v>9</v>
      </c>
      <c r="BW30" s="26">
        <f t="shared" si="59"/>
        <v>0</v>
      </c>
      <c r="BX30" s="26">
        <f t="shared" si="59"/>
        <v>0</v>
      </c>
      <c r="BY30" s="26">
        <f t="shared" si="59"/>
        <v>0</v>
      </c>
      <c r="BZ30" s="26">
        <f t="shared" si="59"/>
        <v>0</v>
      </c>
      <c r="CA30" s="26">
        <f t="shared" si="59"/>
        <v>0</v>
      </c>
      <c r="CB30" s="26"/>
      <c r="CC30" s="26">
        <f t="shared" ref="CC30:CC32" si="62">SUM(BV30:CB30)</f>
        <v>9</v>
      </c>
    </row>
    <row r="31" spans="1:82">
      <c r="A31" s="25" t="s">
        <v>33</v>
      </c>
      <c r="B31" s="26">
        <v>1</v>
      </c>
      <c r="C31" s="26"/>
      <c r="D31" s="26"/>
      <c r="E31" s="26"/>
      <c r="F31" s="26"/>
      <c r="G31" s="26"/>
      <c r="H31" s="26"/>
      <c r="I31" s="26">
        <f t="shared" si="51"/>
        <v>1</v>
      </c>
      <c r="K31" s="26">
        <v>1</v>
      </c>
      <c r="L31" s="26"/>
      <c r="M31" s="26"/>
      <c r="N31" s="26"/>
      <c r="O31" s="26"/>
      <c r="P31" s="26"/>
      <c r="Q31" s="26"/>
      <c r="R31" s="26">
        <f t="shared" si="52"/>
        <v>1</v>
      </c>
      <c r="T31" s="26">
        <v>1</v>
      </c>
      <c r="U31" s="26"/>
      <c r="V31" s="26"/>
      <c r="W31" s="26"/>
      <c r="X31" s="26"/>
      <c r="Y31" s="26"/>
      <c r="Z31" s="26"/>
      <c r="AA31" s="26">
        <f t="shared" si="53"/>
        <v>1</v>
      </c>
      <c r="AC31" s="26">
        <v>3</v>
      </c>
      <c r="AD31" s="26"/>
      <c r="AE31" s="26"/>
      <c r="AF31" s="26"/>
      <c r="AG31" s="26"/>
      <c r="AH31" s="26"/>
      <c r="AI31" s="26"/>
      <c r="AJ31" s="26">
        <f t="shared" si="54"/>
        <v>3</v>
      </c>
      <c r="AL31" s="26">
        <v>2</v>
      </c>
      <c r="AM31" s="26"/>
      <c r="AN31" s="26"/>
      <c r="AO31" s="26"/>
      <c r="AP31" s="26"/>
      <c r="AQ31" s="26"/>
      <c r="AR31" s="26"/>
      <c r="AS31" s="26">
        <f t="shared" si="55"/>
        <v>2</v>
      </c>
      <c r="AU31" s="26"/>
      <c r="AV31" s="26"/>
      <c r="AW31" s="26"/>
      <c r="AX31" s="26"/>
      <c r="AY31" s="26"/>
      <c r="AZ31" s="26"/>
      <c r="BA31" s="26"/>
      <c r="BB31" s="26">
        <f t="shared" si="56"/>
        <v>0</v>
      </c>
      <c r="BD31" s="26">
        <v>1</v>
      </c>
      <c r="BE31" s="26"/>
      <c r="BF31" s="26"/>
      <c r="BG31" s="26"/>
      <c r="BH31" s="26"/>
      <c r="BI31" s="26"/>
      <c r="BJ31" s="26"/>
      <c r="BK31" s="26">
        <f t="shared" si="57"/>
        <v>1</v>
      </c>
      <c r="BM31" s="26"/>
      <c r="BN31" s="26"/>
      <c r="BO31" s="26"/>
      <c r="BP31" s="26"/>
      <c r="BQ31" s="26"/>
      <c r="BR31" s="26"/>
      <c r="BS31" s="26"/>
      <c r="BT31" s="26">
        <f t="shared" si="58"/>
        <v>0</v>
      </c>
      <c r="BV31" s="26">
        <f t="shared" si="61"/>
        <v>9</v>
      </c>
      <c r="BW31" s="26">
        <f t="shared" si="59"/>
        <v>0</v>
      </c>
      <c r="BX31" s="26">
        <f t="shared" si="59"/>
        <v>0</v>
      </c>
      <c r="BY31" s="26">
        <f t="shared" si="59"/>
        <v>0</v>
      </c>
      <c r="BZ31" s="26">
        <f t="shared" si="59"/>
        <v>0</v>
      </c>
      <c r="CA31" s="26">
        <f t="shared" si="59"/>
        <v>0</v>
      </c>
      <c r="CB31" s="26"/>
      <c r="CC31" s="26">
        <f t="shared" si="62"/>
        <v>9</v>
      </c>
    </row>
    <row r="32" spans="1:82">
      <c r="A32" s="28" t="s">
        <v>34</v>
      </c>
      <c r="B32" s="26">
        <v>1</v>
      </c>
      <c r="C32" s="26"/>
      <c r="D32" s="26"/>
      <c r="E32" s="26"/>
      <c r="F32" s="26"/>
      <c r="G32" s="26"/>
      <c r="H32" s="26"/>
      <c r="I32" s="26">
        <f t="shared" si="51"/>
        <v>1</v>
      </c>
      <c r="K32" s="26">
        <v>1</v>
      </c>
      <c r="L32" s="26"/>
      <c r="M32" s="26"/>
      <c r="N32" s="26"/>
      <c r="O32" s="26"/>
      <c r="P32" s="26"/>
      <c r="Q32" s="26"/>
      <c r="R32" s="26">
        <f t="shared" si="52"/>
        <v>1</v>
      </c>
      <c r="T32" s="26">
        <v>1</v>
      </c>
      <c r="U32" s="26"/>
      <c r="V32" s="26"/>
      <c r="W32" s="26"/>
      <c r="X32" s="26"/>
      <c r="Y32" s="26"/>
      <c r="Z32" s="26"/>
      <c r="AA32" s="26">
        <f t="shared" si="53"/>
        <v>1</v>
      </c>
      <c r="AC32" s="26">
        <v>3</v>
      </c>
      <c r="AD32" s="26"/>
      <c r="AE32" s="26"/>
      <c r="AF32" s="26"/>
      <c r="AG32" s="26"/>
      <c r="AH32" s="26"/>
      <c r="AI32" s="26"/>
      <c r="AJ32" s="26">
        <f t="shared" si="54"/>
        <v>3</v>
      </c>
      <c r="AL32" s="26">
        <v>2</v>
      </c>
      <c r="AM32" s="26"/>
      <c r="AN32" s="26"/>
      <c r="AO32" s="26"/>
      <c r="AP32" s="26"/>
      <c r="AQ32" s="26"/>
      <c r="AR32" s="26"/>
      <c r="AS32" s="26">
        <f t="shared" si="55"/>
        <v>2</v>
      </c>
      <c r="AU32" s="26"/>
      <c r="AV32" s="26"/>
      <c r="AW32" s="26"/>
      <c r="AX32" s="26"/>
      <c r="AY32" s="26"/>
      <c r="AZ32" s="26"/>
      <c r="BA32" s="26"/>
      <c r="BB32" s="26">
        <f t="shared" si="56"/>
        <v>0</v>
      </c>
      <c r="BD32" s="26">
        <v>1</v>
      </c>
      <c r="BE32" s="26"/>
      <c r="BF32" s="26"/>
      <c r="BG32" s="26"/>
      <c r="BH32" s="26"/>
      <c r="BI32" s="26"/>
      <c r="BJ32" s="26"/>
      <c r="BK32" s="26">
        <f t="shared" si="57"/>
        <v>1</v>
      </c>
      <c r="BM32" s="26"/>
      <c r="BN32" s="26"/>
      <c r="BO32" s="26"/>
      <c r="BP32" s="26"/>
      <c r="BQ32" s="26"/>
      <c r="BR32" s="26"/>
      <c r="BS32" s="26"/>
      <c r="BT32" s="26">
        <f t="shared" si="58"/>
        <v>0</v>
      </c>
      <c r="BV32" s="26">
        <f t="shared" si="61"/>
        <v>9</v>
      </c>
      <c r="BW32" s="26">
        <f t="shared" si="59"/>
        <v>0</v>
      </c>
      <c r="BX32" s="26">
        <f t="shared" si="59"/>
        <v>0</v>
      </c>
      <c r="BY32" s="26">
        <f t="shared" si="59"/>
        <v>0</v>
      </c>
      <c r="BZ32" s="26">
        <f t="shared" si="59"/>
        <v>0</v>
      </c>
      <c r="CA32" s="26">
        <f t="shared" si="59"/>
        <v>0</v>
      </c>
      <c r="CB32" s="26"/>
      <c r="CC32" s="26">
        <f t="shared" si="62"/>
        <v>9</v>
      </c>
    </row>
    <row r="33" spans="1:81">
      <c r="A33" s="28" t="s">
        <v>35</v>
      </c>
      <c r="B33" s="26">
        <v>1</v>
      </c>
      <c r="C33" s="26"/>
      <c r="D33" s="26"/>
      <c r="E33" s="26"/>
      <c r="F33" s="26"/>
      <c r="G33" s="26"/>
      <c r="H33" s="26"/>
      <c r="I33" s="26">
        <f>SUM(B33:H33)</f>
        <v>1</v>
      </c>
      <c r="K33" s="26">
        <v>1</v>
      </c>
      <c r="L33" s="26"/>
      <c r="M33" s="26"/>
      <c r="N33" s="26"/>
      <c r="O33" s="26"/>
      <c r="P33" s="26"/>
      <c r="Q33" s="26"/>
      <c r="R33" s="26">
        <f>SUM(K33:Q33)</f>
        <v>1</v>
      </c>
      <c r="T33" s="26">
        <v>1</v>
      </c>
      <c r="U33" s="26"/>
      <c r="V33" s="26"/>
      <c r="W33" s="26"/>
      <c r="X33" s="26"/>
      <c r="Y33" s="26"/>
      <c r="Z33" s="26"/>
      <c r="AA33" s="26">
        <f>SUM(T33:Z33)</f>
        <v>1</v>
      </c>
      <c r="AC33" s="26">
        <v>2</v>
      </c>
      <c r="AD33" s="26"/>
      <c r="AE33" s="26"/>
      <c r="AF33" s="26"/>
      <c r="AG33" s="26"/>
      <c r="AH33" s="26"/>
      <c r="AI33" s="26"/>
      <c r="AJ33" s="26">
        <f>SUM(AC33:AI33)</f>
        <v>2</v>
      </c>
      <c r="AL33" s="26">
        <v>2</v>
      </c>
      <c r="AM33" s="26"/>
      <c r="AN33" s="26"/>
      <c r="AO33" s="26"/>
      <c r="AP33" s="26"/>
      <c r="AQ33" s="26"/>
      <c r="AR33" s="26"/>
      <c r="AS33" s="26">
        <f>SUM(AL33:AR33)</f>
        <v>2</v>
      </c>
      <c r="AU33" s="26"/>
      <c r="AV33" s="26"/>
      <c r="AW33" s="26"/>
      <c r="AX33" s="26"/>
      <c r="AY33" s="26"/>
      <c r="AZ33" s="26"/>
      <c r="BA33" s="26"/>
      <c r="BB33" s="26">
        <f>SUM(AU33:BA33)</f>
        <v>0</v>
      </c>
      <c r="BD33" s="26">
        <v>0</v>
      </c>
      <c r="BE33" s="26"/>
      <c r="BF33" s="26"/>
      <c r="BG33" s="26"/>
      <c r="BH33" s="26"/>
      <c r="BI33" s="26"/>
      <c r="BJ33" s="26"/>
      <c r="BK33" s="26">
        <f>SUM(BD33:BJ33)</f>
        <v>0</v>
      </c>
      <c r="BM33" s="26"/>
      <c r="BN33" s="26"/>
      <c r="BO33" s="26"/>
      <c r="BP33" s="26"/>
      <c r="BQ33" s="26"/>
      <c r="BR33" s="26"/>
      <c r="BS33" s="26"/>
      <c r="BT33" s="26">
        <f>SUM(BM33:BS33)</f>
        <v>0</v>
      </c>
      <c r="BV33" s="26">
        <f t="shared" si="61"/>
        <v>7</v>
      </c>
      <c r="BW33" s="26">
        <f t="shared" si="59"/>
        <v>0</v>
      </c>
      <c r="BX33" s="26">
        <f t="shared" si="59"/>
        <v>0</v>
      </c>
      <c r="BY33" s="26">
        <f t="shared" si="59"/>
        <v>0</v>
      </c>
      <c r="BZ33" s="26">
        <f t="shared" si="59"/>
        <v>0</v>
      </c>
      <c r="CA33" s="26">
        <f t="shared" si="59"/>
        <v>0</v>
      </c>
      <c r="CB33" s="26"/>
      <c r="CC33" s="26">
        <f>SUM(BV33:CB33)</f>
        <v>7</v>
      </c>
    </row>
    <row r="34" spans="1:81">
      <c r="A34" s="28" t="s">
        <v>36</v>
      </c>
      <c r="B34" s="26">
        <v>1</v>
      </c>
      <c r="C34" s="26"/>
      <c r="D34" s="26"/>
      <c r="E34" s="26"/>
      <c r="F34" s="26"/>
      <c r="G34" s="26"/>
      <c r="H34" s="26"/>
      <c r="I34" s="26">
        <f>SUM(B34:H34)</f>
        <v>1</v>
      </c>
      <c r="K34" s="26">
        <v>2</v>
      </c>
      <c r="L34" s="26"/>
      <c r="M34" s="26"/>
      <c r="N34" s="26"/>
      <c r="O34" s="26"/>
      <c r="P34" s="26"/>
      <c r="Q34" s="26"/>
      <c r="R34" s="26">
        <f>SUM(K34:Q34)</f>
        <v>2</v>
      </c>
      <c r="T34" s="26">
        <v>3</v>
      </c>
      <c r="U34" s="26"/>
      <c r="V34" s="26"/>
      <c r="W34" s="26"/>
      <c r="X34" s="26"/>
      <c r="Y34" s="26"/>
      <c r="Z34" s="26"/>
      <c r="AA34" s="26">
        <f>SUM(T34:Z34)</f>
        <v>3</v>
      </c>
      <c r="AC34" s="26">
        <v>3</v>
      </c>
      <c r="AD34" s="26"/>
      <c r="AE34" s="26"/>
      <c r="AF34" s="26"/>
      <c r="AG34" s="26"/>
      <c r="AH34" s="26"/>
      <c r="AI34" s="26"/>
      <c r="AJ34" s="26">
        <f>SUM(AC34:AI34)</f>
        <v>3</v>
      </c>
      <c r="AL34" s="26">
        <v>3</v>
      </c>
      <c r="AM34" s="26"/>
      <c r="AN34" s="26"/>
      <c r="AO34" s="26"/>
      <c r="AP34" s="26"/>
      <c r="AQ34" s="26"/>
      <c r="AR34" s="26"/>
      <c r="AS34" s="26">
        <f>SUM(AL34:AR34)</f>
        <v>3</v>
      </c>
      <c r="AU34" s="26"/>
      <c r="AV34" s="26"/>
      <c r="AW34" s="26"/>
      <c r="AX34" s="26"/>
      <c r="AY34" s="26"/>
      <c r="AZ34" s="26"/>
      <c r="BA34" s="26"/>
      <c r="BB34" s="26">
        <f>SUM(AU34:BA34)</f>
        <v>0</v>
      </c>
      <c r="BD34" s="26">
        <v>0</v>
      </c>
      <c r="BE34" s="26"/>
      <c r="BF34" s="26"/>
      <c r="BG34" s="26"/>
      <c r="BH34" s="26"/>
      <c r="BI34" s="26"/>
      <c r="BJ34" s="26"/>
      <c r="BK34" s="26">
        <f>SUM(BD34:BJ34)</f>
        <v>0</v>
      </c>
      <c r="BM34" s="26"/>
      <c r="BN34" s="26"/>
      <c r="BO34" s="26"/>
      <c r="BP34" s="26"/>
      <c r="BQ34" s="26"/>
      <c r="BR34" s="26"/>
      <c r="BS34" s="26"/>
      <c r="BT34" s="26">
        <f>SUM(BM34:BS34)</f>
        <v>0</v>
      </c>
      <c r="BV34" s="26">
        <f t="shared" si="61"/>
        <v>12</v>
      </c>
      <c r="BW34" s="26">
        <f t="shared" si="59"/>
        <v>0</v>
      </c>
      <c r="BX34" s="26">
        <f t="shared" si="59"/>
        <v>0</v>
      </c>
      <c r="BY34" s="26">
        <f t="shared" si="59"/>
        <v>0</v>
      </c>
      <c r="BZ34" s="26">
        <f t="shared" si="59"/>
        <v>0</v>
      </c>
      <c r="CA34" s="26">
        <f t="shared" si="59"/>
        <v>0</v>
      </c>
      <c r="CB34" s="26"/>
      <c r="CC34" s="26">
        <f>SUM(BV34:CB34)</f>
        <v>12</v>
      </c>
    </row>
    <row r="35" spans="1:81">
      <c r="A35" s="29" t="s">
        <v>37</v>
      </c>
      <c r="B35" s="26">
        <v>0.5</v>
      </c>
      <c r="C35" s="26"/>
      <c r="D35" s="26"/>
      <c r="E35" s="26"/>
      <c r="F35" s="26"/>
      <c r="G35" s="26"/>
      <c r="H35" s="26"/>
      <c r="I35" s="26">
        <f>SUM(B35:H35)</f>
        <v>0.5</v>
      </c>
      <c r="K35" s="26">
        <v>1</v>
      </c>
      <c r="L35" s="26"/>
      <c r="M35" s="26"/>
      <c r="N35" s="26"/>
      <c r="O35" s="26"/>
      <c r="P35" s="26"/>
      <c r="Q35" s="26"/>
      <c r="R35" s="26">
        <f>SUM(K35:Q35)</f>
        <v>1</v>
      </c>
      <c r="T35" s="26">
        <v>2</v>
      </c>
      <c r="U35" s="26"/>
      <c r="V35" s="26"/>
      <c r="W35" s="26"/>
      <c r="X35" s="26"/>
      <c r="Y35" s="26"/>
      <c r="Z35" s="26"/>
      <c r="AA35" s="26">
        <f>SUM(T35:Z35)</f>
        <v>2</v>
      </c>
      <c r="AC35" s="26">
        <v>1</v>
      </c>
      <c r="AD35" s="26"/>
      <c r="AE35" s="26"/>
      <c r="AF35" s="26"/>
      <c r="AG35" s="26"/>
      <c r="AH35" s="26"/>
      <c r="AI35" s="26"/>
      <c r="AJ35" s="26">
        <f>SUM(AC35:AI35)</f>
        <v>1</v>
      </c>
      <c r="AL35" s="26">
        <v>2</v>
      </c>
      <c r="AM35" s="26"/>
      <c r="AN35" s="26"/>
      <c r="AO35" s="26"/>
      <c r="AP35" s="26"/>
      <c r="AQ35" s="26"/>
      <c r="AR35" s="26"/>
      <c r="AS35" s="26">
        <f>SUM(AL35:AR35)</f>
        <v>2</v>
      </c>
      <c r="AU35" s="26"/>
      <c r="AV35" s="26"/>
      <c r="AW35" s="26"/>
      <c r="AX35" s="26"/>
      <c r="AY35" s="26"/>
      <c r="AZ35" s="26"/>
      <c r="BA35" s="26"/>
      <c r="BB35" s="26">
        <f>SUM(AU35:BA35)</f>
        <v>0</v>
      </c>
      <c r="BD35" s="26">
        <v>0</v>
      </c>
      <c r="BE35" s="26"/>
      <c r="BF35" s="26"/>
      <c r="BG35" s="26"/>
      <c r="BH35" s="26"/>
      <c r="BI35" s="26"/>
      <c r="BJ35" s="26"/>
      <c r="BK35" s="26">
        <f>SUM(BD35:BJ35)</f>
        <v>0</v>
      </c>
      <c r="BM35" s="26">
        <v>0</v>
      </c>
      <c r="BN35" s="26"/>
      <c r="BO35" s="26"/>
      <c r="BP35" s="26"/>
      <c r="BQ35" s="26"/>
      <c r="BR35" s="26"/>
      <c r="BS35" s="26"/>
      <c r="BT35" s="26">
        <f>SUM(BM35:BS35)</f>
        <v>0</v>
      </c>
      <c r="BV35" s="26">
        <f t="shared" si="61"/>
        <v>6.5</v>
      </c>
      <c r="BW35" s="26">
        <f t="shared" si="59"/>
        <v>0</v>
      </c>
      <c r="BX35" s="26">
        <f t="shared" si="59"/>
        <v>0</v>
      </c>
      <c r="BY35" s="26">
        <f t="shared" si="59"/>
        <v>0</v>
      </c>
      <c r="BZ35" s="26">
        <f t="shared" si="59"/>
        <v>0</v>
      </c>
      <c r="CA35" s="26">
        <f t="shared" si="59"/>
        <v>0</v>
      </c>
      <c r="CB35" s="26"/>
      <c r="CC35" s="26">
        <f>SUM(BV35:CB35)</f>
        <v>6.5</v>
      </c>
    </row>
    <row r="36" spans="1:81" ht="15">
      <c r="A36" s="24" t="s">
        <v>38</v>
      </c>
      <c r="B36" s="30">
        <f>SUM(B27:B35)</f>
        <v>41.5</v>
      </c>
      <c r="C36" s="30">
        <f t="shared" ref="C36:H36" si="63">SUM(C27:C35)</f>
        <v>5</v>
      </c>
      <c r="D36" s="30">
        <f t="shared" si="63"/>
        <v>0</v>
      </c>
      <c r="E36" s="30"/>
      <c r="F36" s="30">
        <f t="shared" si="63"/>
        <v>0</v>
      </c>
      <c r="G36" s="30">
        <f t="shared" si="63"/>
        <v>0</v>
      </c>
      <c r="H36" s="30">
        <f t="shared" si="63"/>
        <v>0</v>
      </c>
      <c r="I36" s="30">
        <f>SUM(I27:I35)</f>
        <v>46.5</v>
      </c>
      <c r="J36" s="7"/>
      <c r="K36" s="30">
        <f>SUM(K27:K35)</f>
        <v>44</v>
      </c>
      <c r="L36" s="30">
        <f t="shared" ref="L36:Q36" si="64">SUM(L27:L35)</f>
        <v>4</v>
      </c>
      <c r="M36" s="30">
        <f t="shared" si="64"/>
        <v>0</v>
      </c>
      <c r="N36" s="30"/>
      <c r="O36" s="30">
        <f t="shared" si="64"/>
        <v>0</v>
      </c>
      <c r="P36" s="30">
        <f t="shared" si="64"/>
        <v>0</v>
      </c>
      <c r="Q36" s="30">
        <f t="shared" si="64"/>
        <v>0</v>
      </c>
      <c r="R36" s="30">
        <f>SUM(R27:R35)</f>
        <v>48</v>
      </c>
      <c r="T36" s="30">
        <f>SUM(T27:T35)</f>
        <v>56</v>
      </c>
      <c r="U36" s="30">
        <f t="shared" ref="U36:Z36" si="65">SUM(U27:U35)</f>
        <v>5</v>
      </c>
      <c r="V36" s="30">
        <f t="shared" si="65"/>
        <v>0</v>
      </c>
      <c r="W36" s="30"/>
      <c r="X36" s="30">
        <f t="shared" si="65"/>
        <v>0</v>
      </c>
      <c r="Y36" s="30">
        <f t="shared" si="65"/>
        <v>0</v>
      </c>
      <c r="Z36" s="30">
        <f t="shared" si="65"/>
        <v>0</v>
      </c>
      <c r="AA36" s="30">
        <f>SUM(AA27:AA35)</f>
        <v>61</v>
      </c>
      <c r="AC36" s="30">
        <f>SUM(AC27:AC35)</f>
        <v>96</v>
      </c>
      <c r="AD36" s="30">
        <f t="shared" ref="AD36:AI36" si="66">SUM(AD27:AD35)</f>
        <v>13</v>
      </c>
      <c r="AE36" s="30">
        <f t="shared" si="66"/>
        <v>0</v>
      </c>
      <c r="AF36" s="30"/>
      <c r="AG36" s="30">
        <f t="shared" si="66"/>
        <v>0</v>
      </c>
      <c r="AH36" s="30">
        <f t="shared" si="66"/>
        <v>0</v>
      </c>
      <c r="AI36" s="30">
        <f t="shared" si="66"/>
        <v>0</v>
      </c>
      <c r="AJ36" s="30">
        <f>SUM(AJ27:AJ35)</f>
        <v>109</v>
      </c>
      <c r="AL36" s="30">
        <f>SUM(AL27:AL35)</f>
        <v>96</v>
      </c>
      <c r="AM36" s="30">
        <f t="shared" ref="AM36:AR36" si="67">SUM(AM27:AM35)</f>
        <v>12</v>
      </c>
      <c r="AN36" s="30">
        <f t="shared" si="67"/>
        <v>0</v>
      </c>
      <c r="AO36" s="30"/>
      <c r="AP36" s="30">
        <f t="shared" si="67"/>
        <v>0</v>
      </c>
      <c r="AQ36" s="30">
        <f t="shared" si="67"/>
        <v>0</v>
      </c>
      <c r="AR36" s="30">
        <f t="shared" si="67"/>
        <v>0</v>
      </c>
      <c r="AS36" s="30">
        <f>SUM(AS27:AS35)</f>
        <v>108</v>
      </c>
      <c r="AU36" s="30">
        <f>SUM(AU27:AU35)</f>
        <v>0</v>
      </c>
      <c r="AV36" s="30">
        <f t="shared" ref="AV36:BA36" si="68">SUM(AV27:AV35)</f>
        <v>1</v>
      </c>
      <c r="AW36" s="30">
        <f t="shared" si="68"/>
        <v>0</v>
      </c>
      <c r="AX36" s="30"/>
      <c r="AY36" s="30">
        <f t="shared" si="68"/>
        <v>0</v>
      </c>
      <c r="AZ36" s="30">
        <f t="shared" si="68"/>
        <v>0</v>
      </c>
      <c r="BA36" s="30">
        <f t="shared" si="68"/>
        <v>0</v>
      </c>
      <c r="BB36" s="30">
        <f>SUM(BB27:BB35)</f>
        <v>1</v>
      </c>
      <c r="BD36" s="30">
        <f>SUM(BD27:BD35)</f>
        <v>13</v>
      </c>
      <c r="BE36" s="30">
        <f t="shared" ref="BE36:BJ36" si="69">SUM(BE27:BE35)</f>
        <v>1</v>
      </c>
      <c r="BF36" s="30">
        <f t="shared" si="69"/>
        <v>0</v>
      </c>
      <c r="BG36" s="30"/>
      <c r="BH36" s="30">
        <f t="shared" si="69"/>
        <v>0</v>
      </c>
      <c r="BI36" s="30">
        <f t="shared" si="69"/>
        <v>0</v>
      </c>
      <c r="BJ36" s="30">
        <f t="shared" si="69"/>
        <v>0</v>
      </c>
      <c r="BK36" s="30">
        <f>SUM(BK27:BK35)</f>
        <v>14</v>
      </c>
      <c r="BM36" s="30">
        <f>SUM(BM27:BM35)</f>
        <v>1</v>
      </c>
      <c r="BN36" s="30">
        <f t="shared" ref="BN36:BS36" si="70">SUM(BN27:BN35)</f>
        <v>0</v>
      </c>
      <c r="BO36" s="30">
        <f t="shared" si="70"/>
        <v>0</v>
      </c>
      <c r="BP36" s="30"/>
      <c r="BQ36" s="30">
        <f t="shared" si="70"/>
        <v>0</v>
      </c>
      <c r="BR36" s="30">
        <f t="shared" si="70"/>
        <v>0</v>
      </c>
      <c r="BS36" s="30">
        <f t="shared" si="70"/>
        <v>0</v>
      </c>
      <c r="BT36" s="30">
        <f>SUM(BT27:BT35)</f>
        <v>1</v>
      </c>
      <c r="BV36" s="30">
        <f>SUM(BV27:BV35)</f>
        <v>347.5</v>
      </c>
      <c r="BW36" s="30">
        <f t="shared" ref="BW36:BX36" si="71">SUM(BW27:BW35)</f>
        <v>41</v>
      </c>
      <c r="BX36" s="30">
        <f t="shared" si="71"/>
        <v>0</v>
      </c>
      <c r="BY36" s="30"/>
      <c r="BZ36" s="30">
        <f t="shared" ref="BZ36:CB36" si="72">SUM(BZ27:BZ35)</f>
        <v>0</v>
      </c>
      <c r="CA36" s="30">
        <f t="shared" si="72"/>
        <v>0</v>
      </c>
      <c r="CB36" s="30">
        <f t="shared" si="72"/>
        <v>0</v>
      </c>
      <c r="CC36" s="30">
        <f>SUM(CC27:CC35)</f>
        <v>388.5</v>
      </c>
    </row>
    <row r="37" spans="1:81" ht="15">
      <c r="A37" s="31"/>
      <c r="B37" s="5"/>
      <c r="C37" s="5"/>
      <c r="D37" s="5"/>
      <c r="E37" s="5"/>
      <c r="F37" s="5"/>
      <c r="G37" s="5"/>
      <c r="H37" s="5"/>
      <c r="I37" s="5"/>
      <c r="J37" s="7"/>
      <c r="K37" s="5"/>
      <c r="L37" s="5"/>
      <c r="M37" s="5"/>
      <c r="N37" s="5"/>
      <c r="O37" s="5"/>
      <c r="P37" s="5"/>
      <c r="Q37" s="5"/>
      <c r="R37" s="5"/>
      <c r="T37" s="5"/>
      <c r="U37" s="5"/>
      <c r="V37" s="5"/>
      <c r="W37" s="5"/>
      <c r="X37" s="5"/>
      <c r="Y37" s="5"/>
      <c r="Z37" s="5"/>
      <c r="AA37" s="5"/>
      <c r="AC37" s="5"/>
      <c r="AD37" s="5"/>
      <c r="AE37" s="5"/>
      <c r="AF37" s="5"/>
      <c r="AG37" s="5"/>
      <c r="AH37" s="5"/>
      <c r="AI37" s="5"/>
      <c r="AJ37" s="5"/>
      <c r="AL37" s="5"/>
      <c r="AM37" s="5"/>
      <c r="AN37" s="5"/>
      <c r="AO37" s="5"/>
      <c r="AP37" s="5"/>
      <c r="AQ37" s="5"/>
      <c r="AR37" s="5"/>
      <c r="AS37" s="5"/>
      <c r="AU37" s="5"/>
      <c r="AV37" s="5"/>
      <c r="AW37" s="5"/>
      <c r="AX37" s="5"/>
      <c r="AY37" s="5"/>
      <c r="AZ37" s="5"/>
      <c r="BA37" s="5"/>
      <c r="BB37" s="5"/>
      <c r="BD37" s="5"/>
      <c r="BE37" s="5"/>
      <c r="BF37" s="5"/>
      <c r="BG37" s="5"/>
      <c r="BH37" s="5"/>
      <c r="BI37" s="5"/>
      <c r="BJ37" s="5"/>
      <c r="BK37" s="5"/>
      <c r="BM37" s="5"/>
      <c r="BN37" s="5"/>
      <c r="BO37" s="5"/>
      <c r="BP37" s="5"/>
      <c r="BQ37" s="5"/>
      <c r="BR37" s="5"/>
      <c r="BS37" s="5"/>
      <c r="BT37" s="5"/>
      <c r="BV37" s="5"/>
      <c r="BW37" s="5"/>
      <c r="BX37" s="5"/>
      <c r="BY37" s="5"/>
      <c r="BZ37" s="5"/>
      <c r="CA37" s="5"/>
      <c r="CB37" s="5"/>
      <c r="CC37" s="5"/>
    </row>
    <row r="38" spans="1:81" ht="15">
      <c r="A38" s="24" t="s">
        <v>39</v>
      </c>
      <c r="B38" s="18" t="str">
        <f t="shared" ref="B38:I38" si="73">B1</f>
        <v>Operating</v>
      </c>
      <c r="C38" s="18" t="str">
        <f t="shared" si="73"/>
        <v>SPED</v>
      </c>
      <c r="D38" s="18" t="str">
        <f t="shared" si="73"/>
        <v>NSLP</v>
      </c>
      <c r="E38" s="18" t="str">
        <f t="shared" si="73"/>
        <v>Other</v>
      </c>
      <c r="F38" s="18" t="str">
        <f t="shared" si="73"/>
        <v>Title I</v>
      </c>
      <c r="G38" s="18" t="str">
        <f t="shared" si="73"/>
        <v>SGF</v>
      </c>
      <c r="H38" s="18" t="str">
        <f t="shared" si="73"/>
        <v>Title III</v>
      </c>
      <c r="I38" s="18" t="str">
        <f t="shared" si="73"/>
        <v>Horizon</v>
      </c>
      <c r="J38" s="19"/>
      <c r="K38" s="18" t="str">
        <f t="shared" ref="K38:R38" si="74">K1</f>
        <v>Operating</v>
      </c>
      <c r="L38" s="18" t="str">
        <f t="shared" si="74"/>
        <v>SPED</v>
      </c>
      <c r="M38" s="18" t="str">
        <f t="shared" si="74"/>
        <v>NSLP</v>
      </c>
      <c r="N38" s="18" t="str">
        <f t="shared" si="74"/>
        <v>Other</v>
      </c>
      <c r="O38" s="18" t="str">
        <f t="shared" si="74"/>
        <v>Title I</v>
      </c>
      <c r="P38" s="18" t="str">
        <f t="shared" si="74"/>
        <v>SGF</v>
      </c>
      <c r="Q38" s="18" t="str">
        <f t="shared" si="74"/>
        <v>Title III</v>
      </c>
      <c r="R38" s="18" t="str">
        <f t="shared" si="74"/>
        <v>St. Rose</v>
      </c>
      <c r="T38" s="18" t="str">
        <f t="shared" ref="T38:AA38" si="75">T1</f>
        <v>Operating</v>
      </c>
      <c r="U38" s="18" t="str">
        <f t="shared" si="75"/>
        <v>SPED</v>
      </c>
      <c r="V38" s="18" t="str">
        <f t="shared" si="75"/>
        <v>NSLP</v>
      </c>
      <c r="W38" s="18" t="str">
        <f t="shared" si="75"/>
        <v>Other</v>
      </c>
      <c r="X38" s="18" t="str">
        <f t="shared" si="75"/>
        <v>Title I</v>
      </c>
      <c r="Y38" s="18" t="str">
        <f t="shared" si="75"/>
        <v>SGF</v>
      </c>
      <c r="Z38" s="18" t="str">
        <f t="shared" si="75"/>
        <v>Title III</v>
      </c>
      <c r="AA38" s="18" t="str">
        <f t="shared" si="75"/>
        <v>Inspirada</v>
      </c>
      <c r="AC38" s="18" t="str">
        <f t="shared" ref="AC38:AJ38" si="76">AC1</f>
        <v>Operating</v>
      </c>
      <c r="AD38" s="18" t="str">
        <f t="shared" si="76"/>
        <v>SPED</v>
      </c>
      <c r="AE38" s="18" t="str">
        <f t="shared" si="76"/>
        <v>NSLP</v>
      </c>
      <c r="AF38" s="18" t="str">
        <f t="shared" si="76"/>
        <v>Other</v>
      </c>
      <c r="AG38" s="18" t="str">
        <f t="shared" si="76"/>
        <v>Title I</v>
      </c>
      <c r="AH38" s="18" t="str">
        <f t="shared" si="76"/>
        <v>SGF</v>
      </c>
      <c r="AI38" s="18" t="str">
        <f t="shared" si="76"/>
        <v>Title III</v>
      </c>
      <c r="AJ38" s="18" t="str">
        <f t="shared" si="76"/>
        <v>Cadence</v>
      </c>
      <c r="AL38" s="18" t="str">
        <f t="shared" ref="AL38:AS38" si="77">AL1</f>
        <v>Operating</v>
      </c>
      <c r="AM38" s="18" t="str">
        <f t="shared" si="77"/>
        <v>SPED</v>
      </c>
      <c r="AN38" s="18" t="str">
        <f t="shared" si="77"/>
        <v>NSLP</v>
      </c>
      <c r="AO38" s="18" t="str">
        <f t="shared" si="77"/>
        <v>Other</v>
      </c>
      <c r="AP38" s="18" t="str">
        <f t="shared" si="77"/>
        <v>Title I</v>
      </c>
      <c r="AQ38" s="18" t="str">
        <f t="shared" si="77"/>
        <v>SGF</v>
      </c>
      <c r="AR38" s="18" t="str">
        <f t="shared" si="77"/>
        <v>Title III</v>
      </c>
      <c r="AS38" s="18" t="str">
        <f t="shared" si="77"/>
        <v>Sloan</v>
      </c>
      <c r="AU38" s="18" t="str">
        <f t="shared" ref="AU38:BB38" si="78">AU1</f>
        <v>Operating</v>
      </c>
      <c r="AV38" s="18" t="str">
        <f t="shared" si="78"/>
        <v>SPED</v>
      </c>
      <c r="AW38" s="18" t="str">
        <f t="shared" si="78"/>
        <v>NSLP</v>
      </c>
      <c r="AX38" s="18" t="str">
        <f t="shared" si="78"/>
        <v>Other</v>
      </c>
      <c r="AY38" s="18" t="str">
        <f t="shared" si="78"/>
        <v>Title I</v>
      </c>
      <c r="AZ38" s="18" t="str">
        <f t="shared" si="78"/>
        <v>SGF</v>
      </c>
      <c r="BA38" s="18" t="str">
        <f t="shared" si="78"/>
        <v>Title III</v>
      </c>
      <c r="BB38" s="18" t="str">
        <f t="shared" si="78"/>
        <v>Virtual</v>
      </c>
      <c r="BD38" s="18" t="str">
        <f t="shared" ref="BD38:BK38" si="79">BD1</f>
        <v>Operating</v>
      </c>
      <c r="BE38" s="18" t="str">
        <f t="shared" si="79"/>
        <v>SPED</v>
      </c>
      <c r="BF38" s="18" t="str">
        <f t="shared" si="79"/>
        <v>NSLP</v>
      </c>
      <c r="BG38" s="18" t="str">
        <f t="shared" si="79"/>
        <v>Other</v>
      </c>
      <c r="BH38" s="18" t="str">
        <f t="shared" si="79"/>
        <v>Title I</v>
      </c>
      <c r="BI38" s="18" t="str">
        <f t="shared" si="79"/>
        <v>SGF</v>
      </c>
      <c r="BJ38" s="18" t="str">
        <f t="shared" si="79"/>
        <v>Title III</v>
      </c>
      <c r="BK38" s="18" t="str">
        <f t="shared" si="79"/>
        <v>Springs</v>
      </c>
      <c r="BM38" s="18" t="str">
        <f t="shared" ref="BM38:BT38" si="80">BM1</f>
        <v>Operating</v>
      </c>
      <c r="BN38" s="18" t="str">
        <f t="shared" si="80"/>
        <v>SPED</v>
      </c>
      <c r="BO38" s="18" t="str">
        <f t="shared" si="80"/>
        <v>NSLP</v>
      </c>
      <c r="BP38" s="18" t="str">
        <f t="shared" si="80"/>
        <v>Other</v>
      </c>
      <c r="BQ38" s="18" t="str">
        <f t="shared" si="80"/>
        <v>Title I</v>
      </c>
      <c r="BR38" s="18" t="str">
        <f t="shared" si="80"/>
        <v>SGF</v>
      </c>
      <c r="BS38" s="18" t="str">
        <f t="shared" si="80"/>
        <v>Title III</v>
      </c>
      <c r="BT38" s="18" t="str">
        <f t="shared" si="80"/>
        <v>Exec. Office</v>
      </c>
      <c r="BV38" s="18" t="str">
        <f t="shared" ref="BV38:CC38" si="81">BV1</f>
        <v>Operating</v>
      </c>
      <c r="BW38" s="18" t="str">
        <f t="shared" si="81"/>
        <v>SPED</v>
      </c>
      <c r="BX38" s="18" t="str">
        <f t="shared" si="81"/>
        <v>NSLP</v>
      </c>
      <c r="BY38" s="18" t="str">
        <f t="shared" si="81"/>
        <v>Other</v>
      </c>
      <c r="BZ38" s="18" t="str">
        <f t="shared" si="81"/>
        <v>Title I</v>
      </c>
      <c r="CA38" s="18" t="str">
        <f t="shared" si="81"/>
        <v>SGF</v>
      </c>
      <c r="CB38" s="18" t="str">
        <f t="shared" si="81"/>
        <v>Title III</v>
      </c>
      <c r="CC38" s="18" t="str">
        <f t="shared" si="81"/>
        <v>Systemwide</v>
      </c>
    </row>
    <row r="39" spans="1:81">
      <c r="A39" s="25" t="s">
        <v>40</v>
      </c>
      <c r="B39" s="27">
        <v>1</v>
      </c>
      <c r="C39" s="27"/>
      <c r="D39" s="27"/>
      <c r="E39" s="27"/>
      <c r="F39" s="27"/>
      <c r="G39" s="27"/>
      <c r="H39" s="27"/>
      <c r="I39" s="26">
        <f t="shared" ref="I39:I60" si="82">SUM(B39:H39)</f>
        <v>1</v>
      </c>
      <c r="K39" s="27">
        <v>1</v>
      </c>
      <c r="L39" s="27"/>
      <c r="M39" s="27"/>
      <c r="N39" s="27"/>
      <c r="O39" s="27"/>
      <c r="P39" s="27"/>
      <c r="Q39" s="27"/>
      <c r="R39" s="26">
        <f t="shared" ref="R39:R60" si="83">SUM(K39:Q39)</f>
        <v>1</v>
      </c>
      <c r="T39" s="27">
        <v>1</v>
      </c>
      <c r="U39" s="27"/>
      <c r="V39" s="27"/>
      <c r="W39" s="27"/>
      <c r="X39" s="27"/>
      <c r="Y39" s="27"/>
      <c r="Z39" s="27"/>
      <c r="AA39" s="26">
        <f t="shared" ref="AA39:AA60" si="84">SUM(T39:Z39)</f>
        <v>1</v>
      </c>
      <c r="AC39" s="27">
        <v>1</v>
      </c>
      <c r="AD39" s="27"/>
      <c r="AE39" s="27"/>
      <c r="AF39" s="27"/>
      <c r="AG39" s="27"/>
      <c r="AH39" s="27"/>
      <c r="AI39" s="27"/>
      <c r="AJ39" s="26">
        <f t="shared" ref="AJ39:AJ60" si="85">SUM(AC39:AI39)</f>
        <v>1</v>
      </c>
      <c r="AL39" s="27">
        <v>1</v>
      </c>
      <c r="AM39" s="27"/>
      <c r="AN39" s="27"/>
      <c r="AO39" s="27"/>
      <c r="AP39" s="27"/>
      <c r="AQ39" s="27"/>
      <c r="AR39" s="27"/>
      <c r="AS39" s="26">
        <f t="shared" ref="AS39:AS60" si="86">SUM(AL39:AR39)</f>
        <v>1</v>
      </c>
      <c r="AU39" s="27"/>
      <c r="AV39" s="27"/>
      <c r="AW39" s="27"/>
      <c r="AX39" s="27"/>
      <c r="AY39" s="27"/>
      <c r="AZ39" s="27"/>
      <c r="BA39" s="27"/>
      <c r="BB39" s="26">
        <f t="shared" ref="BB39:BB60" si="87">SUM(AU39:BA39)</f>
        <v>0</v>
      </c>
      <c r="BD39" s="27">
        <v>1</v>
      </c>
      <c r="BE39" s="27"/>
      <c r="BF39" s="27"/>
      <c r="BG39" s="27"/>
      <c r="BH39" s="27"/>
      <c r="BI39" s="27"/>
      <c r="BJ39" s="27"/>
      <c r="BK39" s="26">
        <f t="shared" ref="BK39:BK60" si="88">SUM(BD39:BJ39)</f>
        <v>1</v>
      </c>
      <c r="BM39" s="27">
        <v>0</v>
      </c>
      <c r="BN39" s="27"/>
      <c r="BO39" s="27"/>
      <c r="BP39" s="27"/>
      <c r="BQ39" s="27"/>
      <c r="BR39" s="27"/>
      <c r="BS39" s="27"/>
      <c r="BT39" s="26">
        <f t="shared" ref="BT39:BT60" si="89">SUM(BM39:BS39)</f>
        <v>0</v>
      </c>
      <c r="BV39" s="26">
        <f>B39+K39+T39+AC39+AL39+AU39+BD39+BM39</f>
        <v>6</v>
      </c>
      <c r="BW39" s="26">
        <f t="shared" ref="BW39:CA54" si="90">C39+L39+U39+AD39+AM39+AV39+BE39+BN39</f>
        <v>0</v>
      </c>
      <c r="BX39" s="26">
        <f t="shared" si="90"/>
        <v>0</v>
      </c>
      <c r="BY39" s="26">
        <f t="shared" si="90"/>
        <v>0</v>
      </c>
      <c r="BZ39" s="26">
        <f t="shared" si="90"/>
        <v>0</v>
      </c>
      <c r="CA39" s="26">
        <f t="shared" si="90"/>
        <v>0</v>
      </c>
      <c r="CB39" s="27"/>
      <c r="CC39" s="26">
        <f t="shared" ref="CC39" si="91">SUM(BV39:CB39)</f>
        <v>6</v>
      </c>
    </row>
    <row r="40" spans="1:81">
      <c r="A40" s="25" t="s">
        <v>41</v>
      </c>
      <c r="B40" s="27">
        <v>3</v>
      </c>
      <c r="C40" s="27"/>
      <c r="D40" s="27"/>
      <c r="E40" s="27"/>
      <c r="F40" s="27"/>
      <c r="G40" s="27"/>
      <c r="H40" s="27"/>
      <c r="I40" s="26">
        <f>SUM(B40:H40)</f>
        <v>3</v>
      </c>
      <c r="K40" s="27">
        <v>3</v>
      </c>
      <c r="L40" s="27"/>
      <c r="M40" s="27"/>
      <c r="N40" s="27"/>
      <c r="O40" s="27"/>
      <c r="P40" s="27"/>
      <c r="Q40" s="27"/>
      <c r="R40" s="26">
        <f>SUM(K40:Q40)</f>
        <v>3</v>
      </c>
      <c r="T40" s="27">
        <v>3</v>
      </c>
      <c r="U40" s="27"/>
      <c r="V40" s="27"/>
      <c r="W40" s="27"/>
      <c r="X40" s="27"/>
      <c r="Y40" s="27"/>
      <c r="Z40" s="27"/>
      <c r="AA40" s="26">
        <f>SUM(T40:Z40)</f>
        <v>3</v>
      </c>
      <c r="AC40" s="27">
        <v>5</v>
      </c>
      <c r="AD40" s="27"/>
      <c r="AE40" s="27"/>
      <c r="AF40" s="27"/>
      <c r="AG40" s="27"/>
      <c r="AH40" s="27"/>
      <c r="AI40" s="27"/>
      <c r="AJ40" s="26">
        <f>SUM(AC40:AI40)</f>
        <v>5</v>
      </c>
      <c r="AL40" s="27">
        <v>4</v>
      </c>
      <c r="AM40" s="27"/>
      <c r="AN40" s="27"/>
      <c r="AO40" s="27"/>
      <c r="AP40" s="27"/>
      <c r="AQ40" s="27"/>
      <c r="AR40" s="27"/>
      <c r="AS40" s="26">
        <f>SUM(AL40:AR40)</f>
        <v>4</v>
      </c>
      <c r="AU40" s="27"/>
      <c r="AV40" s="27"/>
      <c r="AW40" s="27"/>
      <c r="AX40" s="27"/>
      <c r="AY40" s="27"/>
      <c r="AZ40" s="27"/>
      <c r="BA40" s="27"/>
      <c r="BB40" s="26">
        <f>SUM(AU40:BA40)</f>
        <v>0</v>
      </c>
      <c r="BD40" s="27">
        <v>1</v>
      </c>
      <c r="BE40" s="27"/>
      <c r="BF40" s="27"/>
      <c r="BG40" s="27"/>
      <c r="BH40" s="27"/>
      <c r="BI40" s="27"/>
      <c r="BJ40" s="27"/>
      <c r="BK40" s="26">
        <f>SUM(BD40:BJ40)</f>
        <v>1</v>
      </c>
      <c r="BM40" s="27">
        <v>0</v>
      </c>
      <c r="BN40" s="27"/>
      <c r="BO40" s="27"/>
      <c r="BP40" s="27"/>
      <c r="BQ40" s="27"/>
      <c r="BR40" s="27"/>
      <c r="BS40" s="27"/>
      <c r="BT40" s="26">
        <f>SUM(BM40:BS40)</f>
        <v>0</v>
      </c>
      <c r="BV40" s="26">
        <f t="shared" ref="BV40:CA60" si="92">B40+K40+T40+AC40+AL40+AU40+BD40+BM40</f>
        <v>19</v>
      </c>
      <c r="BW40" s="26">
        <f t="shared" si="90"/>
        <v>0</v>
      </c>
      <c r="BX40" s="26">
        <f t="shared" si="90"/>
        <v>0</v>
      </c>
      <c r="BY40" s="26">
        <f t="shared" si="90"/>
        <v>0</v>
      </c>
      <c r="BZ40" s="26">
        <f t="shared" si="90"/>
        <v>0</v>
      </c>
      <c r="CA40" s="26">
        <f t="shared" si="90"/>
        <v>0</v>
      </c>
      <c r="CB40" s="27"/>
      <c r="CC40" s="26">
        <f>SUM(BV40:CB40)</f>
        <v>19</v>
      </c>
    </row>
    <row r="41" spans="1:81">
      <c r="A41" s="29" t="s">
        <v>42</v>
      </c>
      <c r="B41" s="27">
        <v>0</v>
      </c>
      <c r="C41" s="27"/>
      <c r="D41" s="27"/>
      <c r="E41" s="27"/>
      <c r="F41" s="27"/>
      <c r="G41" s="27"/>
      <c r="H41" s="27"/>
      <c r="I41" s="26">
        <f>SUM(B41:H41)</f>
        <v>0</v>
      </c>
      <c r="K41" s="27">
        <v>0</v>
      </c>
      <c r="L41" s="27"/>
      <c r="M41" s="27"/>
      <c r="N41" s="27"/>
      <c r="O41" s="27"/>
      <c r="P41" s="27"/>
      <c r="Q41" s="27"/>
      <c r="R41" s="26">
        <f>SUM(K41:Q41)</f>
        <v>0</v>
      </c>
      <c r="T41" s="27"/>
      <c r="U41" s="27"/>
      <c r="V41" s="27"/>
      <c r="W41" s="27"/>
      <c r="X41" s="27"/>
      <c r="Y41" s="27"/>
      <c r="Z41" s="27"/>
      <c r="AA41" s="26">
        <f>SUM(T41:Z41)</f>
        <v>0</v>
      </c>
      <c r="AC41" s="27">
        <v>0</v>
      </c>
      <c r="AD41" s="27"/>
      <c r="AE41" s="27"/>
      <c r="AF41" s="27"/>
      <c r="AG41" s="27"/>
      <c r="AH41" s="27"/>
      <c r="AI41" s="27"/>
      <c r="AJ41" s="26">
        <f>SUM(AC41:AI41)</f>
        <v>0</v>
      </c>
      <c r="AL41" s="27">
        <v>0</v>
      </c>
      <c r="AM41" s="27"/>
      <c r="AN41" s="27"/>
      <c r="AO41" s="27"/>
      <c r="AP41" s="27"/>
      <c r="AQ41" s="27"/>
      <c r="AR41" s="27"/>
      <c r="AS41" s="26">
        <f>SUM(AL41:AR41)</f>
        <v>0</v>
      </c>
      <c r="AU41" s="27"/>
      <c r="AV41" s="27"/>
      <c r="AW41" s="27"/>
      <c r="AX41" s="27"/>
      <c r="AY41" s="27"/>
      <c r="AZ41" s="27"/>
      <c r="BA41" s="27"/>
      <c r="BB41" s="26">
        <f>SUM(AU41:BA41)</f>
        <v>0</v>
      </c>
      <c r="BD41" s="27">
        <v>1</v>
      </c>
      <c r="BE41" s="27"/>
      <c r="BF41" s="27"/>
      <c r="BG41" s="27"/>
      <c r="BH41" s="27"/>
      <c r="BI41" s="27"/>
      <c r="BJ41" s="27"/>
      <c r="BK41" s="26">
        <f>SUM(BD41:BJ41)</f>
        <v>1</v>
      </c>
      <c r="BM41" s="27">
        <v>0</v>
      </c>
      <c r="BN41" s="27"/>
      <c r="BO41" s="27"/>
      <c r="BP41" s="27"/>
      <c r="BQ41" s="27"/>
      <c r="BR41" s="27"/>
      <c r="BS41" s="27"/>
      <c r="BT41" s="26">
        <f>SUM(BM41:BS41)</f>
        <v>0</v>
      </c>
      <c r="BV41" s="26">
        <f t="shared" si="92"/>
        <v>1</v>
      </c>
      <c r="BW41" s="26">
        <f t="shared" si="90"/>
        <v>0</v>
      </c>
      <c r="BX41" s="26">
        <f t="shared" si="90"/>
        <v>0</v>
      </c>
      <c r="BY41" s="26">
        <f t="shared" si="90"/>
        <v>0</v>
      </c>
      <c r="BZ41" s="26">
        <f t="shared" si="90"/>
        <v>0</v>
      </c>
      <c r="CA41" s="26">
        <f t="shared" si="90"/>
        <v>0</v>
      </c>
      <c r="CB41" s="27"/>
      <c r="CC41" s="26">
        <f>SUM(BV41:CB41)</f>
        <v>1</v>
      </c>
    </row>
    <row r="42" spans="1:81">
      <c r="A42" s="32" t="s">
        <v>43</v>
      </c>
      <c r="B42" s="27">
        <v>0</v>
      </c>
      <c r="C42" s="27"/>
      <c r="D42" s="27"/>
      <c r="E42" s="27"/>
      <c r="F42" s="27"/>
      <c r="G42" s="27"/>
      <c r="H42" s="27"/>
      <c r="I42" s="26">
        <f>SUM(B42:H42)</f>
        <v>0</v>
      </c>
      <c r="K42" s="27">
        <v>1</v>
      </c>
      <c r="L42" s="27"/>
      <c r="M42" s="27"/>
      <c r="N42" s="27"/>
      <c r="O42" s="27"/>
      <c r="P42" s="27"/>
      <c r="Q42" s="27"/>
      <c r="R42" s="26">
        <f>SUM(K42:Q42)</f>
        <v>1</v>
      </c>
      <c r="T42" s="27"/>
      <c r="U42" s="27"/>
      <c r="V42" s="27"/>
      <c r="W42" s="27"/>
      <c r="X42" s="27"/>
      <c r="Y42" s="27"/>
      <c r="Z42" s="27"/>
      <c r="AA42" s="26">
        <f>SUM(T42:Z42)</f>
        <v>0</v>
      </c>
      <c r="AC42" s="27">
        <v>3</v>
      </c>
      <c r="AD42" s="27"/>
      <c r="AE42" s="27"/>
      <c r="AF42" s="27"/>
      <c r="AG42" s="27"/>
      <c r="AH42" s="27"/>
      <c r="AI42" s="27"/>
      <c r="AJ42" s="26">
        <f>SUM(AC42:AI42)</f>
        <v>3</v>
      </c>
      <c r="AL42" s="27">
        <v>3</v>
      </c>
      <c r="AM42" s="27"/>
      <c r="AN42" s="27"/>
      <c r="AO42" s="27"/>
      <c r="AP42" s="27"/>
      <c r="AQ42" s="27"/>
      <c r="AR42" s="27"/>
      <c r="AS42" s="26">
        <f>SUM(AL42:AR42)</f>
        <v>3</v>
      </c>
      <c r="AU42" s="27"/>
      <c r="AV42" s="27"/>
      <c r="AW42" s="27"/>
      <c r="AX42" s="27"/>
      <c r="AY42" s="27"/>
      <c r="AZ42" s="27"/>
      <c r="BA42" s="27"/>
      <c r="BB42" s="26">
        <f>SUM(AU42:BA42)</f>
        <v>0</v>
      </c>
      <c r="BD42" s="27">
        <v>0</v>
      </c>
      <c r="BE42" s="27"/>
      <c r="BF42" s="27"/>
      <c r="BG42" s="27"/>
      <c r="BH42" s="27"/>
      <c r="BI42" s="27"/>
      <c r="BJ42" s="27"/>
      <c r="BK42" s="26">
        <f>SUM(BD42:BJ42)</f>
        <v>0</v>
      </c>
      <c r="BM42" s="27">
        <v>0</v>
      </c>
      <c r="BN42" s="27"/>
      <c r="BO42" s="27"/>
      <c r="BP42" s="27"/>
      <c r="BQ42" s="27"/>
      <c r="BR42" s="27"/>
      <c r="BS42" s="27"/>
      <c r="BT42" s="26">
        <f>SUM(BM42:BS42)</f>
        <v>0</v>
      </c>
      <c r="BV42" s="26">
        <f t="shared" si="92"/>
        <v>7</v>
      </c>
      <c r="BW42" s="26">
        <f t="shared" si="90"/>
        <v>0</v>
      </c>
      <c r="BX42" s="26">
        <f t="shared" si="90"/>
        <v>0</v>
      </c>
      <c r="BY42" s="26">
        <f t="shared" si="90"/>
        <v>0</v>
      </c>
      <c r="BZ42" s="26">
        <f t="shared" si="90"/>
        <v>0</v>
      </c>
      <c r="CA42" s="26">
        <f t="shared" si="90"/>
        <v>0</v>
      </c>
      <c r="CB42" s="27"/>
      <c r="CC42" s="26">
        <f>SUM(BV42:CB42)</f>
        <v>7</v>
      </c>
    </row>
    <row r="43" spans="1:81">
      <c r="A43" s="32" t="s">
        <v>44</v>
      </c>
      <c r="B43" s="27">
        <v>1</v>
      </c>
      <c r="C43" s="27"/>
      <c r="D43" s="27"/>
      <c r="E43" s="27"/>
      <c r="F43" s="27"/>
      <c r="G43" s="27"/>
      <c r="H43" s="27"/>
      <c r="I43" s="26">
        <f>SUM(B43:H43)</f>
        <v>1</v>
      </c>
      <c r="K43" s="27">
        <v>1</v>
      </c>
      <c r="L43" s="27"/>
      <c r="M43" s="27"/>
      <c r="N43" s="27"/>
      <c r="O43" s="27"/>
      <c r="P43" s="27"/>
      <c r="Q43" s="27"/>
      <c r="R43" s="26">
        <f>SUM(K43:Q43)</f>
        <v>1</v>
      </c>
      <c r="T43" s="27">
        <v>1</v>
      </c>
      <c r="U43" s="27"/>
      <c r="V43" s="27"/>
      <c r="W43" s="27"/>
      <c r="X43" s="27"/>
      <c r="Y43" s="27"/>
      <c r="Z43" s="27"/>
      <c r="AA43" s="26">
        <f>SUM(T43:Z43)</f>
        <v>1</v>
      </c>
      <c r="AC43" s="27">
        <v>2</v>
      </c>
      <c r="AD43" s="27"/>
      <c r="AE43" s="27"/>
      <c r="AF43" s="27"/>
      <c r="AG43" s="27"/>
      <c r="AH43" s="27"/>
      <c r="AI43" s="27"/>
      <c r="AJ43" s="26">
        <f>SUM(AC43:AI43)</f>
        <v>2</v>
      </c>
      <c r="AL43" s="27">
        <v>2</v>
      </c>
      <c r="AM43" s="27"/>
      <c r="AN43" s="27"/>
      <c r="AO43" s="27"/>
      <c r="AP43" s="27"/>
      <c r="AQ43" s="27"/>
      <c r="AR43" s="27"/>
      <c r="AS43" s="26">
        <f>SUM(AL43:AR43)</f>
        <v>2</v>
      </c>
      <c r="AU43" s="27">
        <v>1</v>
      </c>
      <c r="AV43" s="27"/>
      <c r="AW43" s="27"/>
      <c r="AX43" s="27"/>
      <c r="AY43" s="27"/>
      <c r="AZ43" s="27"/>
      <c r="BA43" s="27"/>
      <c r="BB43" s="26">
        <f>SUM(AU43:BA43)</f>
        <v>1</v>
      </c>
      <c r="BD43" s="27">
        <v>0</v>
      </c>
      <c r="BE43" s="27"/>
      <c r="BF43" s="27"/>
      <c r="BG43" s="27"/>
      <c r="BH43" s="27"/>
      <c r="BI43" s="27"/>
      <c r="BJ43" s="27"/>
      <c r="BK43" s="26">
        <f>SUM(BD43:BJ43)</f>
        <v>0</v>
      </c>
      <c r="BM43" s="27">
        <v>1</v>
      </c>
      <c r="BN43" s="27"/>
      <c r="BO43" s="27"/>
      <c r="BP43" s="27"/>
      <c r="BQ43" s="27"/>
      <c r="BR43" s="27"/>
      <c r="BS43" s="27"/>
      <c r="BT43" s="26">
        <f>SUM(BM43:BS43)</f>
        <v>1</v>
      </c>
      <c r="BV43" s="26">
        <f t="shared" si="92"/>
        <v>9</v>
      </c>
      <c r="BW43" s="26">
        <f t="shared" si="90"/>
        <v>0</v>
      </c>
      <c r="BX43" s="26">
        <f t="shared" si="90"/>
        <v>0</v>
      </c>
      <c r="BY43" s="26">
        <f t="shared" si="90"/>
        <v>0</v>
      </c>
      <c r="BZ43" s="26">
        <f t="shared" si="90"/>
        <v>0</v>
      </c>
      <c r="CA43" s="26">
        <f t="shared" si="90"/>
        <v>0</v>
      </c>
      <c r="CB43" s="27"/>
      <c r="CC43" s="26">
        <f>SUM(BV43:CB43)</f>
        <v>9</v>
      </c>
    </row>
    <row r="44" spans="1:81">
      <c r="A44" s="32" t="s">
        <v>45</v>
      </c>
      <c r="B44" s="27">
        <v>0</v>
      </c>
      <c r="C44" s="27"/>
      <c r="D44" s="27"/>
      <c r="E44" s="27"/>
      <c r="F44" s="27"/>
      <c r="G44" s="27"/>
      <c r="H44" s="27"/>
      <c r="I44" s="26">
        <f>SUM(B44:H44)</f>
        <v>0</v>
      </c>
      <c r="K44" s="27">
        <v>0</v>
      </c>
      <c r="L44" s="27"/>
      <c r="M44" s="27"/>
      <c r="N44" s="27"/>
      <c r="O44" s="27"/>
      <c r="P44" s="27"/>
      <c r="Q44" s="27"/>
      <c r="R44" s="26">
        <f>SUM(K44:Q44)</f>
        <v>0</v>
      </c>
      <c r="T44" s="27">
        <v>1</v>
      </c>
      <c r="U44" s="27"/>
      <c r="V44" s="27"/>
      <c r="W44" s="27"/>
      <c r="X44" s="27"/>
      <c r="Y44" s="27"/>
      <c r="Z44" s="27"/>
      <c r="AA44" s="26">
        <f>SUM(T44:Z44)</f>
        <v>1</v>
      </c>
      <c r="AC44" s="27">
        <v>4</v>
      </c>
      <c r="AD44" s="27"/>
      <c r="AE44" s="27"/>
      <c r="AF44" s="27"/>
      <c r="AG44" s="27"/>
      <c r="AH44" s="27"/>
      <c r="AI44" s="27"/>
      <c r="AJ44" s="26">
        <f>SUM(AC44:AI44)</f>
        <v>4</v>
      </c>
      <c r="AL44" s="27">
        <v>3</v>
      </c>
      <c r="AM44" s="27"/>
      <c r="AN44" s="27"/>
      <c r="AO44" s="27"/>
      <c r="AP44" s="27"/>
      <c r="AQ44" s="27"/>
      <c r="AR44" s="27"/>
      <c r="AS44" s="26">
        <f>SUM(AL44:AR44)</f>
        <v>3</v>
      </c>
      <c r="AU44" s="27"/>
      <c r="AV44" s="27"/>
      <c r="AW44" s="27"/>
      <c r="AX44" s="27"/>
      <c r="AY44" s="27"/>
      <c r="AZ44" s="27"/>
      <c r="BA44" s="27"/>
      <c r="BB44" s="26">
        <f>SUM(AU44:BA44)</f>
        <v>0</v>
      </c>
      <c r="BD44" s="27">
        <v>0</v>
      </c>
      <c r="BE44" s="27"/>
      <c r="BF44" s="27"/>
      <c r="BG44" s="27"/>
      <c r="BH44" s="27"/>
      <c r="BI44" s="27"/>
      <c r="BJ44" s="27"/>
      <c r="BK44" s="26">
        <f>SUM(BD44:BJ44)</f>
        <v>0</v>
      </c>
      <c r="BM44" s="27">
        <v>0</v>
      </c>
      <c r="BN44" s="27"/>
      <c r="BO44" s="27"/>
      <c r="BP44" s="27"/>
      <c r="BQ44" s="27"/>
      <c r="BR44" s="27"/>
      <c r="BS44" s="27"/>
      <c r="BT44" s="26">
        <f>SUM(BM44:BS44)</f>
        <v>0</v>
      </c>
      <c r="BV44" s="26">
        <f t="shared" si="92"/>
        <v>8</v>
      </c>
      <c r="BW44" s="26">
        <f t="shared" si="90"/>
        <v>0</v>
      </c>
      <c r="BX44" s="26">
        <f t="shared" si="90"/>
        <v>0</v>
      </c>
      <c r="BY44" s="26">
        <f t="shared" si="90"/>
        <v>0</v>
      </c>
      <c r="BZ44" s="26">
        <f t="shared" si="90"/>
        <v>0</v>
      </c>
      <c r="CA44" s="26">
        <f t="shared" si="90"/>
        <v>0</v>
      </c>
      <c r="CB44" s="27"/>
      <c r="CC44" s="26">
        <f>SUM(BV44:CB44)</f>
        <v>8</v>
      </c>
    </row>
    <row r="45" spans="1:81">
      <c r="A45" s="32" t="s">
        <v>46</v>
      </c>
      <c r="B45" s="27">
        <v>0</v>
      </c>
      <c r="C45" s="27"/>
      <c r="D45" s="27"/>
      <c r="E45" s="27"/>
      <c r="F45" s="27"/>
      <c r="G45" s="27"/>
      <c r="H45" s="27"/>
      <c r="I45" s="26">
        <f t="shared" si="82"/>
        <v>0</v>
      </c>
      <c r="K45" s="27"/>
      <c r="L45" s="27"/>
      <c r="M45" s="27"/>
      <c r="N45" s="27"/>
      <c r="O45" s="27"/>
      <c r="P45" s="27"/>
      <c r="Q45" s="27"/>
      <c r="R45" s="26">
        <f t="shared" si="83"/>
        <v>0</v>
      </c>
      <c r="T45" s="27"/>
      <c r="U45" s="27"/>
      <c r="V45" s="27"/>
      <c r="W45" s="27"/>
      <c r="X45" s="27"/>
      <c r="Y45" s="27"/>
      <c r="Z45" s="27"/>
      <c r="AA45" s="26">
        <f t="shared" si="84"/>
        <v>0</v>
      </c>
      <c r="AC45" s="27">
        <v>0</v>
      </c>
      <c r="AD45" s="27"/>
      <c r="AE45" s="27"/>
      <c r="AF45" s="27"/>
      <c r="AG45" s="27"/>
      <c r="AH45" s="27"/>
      <c r="AI45" s="27"/>
      <c r="AJ45" s="26">
        <f t="shared" si="85"/>
        <v>0</v>
      </c>
      <c r="AL45" s="27">
        <v>0</v>
      </c>
      <c r="AM45" s="27"/>
      <c r="AN45" s="27"/>
      <c r="AO45" s="27"/>
      <c r="AP45" s="27"/>
      <c r="AQ45" s="27"/>
      <c r="AR45" s="27"/>
      <c r="AS45" s="26">
        <f t="shared" si="86"/>
        <v>0</v>
      </c>
      <c r="AU45" s="27"/>
      <c r="AV45" s="27"/>
      <c r="AW45" s="27"/>
      <c r="AX45" s="27"/>
      <c r="AY45" s="27"/>
      <c r="AZ45" s="27"/>
      <c r="BA45" s="27"/>
      <c r="BB45" s="26">
        <f t="shared" si="87"/>
        <v>0</v>
      </c>
      <c r="BD45" s="27">
        <v>0</v>
      </c>
      <c r="BE45" s="27"/>
      <c r="BF45" s="27"/>
      <c r="BG45" s="27"/>
      <c r="BH45" s="27"/>
      <c r="BI45" s="27"/>
      <c r="BJ45" s="27"/>
      <c r="BK45" s="26">
        <f t="shared" si="88"/>
        <v>0</v>
      </c>
      <c r="BM45" s="27">
        <v>0</v>
      </c>
      <c r="BN45" s="27"/>
      <c r="BO45" s="27"/>
      <c r="BP45" s="27"/>
      <c r="BQ45" s="27"/>
      <c r="BR45" s="27"/>
      <c r="BS45" s="27"/>
      <c r="BT45" s="26">
        <f t="shared" si="89"/>
        <v>0</v>
      </c>
      <c r="BV45" s="26">
        <f t="shared" si="92"/>
        <v>0</v>
      </c>
      <c r="BW45" s="26">
        <f t="shared" si="90"/>
        <v>0</v>
      </c>
      <c r="BX45" s="26">
        <f t="shared" si="90"/>
        <v>0</v>
      </c>
      <c r="BY45" s="26">
        <f t="shared" si="90"/>
        <v>0</v>
      </c>
      <c r="BZ45" s="26">
        <f t="shared" si="90"/>
        <v>0</v>
      </c>
      <c r="CA45" s="26">
        <f t="shared" si="90"/>
        <v>0</v>
      </c>
      <c r="CB45" s="27"/>
      <c r="CC45" s="26">
        <f t="shared" ref="CC45:CC46" si="93">SUM(BV45:CB45)</f>
        <v>0</v>
      </c>
    </row>
    <row r="46" spans="1:81">
      <c r="A46" s="25" t="s">
        <v>47</v>
      </c>
      <c r="B46" s="27">
        <v>2</v>
      </c>
      <c r="C46" s="27"/>
      <c r="D46" s="27"/>
      <c r="E46" s="27"/>
      <c r="F46" s="27"/>
      <c r="G46" s="27"/>
      <c r="H46" s="27"/>
      <c r="I46" s="26">
        <f t="shared" si="82"/>
        <v>2</v>
      </c>
      <c r="K46" s="27">
        <v>1</v>
      </c>
      <c r="L46" s="27"/>
      <c r="M46" s="27"/>
      <c r="N46" s="27"/>
      <c r="O46" s="27"/>
      <c r="P46" s="27"/>
      <c r="Q46" s="27"/>
      <c r="R46" s="26">
        <f t="shared" si="83"/>
        <v>1</v>
      </c>
      <c r="T46" s="27">
        <v>1</v>
      </c>
      <c r="U46" s="27"/>
      <c r="V46" s="27"/>
      <c r="W46" s="27"/>
      <c r="X46" s="27"/>
      <c r="Y46" s="27"/>
      <c r="Z46" s="27"/>
      <c r="AA46" s="26">
        <f t="shared" si="84"/>
        <v>1</v>
      </c>
      <c r="AC46" s="27">
        <v>2</v>
      </c>
      <c r="AD46" s="27"/>
      <c r="AE46" s="27"/>
      <c r="AF46" s="27"/>
      <c r="AG46" s="27"/>
      <c r="AH46" s="27"/>
      <c r="AI46" s="27"/>
      <c r="AJ46" s="26">
        <f t="shared" si="85"/>
        <v>2</v>
      </c>
      <c r="AL46" s="27">
        <v>2</v>
      </c>
      <c r="AM46" s="27"/>
      <c r="AN46" s="27"/>
      <c r="AO46" s="27"/>
      <c r="AP46" s="27"/>
      <c r="AQ46" s="27"/>
      <c r="AR46" s="27"/>
      <c r="AS46" s="26">
        <f t="shared" si="86"/>
        <v>2</v>
      </c>
      <c r="AU46" s="27"/>
      <c r="AV46" s="27"/>
      <c r="AW46" s="27"/>
      <c r="AX46" s="27"/>
      <c r="AY46" s="27"/>
      <c r="AZ46" s="27"/>
      <c r="BA46" s="27"/>
      <c r="BB46" s="26">
        <f t="shared" si="87"/>
        <v>0</v>
      </c>
      <c r="BD46" s="27">
        <v>1</v>
      </c>
      <c r="BE46" s="27"/>
      <c r="BF46" s="27"/>
      <c r="BG46" s="27"/>
      <c r="BH46" s="27"/>
      <c r="BI46" s="27"/>
      <c r="BJ46" s="27"/>
      <c r="BK46" s="26">
        <f t="shared" si="88"/>
        <v>1</v>
      </c>
      <c r="BM46" s="27">
        <v>1</v>
      </c>
      <c r="BN46" s="27"/>
      <c r="BO46" s="27"/>
      <c r="BP46" s="27"/>
      <c r="BQ46" s="27"/>
      <c r="BR46" s="27"/>
      <c r="BS46" s="27"/>
      <c r="BT46" s="26">
        <f t="shared" si="89"/>
        <v>1</v>
      </c>
      <c r="BV46" s="26">
        <f t="shared" si="92"/>
        <v>10</v>
      </c>
      <c r="BW46" s="26">
        <f t="shared" si="90"/>
        <v>0</v>
      </c>
      <c r="BX46" s="26">
        <f t="shared" si="90"/>
        <v>0</v>
      </c>
      <c r="BY46" s="26">
        <f t="shared" si="90"/>
        <v>0</v>
      </c>
      <c r="BZ46" s="26">
        <f t="shared" si="90"/>
        <v>0</v>
      </c>
      <c r="CA46" s="26">
        <f t="shared" si="90"/>
        <v>0</v>
      </c>
      <c r="CB46" s="27"/>
      <c r="CC46" s="26">
        <f t="shared" si="93"/>
        <v>10</v>
      </c>
    </row>
    <row r="47" spans="1:81">
      <c r="A47" s="25" t="s">
        <v>48</v>
      </c>
      <c r="B47" s="27">
        <v>1</v>
      </c>
      <c r="C47" s="27"/>
      <c r="D47" s="27"/>
      <c r="E47" s="27"/>
      <c r="F47" s="27"/>
      <c r="G47" s="27"/>
      <c r="H47" s="27"/>
      <c r="I47" s="26">
        <f>SUM(B47:H47)</f>
        <v>1</v>
      </c>
      <c r="K47" s="27">
        <v>1</v>
      </c>
      <c r="L47" s="27"/>
      <c r="M47" s="27"/>
      <c r="N47" s="27"/>
      <c r="O47" s="27"/>
      <c r="P47" s="27"/>
      <c r="Q47" s="27"/>
      <c r="R47" s="26">
        <f>SUM(K47:Q47)</f>
        <v>1</v>
      </c>
      <c r="T47" s="27">
        <v>1</v>
      </c>
      <c r="U47" s="27"/>
      <c r="V47" s="27"/>
      <c r="W47" s="27"/>
      <c r="X47" s="27"/>
      <c r="Y47" s="27"/>
      <c r="Z47" s="27"/>
      <c r="AA47" s="26">
        <f>SUM(T47:Z47)</f>
        <v>1</v>
      </c>
      <c r="AC47" s="27">
        <v>2</v>
      </c>
      <c r="AD47" s="27"/>
      <c r="AE47" s="27"/>
      <c r="AF47" s="27"/>
      <c r="AG47" s="27"/>
      <c r="AH47" s="27"/>
      <c r="AI47" s="27"/>
      <c r="AJ47" s="26">
        <f>SUM(AC47:AI47)</f>
        <v>2</v>
      </c>
      <c r="AL47" s="27">
        <v>2</v>
      </c>
      <c r="AM47" s="27"/>
      <c r="AN47" s="27"/>
      <c r="AO47" s="27"/>
      <c r="AP47" s="27"/>
      <c r="AQ47" s="27"/>
      <c r="AR47" s="27"/>
      <c r="AS47" s="26">
        <f>SUM(AL47:AR47)</f>
        <v>2</v>
      </c>
      <c r="AU47" s="27"/>
      <c r="AV47" s="27"/>
      <c r="AW47" s="27"/>
      <c r="AX47" s="27"/>
      <c r="AY47" s="27"/>
      <c r="AZ47" s="27"/>
      <c r="BA47" s="27"/>
      <c r="BB47" s="26">
        <f>SUM(AU47:BA47)</f>
        <v>0</v>
      </c>
      <c r="BD47" s="27">
        <v>0</v>
      </c>
      <c r="BE47" s="27"/>
      <c r="BF47" s="27"/>
      <c r="BG47" s="27"/>
      <c r="BH47" s="27"/>
      <c r="BI47" s="27"/>
      <c r="BJ47" s="27"/>
      <c r="BK47" s="26">
        <f>SUM(BD47:BJ47)</f>
        <v>0</v>
      </c>
      <c r="BM47" s="27">
        <v>0</v>
      </c>
      <c r="BN47" s="27"/>
      <c r="BO47" s="27"/>
      <c r="BP47" s="27"/>
      <c r="BQ47" s="27"/>
      <c r="BR47" s="27"/>
      <c r="BS47" s="27"/>
      <c r="BT47" s="26">
        <f>SUM(BM47:BS47)</f>
        <v>0</v>
      </c>
      <c r="BV47" s="26">
        <f t="shared" si="92"/>
        <v>7</v>
      </c>
      <c r="BW47" s="26">
        <f t="shared" si="90"/>
        <v>0</v>
      </c>
      <c r="BX47" s="26">
        <f t="shared" si="90"/>
        <v>0</v>
      </c>
      <c r="BY47" s="26">
        <f t="shared" si="90"/>
        <v>0</v>
      </c>
      <c r="BZ47" s="26">
        <f t="shared" si="90"/>
        <v>0</v>
      </c>
      <c r="CA47" s="26">
        <f t="shared" si="90"/>
        <v>0</v>
      </c>
      <c r="CB47" s="27"/>
      <c r="CC47" s="26">
        <f>SUM(BV47:CB47)</f>
        <v>7</v>
      </c>
    </row>
    <row r="48" spans="1:81">
      <c r="A48" s="25" t="s">
        <v>49</v>
      </c>
      <c r="B48" s="27">
        <v>1</v>
      </c>
      <c r="C48" s="27"/>
      <c r="D48" s="27"/>
      <c r="E48" s="27"/>
      <c r="F48" s="27"/>
      <c r="G48" s="27"/>
      <c r="H48" s="27"/>
      <c r="I48" s="26">
        <f t="shared" si="82"/>
        <v>1</v>
      </c>
      <c r="K48" s="27">
        <v>1</v>
      </c>
      <c r="L48" s="27"/>
      <c r="M48" s="27"/>
      <c r="N48" s="27"/>
      <c r="O48" s="27"/>
      <c r="P48" s="27"/>
      <c r="Q48" s="27"/>
      <c r="R48" s="26">
        <f t="shared" si="83"/>
        <v>1</v>
      </c>
      <c r="T48" s="27">
        <v>1</v>
      </c>
      <c r="U48" s="27"/>
      <c r="V48" s="27"/>
      <c r="W48" s="27"/>
      <c r="X48" s="27"/>
      <c r="Y48" s="27"/>
      <c r="Z48" s="27"/>
      <c r="AA48" s="26">
        <f t="shared" si="84"/>
        <v>1</v>
      </c>
      <c r="AC48" s="27">
        <v>3</v>
      </c>
      <c r="AD48" s="27"/>
      <c r="AE48" s="27"/>
      <c r="AF48" s="27"/>
      <c r="AG48" s="27"/>
      <c r="AH48" s="27"/>
      <c r="AI48" s="27"/>
      <c r="AJ48" s="26">
        <f t="shared" si="85"/>
        <v>3</v>
      </c>
      <c r="AL48" s="27">
        <v>2</v>
      </c>
      <c r="AM48" s="27"/>
      <c r="AN48" s="27"/>
      <c r="AO48" s="27"/>
      <c r="AP48" s="27"/>
      <c r="AQ48" s="27"/>
      <c r="AR48" s="27"/>
      <c r="AS48" s="26">
        <f t="shared" si="86"/>
        <v>2</v>
      </c>
      <c r="AU48" s="27"/>
      <c r="AV48" s="27"/>
      <c r="AW48" s="27"/>
      <c r="AX48" s="27"/>
      <c r="AY48" s="27"/>
      <c r="AZ48" s="27"/>
      <c r="BA48" s="27"/>
      <c r="BB48" s="26">
        <f t="shared" si="87"/>
        <v>0</v>
      </c>
      <c r="BD48" s="27">
        <v>0</v>
      </c>
      <c r="BE48" s="27"/>
      <c r="BF48" s="27"/>
      <c r="BG48" s="27"/>
      <c r="BH48" s="27"/>
      <c r="BI48" s="27"/>
      <c r="BJ48" s="27"/>
      <c r="BK48" s="26">
        <f t="shared" si="88"/>
        <v>0</v>
      </c>
      <c r="BM48" s="27">
        <v>0</v>
      </c>
      <c r="BN48" s="27"/>
      <c r="BO48" s="27"/>
      <c r="BP48" s="27"/>
      <c r="BQ48" s="27"/>
      <c r="BR48" s="27"/>
      <c r="BS48" s="27"/>
      <c r="BT48" s="26">
        <f t="shared" si="89"/>
        <v>0</v>
      </c>
      <c r="BV48" s="26">
        <f t="shared" si="92"/>
        <v>8</v>
      </c>
      <c r="BW48" s="26">
        <f t="shared" si="90"/>
        <v>0</v>
      </c>
      <c r="BX48" s="26">
        <f t="shared" si="90"/>
        <v>0</v>
      </c>
      <c r="BY48" s="26">
        <f t="shared" si="90"/>
        <v>0</v>
      </c>
      <c r="BZ48" s="26">
        <f t="shared" si="90"/>
        <v>0</v>
      </c>
      <c r="CA48" s="26">
        <f t="shared" si="90"/>
        <v>0</v>
      </c>
      <c r="CB48" s="27"/>
      <c r="CC48" s="26">
        <f t="shared" ref="CC48" si="94">SUM(BV48:CB48)</f>
        <v>8</v>
      </c>
    </row>
    <row r="49" spans="1:81">
      <c r="A49" s="25" t="s">
        <v>50</v>
      </c>
      <c r="B49" s="27">
        <v>2</v>
      </c>
      <c r="C49" s="27"/>
      <c r="D49" s="27"/>
      <c r="E49" s="27"/>
      <c r="F49" s="27"/>
      <c r="G49" s="27"/>
      <c r="H49" s="27"/>
      <c r="I49" s="26">
        <f>SUM(B49:H49)</f>
        <v>2</v>
      </c>
      <c r="K49" s="27">
        <v>2</v>
      </c>
      <c r="L49" s="27"/>
      <c r="M49" s="27"/>
      <c r="N49" s="27"/>
      <c r="O49" s="27"/>
      <c r="P49" s="27"/>
      <c r="Q49" s="27"/>
      <c r="R49" s="26">
        <f>SUM(K49:Q49)</f>
        <v>2</v>
      </c>
      <c r="T49" s="27">
        <v>2</v>
      </c>
      <c r="U49" s="27"/>
      <c r="V49" s="27"/>
      <c r="W49" s="27"/>
      <c r="X49" s="27"/>
      <c r="Y49" s="27"/>
      <c r="Z49" s="27"/>
      <c r="AA49" s="26">
        <f>SUM(T49:Z49)</f>
        <v>2</v>
      </c>
      <c r="AC49" s="27">
        <v>5</v>
      </c>
      <c r="AD49" s="27"/>
      <c r="AE49" s="27"/>
      <c r="AF49" s="27"/>
      <c r="AG49" s="27"/>
      <c r="AH49" s="27"/>
      <c r="AI49" s="27"/>
      <c r="AJ49" s="26">
        <f>SUM(AC49:AI49)</f>
        <v>5</v>
      </c>
      <c r="AL49" s="27">
        <v>4</v>
      </c>
      <c r="AM49" s="27"/>
      <c r="AN49" s="27"/>
      <c r="AO49" s="27"/>
      <c r="AP49" s="27"/>
      <c r="AQ49" s="27"/>
      <c r="AR49" s="27"/>
      <c r="AS49" s="26">
        <f>SUM(AL49:AR49)</f>
        <v>4</v>
      </c>
      <c r="AU49" s="27"/>
      <c r="AV49" s="27"/>
      <c r="AW49" s="27"/>
      <c r="AX49" s="27"/>
      <c r="AY49" s="27"/>
      <c r="AZ49" s="27"/>
      <c r="BA49" s="27"/>
      <c r="BB49" s="26">
        <f>SUM(AU49:BA49)</f>
        <v>0</v>
      </c>
      <c r="BD49" s="27">
        <v>1</v>
      </c>
      <c r="BE49" s="27"/>
      <c r="BF49" s="27"/>
      <c r="BG49" s="27"/>
      <c r="BH49" s="27">
        <v>0</v>
      </c>
      <c r="BI49" s="27"/>
      <c r="BJ49" s="27"/>
      <c r="BK49" s="26">
        <f>SUM(BD49:BJ49)</f>
        <v>1</v>
      </c>
      <c r="BM49" s="27">
        <v>0</v>
      </c>
      <c r="BN49" s="27"/>
      <c r="BO49" s="27"/>
      <c r="BP49" s="27"/>
      <c r="BQ49" s="27"/>
      <c r="BR49" s="27"/>
      <c r="BS49" s="27"/>
      <c r="BT49" s="26">
        <f>SUM(BM49:BS49)</f>
        <v>0</v>
      </c>
      <c r="BV49" s="26">
        <f t="shared" si="92"/>
        <v>16</v>
      </c>
      <c r="BW49" s="26">
        <f t="shared" si="90"/>
        <v>0</v>
      </c>
      <c r="BX49" s="26">
        <f t="shared" si="90"/>
        <v>0</v>
      </c>
      <c r="BY49" s="26">
        <f t="shared" si="90"/>
        <v>0</v>
      </c>
      <c r="BZ49" s="26">
        <f t="shared" si="90"/>
        <v>0</v>
      </c>
      <c r="CA49" s="26">
        <f t="shared" si="90"/>
        <v>0</v>
      </c>
      <c r="CB49" s="27"/>
      <c r="CC49" s="26">
        <f>SUM(BV49:CB49)</f>
        <v>16</v>
      </c>
    </row>
    <row r="50" spans="1:81">
      <c r="A50" s="25" t="s">
        <v>51</v>
      </c>
      <c r="B50" s="27">
        <v>4</v>
      </c>
      <c r="C50" s="27">
        <v>4</v>
      </c>
      <c r="D50" s="27">
        <v>1</v>
      </c>
      <c r="E50" s="27"/>
      <c r="F50" s="27"/>
      <c r="G50" s="27"/>
      <c r="H50" s="27"/>
      <c r="I50" s="26">
        <f>SUM(B50:H50)</f>
        <v>9</v>
      </c>
      <c r="K50" s="27">
        <v>7</v>
      </c>
      <c r="L50" s="27">
        <v>4</v>
      </c>
      <c r="M50" s="27">
        <v>1</v>
      </c>
      <c r="N50" s="27"/>
      <c r="O50" s="27"/>
      <c r="P50" s="27"/>
      <c r="Q50" s="27"/>
      <c r="R50" s="26">
        <f>SUM(K50:Q50)</f>
        <v>12</v>
      </c>
      <c r="T50" s="27">
        <v>5</v>
      </c>
      <c r="U50" s="27">
        <v>5</v>
      </c>
      <c r="V50" s="27">
        <v>1</v>
      </c>
      <c r="W50" s="27"/>
      <c r="X50" s="27"/>
      <c r="Y50" s="27"/>
      <c r="Z50" s="27"/>
      <c r="AA50" s="26">
        <f>SUM(T50:Z50)</f>
        <v>11</v>
      </c>
      <c r="AC50" s="27">
        <v>11</v>
      </c>
      <c r="AD50" s="27">
        <v>13</v>
      </c>
      <c r="AE50" s="27">
        <v>3</v>
      </c>
      <c r="AF50" s="27"/>
      <c r="AG50" s="27"/>
      <c r="AH50" s="27"/>
      <c r="AI50" s="27"/>
      <c r="AJ50" s="26">
        <f>SUM(AC50:AI50)</f>
        <v>27</v>
      </c>
      <c r="AL50" s="27">
        <v>5</v>
      </c>
      <c r="AM50" s="27">
        <v>12</v>
      </c>
      <c r="AN50" s="27">
        <v>3</v>
      </c>
      <c r="AO50" s="27"/>
      <c r="AP50" s="27"/>
      <c r="AQ50" s="27"/>
      <c r="AR50" s="27"/>
      <c r="AS50" s="26">
        <f>SUM(AL50:AR50)</f>
        <v>20</v>
      </c>
      <c r="AU50" s="27">
        <v>2</v>
      </c>
      <c r="AV50" s="27">
        <v>1</v>
      </c>
      <c r="AW50" s="27"/>
      <c r="AX50" s="27"/>
      <c r="AY50" s="27"/>
      <c r="AZ50" s="27"/>
      <c r="BA50" s="27"/>
      <c r="BB50" s="26">
        <f>SUM(AU50:BA50)</f>
        <v>3</v>
      </c>
      <c r="BD50" s="27">
        <v>2</v>
      </c>
      <c r="BE50" s="27">
        <v>0</v>
      </c>
      <c r="BF50" s="27">
        <v>0</v>
      </c>
      <c r="BG50" s="27"/>
      <c r="BH50" s="27"/>
      <c r="BI50" s="27"/>
      <c r="BJ50" s="27"/>
      <c r="BK50" s="26">
        <f>SUM(BD50:BJ50)</f>
        <v>2</v>
      </c>
      <c r="BM50" s="27">
        <v>0.5</v>
      </c>
      <c r="BN50" s="27"/>
      <c r="BO50" s="27">
        <v>0</v>
      </c>
      <c r="BP50" s="27"/>
      <c r="BQ50" s="27"/>
      <c r="BR50" s="27"/>
      <c r="BS50" s="27"/>
      <c r="BT50" s="26">
        <f>SUM(BM50:BS50)</f>
        <v>0.5</v>
      </c>
      <c r="BV50" s="26">
        <f t="shared" si="92"/>
        <v>36.5</v>
      </c>
      <c r="BW50" s="26">
        <f t="shared" si="90"/>
        <v>39</v>
      </c>
      <c r="BX50" s="26">
        <f t="shared" si="90"/>
        <v>9</v>
      </c>
      <c r="BY50" s="26">
        <f t="shared" si="90"/>
        <v>0</v>
      </c>
      <c r="BZ50" s="26">
        <f t="shared" si="90"/>
        <v>0</v>
      </c>
      <c r="CA50" s="26">
        <f t="shared" si="90"/>
        <v>0</v>
      </c>
      <c r="CB50" s="27"/>
      <c r="CC50" s="26">
        <f>SUM(BV50:CB50)</f>
        <v>84.5</v>
      </c>
    </row>
    <row r="51" spans="1:81">
      <c r="A51" s="25" t="s">
        <v>52</v>
      </c>
      <c r="B51" s="27">
        <v>2</v>
      </c>
      <c r="C51" s="27"/>
      <c r="D51" s="27"/>
      <c r="E51" s="27"/>
      <c r="F51" s="27"/>
      <c r="G51" s="27"/>
      <c r="H51" s="27"/>
      <c r="I51" s="26">
        <f t="shared" si="82"/>
        <v>2</v>
      </c>
      <c r="K51" s="27">
        <v>3</v>
      </c>
      <c r="L51" s="27"/>
      <c r="M51" s="27"/>
      <c r="N51" s="27"/>
      <c r="O51" s="27"/>
      <c r="P51" s="27"/>
      <c r="Q51" s="27"/>
      <c r="R51" s="26">
        <f t="shared" si="83"/>
        <v>3</v>
      </c>
      <c r="T51" s="27">
        <v>3</v>
      </c>
      <c r="U51" s="27"/>
      <c r="V51" s="27"/>
      <c r="W51" s="27"/>
      <c r="X51" s="27"/>
      <c r="Y51" s="27"/>
      <c r="Z51" s="27"/>
      <c r="AA51" s="26">
        <f t="shared" si="84"/>
        <v>3</v>
      </c>
      <c r="AC51" s="27">
        <v>7</v>
      </c>
      <c r="AD51" s="27"/>
      <c r="AE51" s="27"/>
      <c r="AF51" s="27"/>
      <c r="AG51" s="27"/>
      <c r="AH51" s="27"/>
      <c r="AI51" s="27"/>
      <c r="AJ51" s="26">
        <f t="shared" si="85"/>
        <v>7</v>
      </c>
      <c r="AL51" s="27">
        <v>8</v>
      </c>
      <c r="AM51" s="27"/>
      <c r="AN51" s="27"/>
      <c r="AO51" s="27"/>
      <c r="AP51" s="27"/>
      <c r="AQ51" s="27"/>
      <c r="AR51" s="27"/>
      <c r="AS51" s="26">
        <f t="shared" si="86"/>
        <v>8</v>
      </c>
      <c r="AU51" s="27"/>
      <c r="AV51" s="27"/>
      <c r="AW51" s="27"/>
      <c r="AX51" s="27"/>
      <c r="AY51" s="27"/>
      <c r="AZ51" s="27"/>
      <c r="BA51" s="27"/>
      <c r="BB51" s="26">
        <f t="shared" si="87"/>
        <v>0</v>
      </c>
      <c r="BD51" s="27">
        <v>1</v>
      </c>
      <c r="BE51" s="27"/>
      <c r="BF51" s="27"/>
      <c r="BG51" s="27"/>
      <c r="BH51" s="27"/>
      <c r="BI51" s="27"/>
      <c r="BJ51" s="27"/>
      <c r="BK51" s="26">
        <f t="shared" si="88"/>
        <v>1</v>
      </c>
      <c r="BM51" s="27">
        <v>0</v>
      </c>
      <c r="BN51" s="27"/>
      <c r="BO51" s="27"/>
      <c r="BP51" s="27"/>
      <c r="BQ51" s="27"/>
      <c r="BR51" s="27"/>
      <c r="BS51" s="27"/>
      <c r="BT51" s="26">
        <f t="shared" si="89"/>
        <v>0</v>
      </c>
      <c r="BV51" s="26">
        <f t="shared" si="92"/>
        <v>24</v>
      </c>
      <c r="BW51" s="26">
        <f t="shared" si="90"/>
        <v>0</v>
      </c>
      <c r="BX51" s="26">
        <f t="shared" si="90"/>
        <v>0</v>
      </c>
      <c r="BY51" s="26">
        <f t="shared" si="90"/>
        <v>0</v>
      </c>
      <c r="BZ51" s="26">
        <f t="shared" si="90"/>
        <v>0</v>
      </c>
      <c r="CA51" s="26">
        <f t="shared" si="90"/>
        <v>0</v>
      </c>
      <c r="CB51" s="27"/>
      <c r="CC51" s="26">
        <f t="shared" ref="CC51" si="95">SUM(BV51:CB51)</f>
        <v>24</v>
      </c>
    </row>
    <row r="52" spans="1:81">
      <c r="A52" s="25" t="s">
        <v>53</v>
      </c>
      <c r="B52" s="27"/>
      <c r="C52" s="27"/>
      <c r="D52" s="27">
        <v>1</v>
      </c>
      <c r="E52" s="27"/>
      <c r="F52" s="27"/>
      <c r="G52" s="27"/>
      <c r="H52" s="27"/>
      <c r="I52" s="26">
        <f>SUM(B52:H52)</f>
        <v>1</v>
      </c>
      <c r="K52" s="27"/>
      <c r="L52" s="27"/>
      <c r="M52" s="27">
        <v>1</v>
      </c>
      <c r="N52" s="27"/>
      <c r="O52" s="27"/>
      <c r="P52" s="27"/>
      <c r="Q52" s="27"/>
      <c r="R52" s="26">
        <f>SUM(K52:Q52)</f>
        <v>1</v>
      </c>
      <c r="T52" s="27"/>
      <c r="U52" s="27"/>
      <c r="V52" s="27">
        <v>1</v>
      </c>
      <c r="W52" s="27"/>
      <c r="X52" s="27"/>
      <c r="Y52" s="27"/>
      <c r="Z52" s="27"/>
      <c r="AA52" s="26">
        <f>SUM(T52:Z52)</f>
        <v>1</v>
      </c>
      <c r="AC52" s="27"/>
      <c r="AD52" s="27"/>
      <c r="AE52" s="27">
        <v>3</v>
      </c>
      <c r="AF52" s="27"/>
      <c r="AG52" s="27"/>
      <c r="AH52" s="27"/>
      <c r="AI52" s="27"/>
      <c r="AJ52" s="26">
        <f>SUM(AC52:AI52)</f>
        <v>3</v>
      </c>
      <c r="AL52" s="27"/>
      <c r="AM52" s="27"/>
      <c r="AN52" s="27">
        <v>1</v>
      </c>
      <c r="AO52" s="27"/>
      <c r="AP52" s="27"/>
      <c r="AQ52" s="27"/>
      <c r="AR52" s="27"/>
      <c r="AS52" s="26">
        <f>SUM(AL52:AR52)</f>
        <v>1</v>
      </c>
      <c r="AU52" s="27"/>
      <c r="AV52" s="27"/>
      <c r="AW52" s="27"/>
      <c r="AX52" s="27"/>
      <c r="AY52" s="27"/>
      <c r="AZ52" s="27"/>
      <c r="BA52" s="27"/>
      <c r="BB52" s="26">
        <f>SUM(AU52:BA52)</f>
        <v>0</v>
      </c>
      <c r="BD52" s="27"/>
      <c r="BE52" s="27"/>
      <c r="BF52" s="27">
        <v>1</v>
      </c>
      <c r="BG52" s="27"/>
      <c r="BH52" s="27"/>
      <c r="BI52" s="27"/>
      <c r="BJ52" s="27"/>
      <c r="BK52" s="26">
        <f>SUM(BD52:BJ52)</f>
        <v>1</v>
      </c>
      <c r="BM52" s="27">
        <v>0</v>
      </c>
      <c r="BN52" s="27"/>
      <c r="BO52" s="27">
        <v>0.5</v>
      </c>
      <c r="BP52" s="27"/>
      <c r="BQ52" s="27"/>
      <c r="BR52" s="27"/>
      <c r="BS52" s="27"/>
      <c r="BT52" s="26">
        <f>SUM(BM52:BS52)</f>
        <v>0.5</v>
      </c>
      <c r="BV52" s="26">
        <f t="shared" si="92"/>
        <v>0</v>
      </c>
      <c r="BW52" s="26">
        <f t="shared" si="90"/>
        <v>0</v>
      </c>
      <c r="BX52" s="26">
        <f t="shared" si="90"/>
        <v>8.5</v>
      </c>
      <c r="BY52" s="26">
        <f t="shared" si="90"/>
        <v>0</v>
      </c>
      <c r="BZ52" s="26">
        <f t="shared" si="90"/>
        <v>0</v>
      </c>
      <c r="CA52" s="26">
        <f t="shared" si="90"/>
        <v>0</v>
      </c>
      <c r="CB52" s="27"/>
      <c r="CC52" s="26">
        <f>SUM(BV52:CB52)</f>
        <v>8.5</v>
      </c>
    </row>
    <row r="53" spans="1:81">
      <c r="A53" s="25" t="s">
        <v>54</v>
      </c>
      <c r="B53" s="27">
        <v>0</v>
      </c>
      <c r="C53" s="27"/>
      <c r="D53" s="27"/>
      <c r="E53" s="27"/>
      <c r="F53" s="27"/>
      <c r="G53" s="27"/>
      <c r="H53" s="27"/>
      <c r="I53" s="26">
        <f t="shared" si="82"/>
        <v>0</v>
      </c>
      <c r="J53" s="6"/>
      <c r="K53" s="27"/>
      <c r="L53" s="27"/>
      <c r="M53" s="27"/>
      <c r="N53" s="27"/>
      <c r="O53" s="27"/>
      <c r="P53" s="27"/>
      <c r="Q53" s="27"/>
      <c r="R53" s="26">
        <f t="shared" si="83"/>
        <v>0</v>
      </c>
      <c r="T53" s="27"/>
      <c r="U53" s="27"/>
      <c r="V53" s="27"/>
      <c r="W53" s="27"/>
      <c r="X53" s="27"/>
      <c r="Y53" s="27"/>
      <c r="Z53" s="27"/>
      <c r="AA53" s="26">
        <f t="shared" si="84"/>
        <v>0</v>
      </c>
      <c r="AC53" s="27">
        <v>0</v>
      </c>
      <c r="AD53" s="27"/>
      <c r="AE53" s="27"/>
      <c r="AF53" s="27"/>
      <c r="AG53" s="27"/>
      <c r="AH53" s="27"/>
      <c r="AI53" s="27"/>
      <c r="AJ53" s="26">
        <f t="shared" si="85"/>
        <v>0</v>
      </c>
      <c r="AL53" s="27">
        <v>0</v>
      </c>
      <c r="AM53" s="27"/>
      <c r="AN53" s="27"/>
      <c r="AO53" s="27"/>
      <c r="AP53" s="27"/>
      <c r="AQ53" s="27"/>
      <c r="AR53" s="27"/>
      <c r="AS53" s="26">
        <f t="shared" si="86"/>
        <v>0</v>
      </c>
      <c r="AU53" s="27"/>
      <c r="AV53" s="27"/>
      <c r="AW53" s="27"/>
      <c r="AX53" s="27"/>
      <c r="AY53" s="27"/>
      <c r="AZ53" s="27"/>
      <c r="BA53" s="27"/>
      <c r="BB53" s="26">
        <f t="shared" si="87"/>
        <v>0</v>
      </c>
      <c r="BD53" s="27"/>
      <c r="BE53" s="27"/>
      <c r="BF53" s="27"/>
      <c r="BG53" s="27"/>
      <c r="BH53" s="27"/>
      <c r="BI53" s="27"/>
      <c r="BJ53" s="27"/>
      <c r="BK53" s="26">
        <f t="shared" si="88"/>
        <v>0</v>
      </c>
      <c r="BM53" s="27">
        <v>0</v>
      </c>
      <c r="BN53" s="27"/>
      <c r="BO53" s="27"/>
      <c r="BP53" s="27"/>
      <c r="BQ53" s="27"/>
      <c r="BR53" s="27"/>
      <c r="BS53" s="27"/>
      <c r="BT53" s="26">
        <f t="shared" si="89"/>
        <v>0</v>
      </c>
      <c r="BV53" s="26">
        <f t="shared" si="92"/>
        <v>0</v>
      </c>
      <c r="BW53" s="26">
        <f t="shared" si="90"/>
        <v>0</v>
      </c>
      <c r="BX53" s="26">
        <f t="shared" si="90"/>
        <v>0</v>
      </c>
      <c r="BY53" s="26">
        <f t="shared" si="90"/>
        <v>0</v>
      </c>
      <c r="BZ53" s="26">
        <f t="shared" si="90"/>
        <v>0</v>
      </c>
      <c r="CA53" s="26">
        <f t="shared" si="90"/>
        <v>0</v>
      </c>
      <c r="CB53" s="27"/>
      <c r="CC53" s="26">
        <f t="shared" ref="CC53:CC55" si="96">SUM(BV53:CB53)</f>
        <v>0</v>
      </c>
    </row>
    <row r="54" spans="1:81">
      <c r="A54" s="29" t="s">
        <v>55</v>
      </c>
      <c r="B54" s="27"/>
      <c r="C54" s="27">
        <v>1</v>
      </c>
      <c r="D54" s="27"/>
      <c r="E54" s="27"/>
      <c r="F54" s="27"/>
      <c r="G54" s="27"/>
      <c r="H54" s="27"/>
      <c r="I54" s="26">
        <f t="shared" si="82"/>
        <v>1</v>
      </c>
      <c r="J54" s="6"/>
      <c r="K54" s="27"/>
      <c r="L54" s="27">
        <v>1</v>
      </c>
      <c r="M54" s="27"/>
      <c r="N54" s="27"/>
      <c r="O54" s="27"/>
      <c r="P54" s="27"/>
      <c r="Q54" s="27"/>
      <c r="R54" s="26">
        <f t="shared" si="83"/>
        <v>1</v>
      </c>
      <c r="T54" s="27"/>
      <c r="U54" s="27">
        <v>1</v>
      </c>
      <c r="V54" s="27"/>
      <c r="W54" s="27"/>
      <c r="X54" s="27"/>
      <c r="Y54" s="27"/>
      <c r="Z54" s="27"/>
      <c r="AA54" s="26">
        <f t="shared" si="84"/>
        <v>1</v>
      </c>
      <c r="AC54" s="27"/>
      <c r="AD54" s="27">
        <v>1</v>
      </c>
      <c r="AE54" s="27"/>
      <c r="AF54" s="27"/>
      <c r="AG54" s="27"/>
      <c r="AH54" s="27"/>
      <c r="AI54" s="27"/>
      <c r="AJ54" s="26">
        <f t="shared" si="85"/>
        <v>1</v>
      </c>
      <c r="AL54" s="27"/>
      <c r="AM54" s="27">
        <v>0</v>
      </c>
      <c r="AN54" s="27"/>
      <c r="AO54" s="27"/>
      <c r="AP54" s="27"/>
      <c r="AQ54" s="27"/>
      <c r="AR54" s="27"/>
      <c r="AS54" s="26">
        <f t="shared" si="86"/>
        <v>0</v>
      </c>
      <c r="AU54" s="27"/>
      <c r="AV54" s="27"/>
      <c r="AW54" s="27"/>
      <c r="AX54" s="27"/>
      <c r="AY54" s="27"/>
      <c r="AZ54" s="27"/>
      <c r="BA54" s="27"/>
      <c r="BB54" s="26">
        <f t="shared" si="87"/>
        <v>0</v>
      </c>
      <c r="BD54" s="27"/>
      <c r="BE54" s="27"/>
      <c r="BF54" s="27"/>
      <c r="BG54" s="27"/>
      <c r="BH54" s="27"/>
      <c r="BI54" s="27"/>
      <c r="BJ54" s="27"/>
      <c r="BK54" s="26">
        <f t="shared" si="88"/>
        <v>0</v>
      </c>
      <c r="BM54" s="27"/>
      <c r="BN54" s="27"/>
      <c r="BO54" s="27"/>
      <c r="BP54" s="27"/>
      <c r="BQ54" s="27"/>
      <c r="BR54" s="27"/>
      <c r="BS54" s="27"/>
      <c r="BT54" s="26">
        <f t="shared" si="89"/>
        <v>0</v>
      </c>
      <c r="BV54" s="26">
        <f t="shared" si="92"/>
        <v>0</v>
      </c>
      <c r="BW54" s="26">
        <f t="shared" si="90"/>
        <v>4</v>
      </c>
      <c r="BX54" s="26">
        <f t="shared" si="90"/>
        <v>0</v>
      </c>
      <c r="BY54" s="26">
        <f t="shared" si="90"/>
        <v>0</v>
      </c>
      <c r="BZ54" s="26">
        <f t="shared" si="90"/>
        <v>0</v>
      </c>
      <c r="CA54" s="26">
        <f t="shared" si="90"/>
        <v>0</v>
      </c>
      <c r="CB54" s="27"/>
      <c r="CC54" s="26">
        <f t="shared" si="96"/>
        <v>4</v>
      </c>
    </row>
    <row r="55" spans="1:81">
      <c r="A55" s="29" t="s">
        <v>56</v>
      </c>
      <c r="B55" s="27"/>
      <c r="C55" s="27">
        <v>0</v>
      </c>
      <c r="D55" s="27"/>
      <c r="E55" s="27"/>
      <c r="F55" s="27"/>
      <c r="G55" s="27"/>
      <c r="H55" s="27"/>
      <c r="I55" s="26">
        <f t="shared" si="82"/>
        <v>0</v>
      </c>
      <c r="J55" s="6"/>
      <c r="K55" s="27"/>
      <c r="L55" s="27">
        <v>0</v>
      </c>
      <c r="M55" s="27"/>
      <c r="N55" s="27"/>
      <c r="O55" s="27"/>
      <c r="P55" s="27"/>
      <c r="Q55" s="27"/>
      <c r="R55" s="26">
        <f t="shared" si="83"/>
        <v>0</v>
      </c>
      <c r="T55" s="27"/>
      <c r="U55" s="27">
        <v>1</v>
      </c>
      <c r="V55" s="27"/>
      <c r="W55" s="27"/>
      <c r="X55" s="27"/>
      <c r="Y55" s="27"/>
      <c r="Z55" s="27"/>
      <c r="AA55" s="26">
        <f t="shared" si="84"/>
        <v>1</v>
      </c>
      <c r="AC55" s="27"/>
      <c r="AD55" s="27">
        <v>1</v>
      </c>
      <c r="AE55" s="27"/>
      <c r="AF55" s="27"/>
      <c r="AG55" s="27"/>
      <c r="AH55" s="27"/>
      <c r="AI55" s="27"/>
      <c r="AJ55" s="26">
        <f t="shared" si="85"/>
        <v>1</v>
      </c>
      <c r="AL55" s="27"/>
      <c r="AM55" s="27">
        <v>0</v>
      </c>
      <c r="AN55" s="27"/>
      <c r="AO55" s="27"/>
      <c r="AP55" s="27"/>
      <c r="AQ55" s="27"/>
      <c r="AR55" s="27"/>
      <c r="AS55" s="26">
        <f t="shared" si="86"/>
        <v>0</v>
      </c>
      <c r="AU55" s="27"/>
      <c r="AV55" s="27"/>
      <c r="AW55" s="27"/>
      <c r="AX55" s="27"/>
      <c r="AY55" s="27"/>
      <c r="AZ55" s="27"/>
      <c r="BA55" s="27"/>
      <c r="BB55" s="26">
        <f t="shared" si="87"/>
        <v>0</v>
      </c>
      <c r="BD55" s="27"/>
      <c r="BE55" s="27"/>
      <c r="BF55" s="27"/>
      <c r="BG55" s="27"/>
      <c r="BH55" s="27"/>
      <c r="BI55" s="27"/>
      <c r="BJ55" s="27"/>
      <c r="BK55" s="26">
        <f t="shared" si="88"/>
        <v>0</v>
      </c>
      <c r="BM55" s="27"/>
      <c r="BN55" s="27"/>
      <c r="BO55" s="27"/>
      <c r="BP55" s="27"/>
      <c r="BQ55" s="27"/>
      <c r="BR55" s="27"/>
      <c r="BS55" s="27"/>
      <c r="BT55" s="26">
        <f t="shared" si="89"/>
        <v>0</v>
      </c>
      <c r="BV55" s="26">
        <f t="shared" si="92"/>
        <v>0</v>
      </c>
      <c r="BW55" s="26">
        <f t="shared" si="92"/>
        <v>2</v>
      </c>
      <c r="BX55" s="26">
        <f t="shared" si="92"/>
        <v>0</v>
      </c>
      <c r="BY55" s="26">
        <f t="shared" si="92"/>
        <v>0</v>
      </c>
      <c r="BZ55" s="26">
        <f t="shared" si="92"/>
        <v>0</v>
      </c>
      <c r="CA55" s="26">
        <f t="shared" si="92"/>
        <v>0</v>
      </c>
      <c r="CB55" s="27"/>
      <c r="CC55" s="26">
        <f t="shared" si="96"/>
        <v>2</v>
      </c>
    </row>
    <row r="56" spans="1:81">
      <c r="A56" s="29" t="s">
        <v>57</v>
      </c>
      <c r="B56" s="27"/>
      <c r="C56" s="27">
        <v>0</v>
      </c>
      <c r="D56" s="27"/>
      <c r="E56" s="27"/>
      <c r="F56" s="27"/>
      <c r="G56" s="27"/>
      <c r="H56" s="27"/>
      <c r="I56" s="26">
        <f>SUM(B56:H56)</f>
        <v>0</v>
      </c>
      <c r="J56" s="6"/>
      <c r="K56" s="27"/>
      <c r="L56" s="27">
        <v>0.5</v>
      </c>
      <c r="M56" s="27"/>
      <c r="N56" s="27"/>
      <c r="O56" s="27"/>
      <c r="P56" s="27"/>
      <c r="Q56" s="27"/>
      <c r="R56" s="26">
        <f>SUM(K56:Q56)</f>
        <v>0.5</v>
      </c>
      <c r="T56" s="27"/>
      <c r="U56" s="27">
        <v>0.5</v>
      </c>
      <c r="V56" s="27"/>
      <c r="W56" s="27"/>
      <c r="X56" s="27"/>
      <c r="Y56" s="27"/>
      <c r="Z56" s="27"/>
      <c r="AA56" s="26">
        <f>SUM(T56:Z56)</f>
        <v>0.5</v>
      </c>
      <c r="AC56" s="27"/>
      <c r="AD56" s="27">
        <v>1</v>
      </c>
      <c r="AE56" s="27"/>
      <c r="AF56" s="27"/>
      <c r="AG56" s="27"/>
      <c r="AH56" s="27"/>
      <c r="AI56" s="27"/>
      <c r="AJ56" s="26">
        <f>SUM(AC56:AI56)</f>
        <v>1</v>
      </c>
      <c r="AL56" s="27"/>
      <c r="AM56" s="27">
        <v>1</v>
      </c>
      <c r="AN56" s="27"/>
      <c r="AO56" s="27"/>
      <c r="AP56" s="27"/>
      <c r="AQ56" s="27"/>
      <c r="AR56" s="27"/>
      <c r="AS56" s="26">
        <f>SUM(AL56:AR56)</f>
        <v>1</v>
      </c>
      <c r="AU56" s="27"/>
      <c r="AV56" s="27"/>
      <c r="AW56" s="27"/>
      <c r="AX56" s="27"/>
      <c r="AY56" s="27"/>
      <c r="AZ56" s="27"/>
      <c r="BA56" s="27"/>
      <c r="BB56" s="26">
        <f>SUM(AU56:BA56)</f>
        <v>0</v>
      </c>
      <c r="BD56" s="27"/>
      <c r="BE56" s="27"/>
      <c r="BF56" s="27"/>
      <c r="BG56" s="27"/>
      <c r="BH56" s="27"/>
      <c r="BI56" s="27"/>
      <c r="BJ56" s="27"/>
      <c r="BK56" s="26">
        <f>SUM(BD56:BJ56)</f>
        <v>0</v>
      </c>
      <c r="BM56" s="27"/>
      <c r="BN56" s="27">
        <v>0</v>
      </c>
      <c r="BO56" s="27"/>
      <c r="BP56" s="27"/>
      <c r="BQ56" s="27"/>
      <c r="BR56" s="27"/>
      <c r="BS56" s="27"/>
      <c r="BT56" s="26">
        <f>SUM(BM56:BS56)</f>
        <v>0</v>
      </c>
      <c r="BV56" s="26">
        <f t="shared" si="92"/>
        <v>0</v>
      </c>
      <c r="BW56" s="26">
        <f t="shared" si="92"/>
        <v>3</v>
      </c>
      <c r="BX56" s="26">
        <f t="shared" si="92"/>
        <v>0</v>
      </c>
      <c r="BY56" s="26">
        <f t="shared" si="92"/>
        <v>0</v>
      </c>
      <c r="BZ56" s="26">
        <f t="shared" si="92"/>
        <v>0</v>
      </c>
      <c r="CA56" s="26">
        <f t="shared" si="92"/>
        <v>0</v>
      </c>
      <c r="CB56" s="27"/>
      <c r="CC56" s="26">
        <f>SUM(BV56:CB56)</f>
        <v>3</v>
      </c>
    </row>
    <row r="57" spans="1:81">
      <c r="A57" s="29" t="s">
        <v>58</v>
      </c>
      <c r="B57" s="27"/>
      <c r="C57" s="27"/>
      <c r="D57" s="27"/>
      <c r="E57" s="27"/>
      <c r="F57" s="27"/>
      <c r="G57" s="27"/>
      <c r="H57" s="27"/>
      <c r="I57" s="26">
        <f t="shared" si="82"/>
        <v>0</v>
      </c>
      <c r="J57" s="6"/>
      <c r="K57" s="27"/>
      <c r="L57" s="27"/>
      <c r="M57" s="27"/>
      <c r="N57" s="27"/>
      <c r="O57" s="27"/>
      <c r="P57" s="27"/>
      <c r="Q57" s="27"/>
      <c r="R57" s="26">
        <f t="shared" si="83"/>
        <v>0</v>
      </c>
      <c r="T57" s="27"/>
      <c r="U57" s="27">
        <v>0.33</v>
      </c>
      <c r="V57" s="27"/>
      <c r="W57" s="27"/>
      <c r="X57" s="27"/>
      <c r="Y57" s="27"/>
      <c r="Z57" s="27"/>
      <c r="AA57" s="26">
        <f t="shared" si="84"/>
        <v>0.33</v>
      </c>
      <c r="AC57" s="27"/>
      <c r="AD57" s="27"/>
      <c r="AE57" s="27"/>
      <c r="AF57" s="27"/>
      <c r="AG57" s="27"/>
      <c r="AH57" s="27"/>
      <c r="AI57" s="27"/>
      <c r="AJ57" s="26">
        <f t="shared" si="85"/>
        <v>0</v>
      </c>
      <c r="AL57" s="27"/>
      <c r="AM57" s="27">
        <v>0.5</v>
      </c>
      <c r="AN57" s="27"/>
      <c r="AO57" s="27"/>
      <c r="AP57" s="27"/>
      <c r="AQ57" s="27"/>
      <c r="AR57" s="27"/>
      <c r="AS57" s="26">
        <f t="shared" si="86"/>
        <v>0.5</v>
      </c>
      <c r="AU57" s="27"/>
      <c r="AV57" s="27"/>
      <c r="AW57" s="27"/>
      <c r="AX57" s="27"/>
      <c r="AY57" s="27"/>
      <c r="AZ57" s="27"/>
      <c r="BA57" s="27"/>
      <c r="BB57" s="26">
        <f t="shared" si="87"/>
        <v>0</v>
      </c>
      <c r="BD57" s="27"/>
      <c r="BE57" s="27"/>
      <c r="BF57" s="27"/>
      <c r="BG57" s="27"/>
      <c r="BH57" s="27"/>
      <c r="BI57" s="27"/>
      <c r="BJ57" s="27"/>
      <c r="BK57" s="26">
        <f t="shared" si="88"/>
        <v>0</v>
      </c>
      <c r="BM57" s="27"/>
      <c r="BN57" s="27"/>
      <c r="BO57" s="27"/>
      <c r="BP57" s="27"/>
      <c r="BQ57" s="27"/>
      <c r="BR57" s="27"/>
      <c r="BS57" s="27"/>
      <c r="BT57" s="26">
        <f t="shared" si="89"/>
        <v>0</v>
      </c>
      <c r="BV57" s="26">
        <f t="shared" si="92"/>
        <v>0</v>
      </c>
      <c r="BW57" s="26">
        <f t="shared" si="92"/>
        <v>0.83000000000000007</v>
      </c>
      <c r="BX57" s="26">
        <f t="shared" si="92"/>
        <v>0</v>
      </c>
      <c r="BY57" s="26">
        <f t="shared" si="92"/>
        <v>0</v>
      </c>
      <c r="BZ57" s="26">
        <f t="shared" si="92"/>
        <v>0</v>
      </c>
      <c r="CA57" s="26">
        <f t="shared" si="92"/>
        <v>0</v>
      </c>
      <c r="CB57" s="27"/>
      <c r="CC57" s="26">
        <f t="shared" ref="CC57" si="97">SUM(BV57:CB57)</f>
        <v>0.83000000000000007</v>
      </c>
    </row>
    <row r="58" spans="1:81">
      <c r="A58" s="29" t="s">
        <v>59</v>
      </c>
      <c r="B58" s="27">
        <v>0</v>
      </c>
      <c r="C58" s="27"/>
      <c r="D58" s="27"/>
      <c r="E58" s="27"/>
      <c r="F58" s="27"/>
      <c r="G58" s="27"/>
      <c r="H58" s="27"/>
      <c r="I58" s="26">
        <f>SUM(B58:H58)</f>
        <v>0</v>
      </c>
      <c r="J58" s="6"/>
      <c r="K58" s="27">
        <v>0</v>
      </c>
      <c r="L58" s="27">
        <v>0.5</v>
      </c>
      <c r="M58" s="27"/>
      <c r="N58" s="27"/>
      <c r="O58" s="27"/>
      <c r="P58" s="27"/>
      <c r="Q58" s="27"/>
      <c r="R58" s="26">
        <f>SUM(K58:Q58)</f>
        <v>0.5</v>
      </c>
      <c r="T58" s="27">
        <v>0</v>
      </c>
      <c r="U58" s="27">
        <v>0.5</v>
      </c>
      <c r="V58" s="27"/>
      <c r="W58" s="27"/>
      <c r="X58" s="27"/>
      <c r="Y58" s="27"/>
      <c r="Z58" s="27"/>
      <c r="AA58" s="26">
        <f>SUM(T58:Z58)</f>
        <v>0.5</v>
      </c>
      <c r="AC58" s="27">
        <v>0</v>
      </c>
      <c r="AD58" s="27">
        <v>1</v>
      </c>
      <c r="AE58" s="27"/>
      <c r="AF58" s="27"/>
      <c r="AG58" s="27"/>
      <c r="AH58" s="27"/>
      <c r="AI58" s="27"/>
      <c r="AJ58" s="26">
        <f>SUM(AC58:AI58)</f>
        <v>1</v>
      </c>
      <c r="AL58" s="27">
        <v>0</v>
      </c>
      <c r="AM58" s="27">
        <v>1</v>
      </c>
      <c r="AN58" s="27"/>
      <c r="AO58" s="27"/>
      <c r="AP58" s="27"/>
      <c r="AQ58" s="27"/>
      <c r="AR58" s="27"/>
      <c r="AS58" s="26">
        <f>SUM(AL58:AR58)</f>
        <v>1</v>
      </c>
      <c r="AU58" s="27"/>
      <c r="AV58" s="27"/>
      <c r="AW58" s="27"/>
      <c r="AX58" s="27"/>
      <c r="AY58" s="27"/>
      <c r="AZ58" s="27"/>
      <c r="BA58" s="27"/>
      <c r="BB58" s="26">
        <f>SUM(AU58:BA58)</f>
        <v>0</v>
      </c>
      <c r="BD58" s="27"/>
      <c r="BE58" s="27"/>
      <c r="BF58" s="27"/>
      <c r="BG58" s="27"/>
      <c r="BH58" s="27"/>
      <c r="BI58" s="27"/>
      <c r="BJ58" s="27"/>
      <c r="BK58" s="26">
        <f>SUM(BD58:BJ58)</f>
        <v>0</v>
      </c>
      <c r="BM58" s="27">
        <v>0</v>
      </c>
      <c r="BN58" s="27"/>
      <c r="BO58" s="27"/>
      <c r="BP58" s="27"/>
      <c r="BQ58" s="27"/>
      <c r="BR58" s="27"/>
      <c r="BS58" s="27"/>
      <c r="BT58" s="26">
        <f>SUM(BM58:BS58)</f>
        <v>0</v>
      </c>
      <c r="BV58" s="26">
        <f t="shared" si="92"/>
        <v>0</v>
      </c>
      <c r="BW58" s="26">
        <f t="shared" si="92"/>
        <v>3</v>
      </c>
      <c r="BX58" s="26">
        <f t="shared" si="92"/>
        <v>0</v>
      </c>
      <c r="BY58" s="26">
        <f t="shared" si="92"/>
        <v>0</v>
      </c>
      <c r="BZ58" s="26">
        <f t="shared" si="92"/>
        <v>0</v>
      </c>
      <c r="CA58" s="26">
        <f t="shared" si="92"/>
        <v>0</v>
      </c>
      <c r="CB58" s="27"/>
      <c r="CC58" s="26">
        <f>SUM(BV58:CB58)</f>
        <v>3</v>
      </c>
    </row>
    <row r="59" spans="1:81">
      <c r="A59" s="29" t="s">
        <v>60</v>
      </c>
      <c r="B59" s="27">
        <v>1</v>
      </c>
      <c r="C59" s="27"/>
      <c r="D59" s="27"/>
      <c r="E59" s="27"/>
      <c r="F59" s="27"/>
      <c r="G59" s="27"/>
      <c r="H59" s="27"/>
      <c r="I59" s="26">
        <f t="shared" si="82"/>
        <v>1</v>
      </c>
      <c r="J59" s="6"/>
      <c r="K59" s="27">
        <v>1</v>
      </c>
      <c r="L59" s="27"/>
      <c r="M59" s="27"/>
      <c r="N59" s="27"/>
      <c r="O59" s="27"/>
      <c r="P59" s="27"/>
      <c r="Q59" s="27"/>
      <c r="R59" s="26">
        <f t="shared" si="83"/>
        <v>1</v>
      </c>
      <c r="T59" s="27">
        <v>2</v>
      </c>
      <c r="U59" s="27"/>
      <c r="V59" s="27"/>
      <c r="W59" s="27"/>
      <c r="X59" s="27"/>
      <c r="Y59" s="27"/>
      <c r="Z59" s="27"/>
      <c r="AA59" s="26">
        <f t="shared" si="84"/>
        <v>2</v>
      </c>
      <c r="AC59" s="27">
        <v>3</v>
      </c>
      <c r="AD59" s="27"/>
      <c r="AE59" s="27"/>
      <c r="AF59" s="27"/>
      <c r="AG59" s="27"/>
      <c r="AH59" s="27"/>
      <c r="AI59" s="27"/>
      <c r="AJ59" s="26">
        <f t="shared" si="85"/>
        <v>3</v>
      </c>
      <c r="AL59" s="27">
        <v>4</v>
      </c>
      <c r="AM59" s="27"/>
      <c r="AN59" s="27"/>
      <c r="AO59" s="27"/>
      <c r="AP59" s="27"/>
      <c r="AQ59" s="27"/>
      <c r="AR59" s="27"/>
      <c r="AS59" s="26">
        <f t="shared" si="86"/>
        <v>4</v>
      </c>
      <c r="AU59" s="27"/>
      <c r="AV59" s="27"/>
      <c r="AW59" s="27"/>
      <c r="AX59" s="27"/>
      <c r="AY59" s="27"/>
      <c r="AZ59" s="27"/>
      <c r="BA59" s="27"/>
      <c r="BB59" s="26">
        <f t="shared" si="87"/>
        <v>0</v>
      </c>
      <c r="BD59" s="27"/>
      <c r="BE59" s="27"/>
      <c r="BF59" s="27"/>
      <c r="BG59" s="27"/>
      <c r="BH59" s="27"/>
      <c r="BI59" s="27"/>
      <c r="BJ59" s="27"/>
      <c r="BK59" s="26">
        <f t="shared" si="88"/>
        <v>0</v>
      </c>
      <c r="BM59" s="27">
        <v>0</v>
      </c>
      <c r="BN59" s="27"/>
      <c r="BO59" s="27"/>
      <c r="BP59" s="27"/>
      <c r="BQ59" s="27"/>
      <c r="BR59" s="27"/>
      <c r="BS59" s="27"/>
      <c r="BT59" s="26">
        <f t="shared" si="89"/>
        <v>0</v>
      </c>
      <c r="BV59" s="26">
        <f t="shared" si="92"/>
        <v>11</v>
      </c>
      <c r="BW59" s="26">
        <f t="shared" si="92"/>
        <v>0</v>
      </c>
      <c r="BX59" s="26">
        <f t="shared" si="92"/>
        <v>0</v>
      </c>
      <c r="BY59" s="26">
        <f t="shared" si="92"/>
        <v>0</v>
      </c>
      <c r="BZ59" s="26">
        <f t="shared" si="92"/>
        <v>0</v>
      </c>
      <c r="CA59" s="26">
        <f t="shared" si="92"/>
        <v>0</v>
      </c>
      <c r="CB59" s="27"/>
      <c r="CC59" s="26">
        <f t="shared" ref="CC59:CC60" si="98">SUM(BV59:CB59)</f>
        <v>11</v>
      </c>
    </row>
    <row r="60" spans="1:81">
      <c r="A60" s="25" t="s">
        <v>61</v>
      </c>
      <c r="B60" s="26"/>
      <c r="C60" s="26"/>
      <c r="D60" s="26"/>
      <c r="E60" s="26"/>
      <c r="F60" s="26"/>
      <c r="G60" s="26"/>
      <c r="H60" s="26"/>
      <c r="I60" s="26">
        <f t="shared" si="82"/>
        <v>0</v>
      </c>
      <c r="J60" s="6"/>
      <c r="K60" s="26"/>
      <c r="L60" s="26"/>
      <c r="M60" s="26"/>
      <c r="N60" s="26"/>
      <c r="O60" s="26"/>
      <c r="P60" s="26"/>
      <c r="Q60" s="26"/>
      <c r="R60" s="26">
        <f t="shared" si="83"/>
        <v>0</v>
      </c>
      <c r="T60" s="26">
        <v>1</v>
      </c>
      <c r="U60" s="26"/>
      <c r="V60" s="26"/>
      <c r="W60" s="26"/>
      <c r="X60" s="26"/>
      <c r="Y60" s="26"/>
      <c r="Z60" s="26"/>
      <c r="AA60" s="26">
        <f t="shared" si="84"/>
        <v>1</v>
      </c>
      <c r="AC60" s="26">
        <v>1</v>
      </c>
      <c r="AD60" s="26"/>
      <c r="AE60" s="26"/>
      <c r="AF60" s="26"/>
      <c r="AG60" s="26"/>
      <c r="AH60" s="26"/>
      <c r="AI60" s="26"/>
      <c r="AJ60" s="26">
        <f t="shared" si="85"/>
        <v>1</v>
      </c>
      <c r="AL60" s="26">
        <v>2</v>
      </c>
      <c r="AM60" s="26"/>
      <c r="AN60" s="26"/>
      <c r="AO60" s="26"/>
      <c r="AP60" s="26"/>
      <c r="AQ60" s="26"/>
      <c r="AR60" s="26"/>
      <c r="AS60" s="26">
        <f t="shared" si="86"/>
        <v>2</v>
      </c>
      <c r="AU60" s="26"/>
      <c r="AV60" s="26"/>
      <c r="AW60" s="26"/>
      <c r="AX60" s="26"/>
      <c r="AY60" s="26"/>
      <c r="AZ60" s="26"/>
      <c r="BA60" s="26"/>
      <c r="BB60" s="26">
        <f t="shared" si="87"/>
        <v>0</v>
      </c>
      <c r="BD60" s="26"/>
      <c r="BE60" s="26"/>
      <c r="BF60" s="26"/>
      <c r="BG60" s="26"/>
      <c r="BH60" s="26"/>
      <c r="BI60" s="26"/>
      <c r="BJ60" s="26"/>
      <c r="BK60" s="26">
        <f t="shared" si="88"/>
        <v>0</v>
      </c>
      <c r="BM60" s="26"/>
      <c r="BN60" s="26"/>
      <c r="BO60" s="26"/>
      <c r="BP60" s="26"/>
      <c r="BQ60" s="26"/>
      <c r="BR60" s="26"/>
      <c r="BS60" s="26"/>
      <c r="BT60" s="26">
        <f t="shared" si="89"/>
        <v>0</v>
      </c>
      <c r="BV60" s="26">
        <f t="shared" si="92"/>
        <v>4</v>
      </c>
      <c r="BW60" s="26">
        <f t="shared" si="92"/>
        <v>0</v>
      </c>
      <c r="BX60" s="26">
        <f t="shared" si="92"/>
        <v>0</v>
      </c>
      <c r="BY60" s="26">
        <f t="shared" si="92"/>
        <v>0</v>
      </c>
      <c r="BZ60" s="26">
        <f t="shared" si="92"/>
        <v>0</v>
      </c>
      <c r="CA60" s="26">
        <f t="shared" si="92"/>
        <v>0</v>
      </c>
      <c r="CB60" s="26"/>
      <c r="CC60" s="26">
        <f t="shared" si="98"/>
        <v>4</v>
      </c>
    </row>
    <row r="61" spans="1:81" ht="15">
      <c r="A61" s="24" t="s">
        <v>62</v>
      </c>
      <c r="B61" s="33">
        <f t="shared" ref="B61:I61" si="99">SUM(B39:B60)</f>
        <v>18</v>
      </c>
      <c r="C61" s="33">
        <f t="shared" si="99"/>
        <v>5</v>
      </c>
      <c r="D61" s="33">
        <f t="shared" si="99"/>
        <v>2</v>
      </c>
      <c r="E61" s="33">
        <f t="shared" si="99"/>
        <v>0</v>
      </c>
      <c r="F61" s="33">
        <f t="shared" si="99"/>
        <v>0</v>
      </c>
      <c r="G61" s="33">
        <f t="shared" si="99"/>
        <v>0</v>
      </c>
      <c r="H61" s="33">
        <f t="shared" si="99"/>
        <v>0</v>
      </c>
      <c r="I61" s="33">
        <f t="shared" si="99"/>
        <v>25</v>
      </c>
      <c r="J61" s="7"/>
      <c r="K61" s="33">
        <f t="shared" ref="K61:R61" si="100">SUM(K39:K60)</f>
        <v>22</v>
      </c>
      <c r="L61" s="33">
        <f t="shared" si="100"/>
        <v>6</v>
      </c>
      <c r="M61" s="33">
        <f t="shared" si="100"/>
        <v>2</v>
      </c>
      <c r="N61" s="33">
        <f t="shared" si="100"/>
        <v>0</v>
      </c>
      <c r="O61" s="33">
        <f t="shared" si="100"/>
        <v>0</v>
      </c>
      <c r="P61" s="33">
        <f t="shared" si="100"/>
        <v>0</v>
      </c>
      <c r="Q61" s="33">
        <f t="shared" si="100"/>
        <v>0</v>
      </c>
      <c r="R61" s="33">
        <f t="shared" si="100"/>
        <v>30</v>
      </c>
      <c r="T61" s="33">
        <f t="shared" ref="T61:AA61" si="101">SUM(T39:T60)</f>
        <v>22</v>
      </c>
      <c r="U61" s="33">
        <f t="shared" si="101"/>
        <v>8.33</v>
      </c>
      <c r="V61" s="33">
        <f t="shared" si="101"/>
        <v>2</v>
      </c>
      <c r="W61" s="33">
        <f t="shared" si="101"/>
        <v>0</v>
      </c>
      <c r="X61" s="33">
        <f t="shared" si="101"/>
        <v>0</v>
      </c>
      <c r="Y61" s="33">
        <f t="shared" si="101"/>
        <v>0</v>
      </c>
      <c r="Z61" s="33">
        <f t="shared" si="101"/>
        <v>0</v>
      </c>
      <c r="AA61" s="33">
        <f t="shared" si="101"/>
        <v>32.33</v>
      </c>
      <c r="AC61" s="33">
        <f t="shared" ref="AC61:AJ61" si="102">SUM(AC39:AC60)</f>
        <v>49</v>
      </c>
      <c r="AD61" s="33">
        <f t="shared" si="102"/>
        <v>17</v>
      </c>
      <c r="AE61" s="33">
        <f t="shared" si="102"/>
        <v>6</v>
      </c>
      <c r="AF61" s="33">
        <f t="shared" si="102"/>
        <v>0</v>
      </c>
      <c r="AG61" s="33">
        <f t="shared" si="102"/>
        <v>0</v>
      </c>
      <c r="AH61" s="33">
        <f t="shared" si="102"/>
        <v>0</v>
      </c>
      <c r="AI61" s="33">
        <f t="shared" si="102"/>
        <v>0</v>
      </c>
      <c r="AJ61" s="33">
        <f t="shared" si="102"/>
        <v>72</v>
      </c>
      <c r="AL61" s="33">
        <f t="shared" ref="AL61:AS61" si="103">SUM(AL39:AL60)</f>
        <v>42</v>
      </c>
      <c r="AM61" s="33">
        <f t="shared" si="103"/>
        <v>14.5</v>
      </c>
      <c r="AN61" s="33">
        <f t="shared" si="103"/>
        <v>4</v>
      </c>
      <c r="AO61" s="33">
        <f t="shared" si="103"/>
        <v>0</v>
      </c>
      <c r="AP61" s="33">
        <f t="shared" si="103"/>
        <v>0</v>
      </c>
      <c r="AQ61" s="33">
        <f t="shared" si="103"/>
        <v>0</v>
      </c>
      <c r="AR61" s="33">
        <f t="shared" si="103"/>
        <v>0</v>
      </c>
      <c r="AS61" s="33">
        <f t="shared" si="103"/>
        <v>60.5</v>
      </c>
      <c r="AU61" s="33">
        <f t="shared" ref="AU61:BB61" si="104">SUM(AU39:AU60)</f>
        <v>3</v>
      </c>
      <c r="AV61" s="33">
        <f t="shared" si="104"/>
        <v>1</v>
      </c>
      <c r="AW61" s="33">
        <f t="shared" si="104"/>
        <v>0</v>
      </c>
      <c r="AX61" s="33">
        <f t="shared" si="104"/>
        <v>0</v>
      </c>
      <c r="AY61" s="33">
        <f t="shared" si="104"/>
        <v>0</v>
      </c>
      <c r="AZ61" s="33">
        <f t="shared" si="104"/>
        <v>0</v>
      </c>
      <c r="BA61" s="33">
        <f t="shared" si="104"/>
        <v>0</v>
      </c>
      <c r="BB61" s="33">
        <f t="shared" si="104"/>
        <v>4</v>
      </c>
      <c r="BD61" s="33">
        <f t="shared" ref="BD61:BK61" si="105">SUM(BD39:BD60)</f>
        <v>8</v>
      </c>
      <c r="BE61" s="33">
        <f t="shared" si="105"/>
        <v>0</v>
      </c>
      <c r="BF61" s="33">
        <f t="shared" si="105"/>
        <v>1</v>
      </c>
      <c r="BG61" s="33">
        <f t="shared" si="105"/>
        <v>0</v>
      </c>
      <c r="BH61" s="33">
        <f t="shared" si="105"/>
        <v>0</v>
      </c>
      <c r="BI61" s="33">
        <f t="shared" si="105"/>
        <v>0</v>
      </c>
      <c r="BJ61" s="33">
        <f t="shared" si="105"/>
        <v>0</v>
      </c>
      <c r="BK61" s="33">
        <f t="shared" si="105"/>
        <v>9</v>
      </c>
      <c r="BM61" s="33">
        <f t="shared" ref="BM61:BT61" si="106">SUM(BM39:BM60)</f>
        <v>2.5</v>
      </c>
      <c r="BN61" s="33">
        <f t="shared" si="106"/>
        <v>0</v>
      </c>
      <c r="BO61" s="33">
        <f t="shared" si="106"/>
        <v>0.5</v>
      </c>
      <c r="BP61" s="33">
        <f t="shared" si="106"/>
        <v>0</v>
      </c>
      <c r="BQ61" s="33">
        <f t="shared" si="106"/>
        <v>0</v>
      </c>
      <c r="BR61" s="33">
        <f t="shared" si="106"/>
        <v>0</v>
      </c>
      <c r="BS61" s="33">
        <f t="shared" si="106"/>
        <v>0</v>
      </c>
      <c r="BT61" s="33">
        <f t="shared" si="106"/>
        <v>3</v>
      </c>
      <c r="BV61" s="33">
        <f t="shared" ref="BV61:CC61" si="107">SUM(BV39:BV60)</f>
        <v>166.5</v>
      </c>
      <c r="BW61" s="33">
        <f t="shared" si="107"/>
        <v>51.83</v>
      </c>
      <c r="BX61" s="33">
        <f t="shared" si="107"/>
        <v>17.5</v>
      </c>
      <c r="BY61" s="33">
        <f t="shared" si="107"/>
        <v>0</v>
      </c>
      <c r="BZ61" s="33">
        <f t="shared" si="107"/>
        <v>0</v>
      </c>
      <c r="CA61" s="33">
        <f t="shared" si="107"/>
        <v>0</v>
      </c>
      <c r="CB61" s="33">
        <f t="shared" si="107"/>
        <v>0</v>
      </c>
      <c r="CC61" s="33">
        <f t="shared" si="107"/>
        <v>235.83</v>
      </c>
    </row>
    <row r="62" spans="1:81" ht="15.75" thickBot="1">
      <c r="A62" s="34"/>
      <c r="B62" s="35"/>
      <c r="C62" s="35"/>
      <c r="D62" s="35"/>
      <c r="E62" s="35"/>
      <c r="F62" s="35"/>
      <c r="G62" s="35"/>
      <c r="H62" s="35"/>
      <c r="I62" s="35"/>
      <c r="J62" s="7"/>
      <c r="K62" s="35"/>
      <c r="L62" s="35"/>
      <c r="M62" s="35"/>
      <c r="N62" s="35"/>
      <c r="O62" s="35"/>
      <c r="P62" s="35"/>
      <c r="Q62" s="35"/>
      <c r="R62" s="35"/>
      <c r="T62" s="35"/>
      <c r="U62" s="35"/>
      <c r="V62" s="35"/>
      <c r="W62" s="35"/>
      <c r="X62" s="35"/>
      <c r="Y62" s="35"/>
      <c r="Z62" s="35"/>
      <c r="AA62" s="35"/>
      <c r="AC62" s="35"/>
      <c r="AD62" s="35"/>
      <c r="AE62" s="35"/>
      <c r="AF62" s="35"/>
      <c r="AG62" s="35"/>
      <c r="AH62" s="35"/>
      <c r="AI62" s="35"/>
      <c r="AJ62" s="35"/>
      <c r="AL62" s="35"/>
      <c r="AM62" s="35"/>
      <c r="AN62" s="35"/>
      <c r="AO62" s="35"/>
      <c r="AP62" s="35"/>
      <c r="AQ62" s="35"/>
      <c r="AR62" s="35"/>
      <c r="AS62" s="35"/>
      <c r="AU62" s="35"/>
      <c r="AV62" s="35"/>
      <c r="AW62" s="35"/>
      <c r="AX62" s="35"/>
      <c r="AY62" s="35"/>
      <c r="AZ62" s="35"/>
      <c r="BA62" s="35"/>
      <c r="BB62" s="35"/>
      <c r="BD62" s="35"/>
      <c r="BE62" s="35"/>
      <c r="BF62" s="35"/>
      <c r="BG62" s="35"/>
      <c r="BH62" s="35"/>
      <c r="BI62" s="35"/>
      <c r="BJ62" s="35"/>
      <c r="BK62" s="35"/>
      <c r="BM62" s="35"/>
      <c r="BN62" s="35"/>
      <c r="BO62" s="35"/>
      <c r="BP62" s="35"/>
      <c r="BQ62" s="35"/>
      <c r="BR62" s="35"/>
      <c r="BS62" s="35"/>
      <c r="BT62" s="35"/>
      <c r="BV62" s="35"/>
      <c r="BW62" s="35"/>
      <c r="BX62" s="35"/>
      <c r="BY62" s="35"/>
      <c r="BZ62" s="35"/>
      <c r="CA62" s="35"/>
      <c r="CB62" s="35"/>
      <c r="CC62" s="35"/>
    </row>
    <row r="63" spans="1:81" ht="15">
      <c r="A63" s="36" t="s">
        <v>63</v>
      </c>
      <c r="B63" s="37">
        <f t="shared" ref="B63:I63" si="108">B36</f>
        <v>41.5</v>
      </c>
      <c r="C63" s="37">
        <f t="shared" si="108"/>
        <v>5</v>
      </c>
      <c r="D63" s="37">
        <f t="shared" si="108"/>
        <v>0</v>
      </c>
      <c r="E63" s="37">
        <f t="shared" si="108"/>
        <v>0</v>
      </c>
      <c r="F63" s="37">
        <f t="shared" si="108"/>
        <v>0</v>
      </c>
      <c r="G63" s="37">
        <f t="shared" si="108"/>
        <v>0</v>
      </c>
      <c r="H63" s="37">
        <f t="shared" si="108"/>
        <v>0</v>
      </c>
      <c r="I63" s="37">
        <f t="shared" si="108"/>
        <v>46.5</v>
      </c>
      <c r="J63" s="7"/>
      <c r="K63" s="37">
        <f t="shared" ref="K63:R63" si="109">K36</f>
        <v>44</v>
      </c>
      <c r="L63" s="37">
        <f t="shared" si="109"/>
        <v>4</v>
      </c>
      <c r="M63" s="37">
        <f t="shared" si="109"/>
        <v>0</v>
      </c>
      <c r="N63" s="37">
        <f t="shared" si="109"/>
        <v>0</v>
      </c>
      <c r="O63" s="37">
        <f t="shared" si="109"/>
        <v>0</v>
      </c>
      <c r="P63" s="37">
        <f t="shared" si="109"/>
        <v>0</v>
      </c>
      <c r="Q63" s="37">
        <f t="shared" si="109"/>
        <v>0</v>
      </c>
      <c r="R63" s="37">
        <f t="shared" si="109"/>
        <v>48</v>
      </c>
      <c r="T63" s="37">
        <f t="shared" ref="T63:AA63" si="110">T36</f>
        <v>56</v>
      </c>
      <c r="U63" s="37">
        <f t="shared" si="110"/>
        <v>5</v>
      </c>
      <c r="V63" s="37">
        <f t="shared" si="110"/>
        <v>0</v>
      </c>
      <c r="W63" s="37">
        <f t="shared" si="110"/>
        <v>0</v>
      </c>
      <c r="X63" s="37">
        <f t="shared" si="110"/>
        <v>0</v>
      </c>
      <c r="Y63" s="37">
        <f t="shared" si="110"/>
        <v>0</v>
      </c>
      <c r="Z63" s="37">
        <f t="shared" si="110"/>
        <v>0</v>
      </c>
      <c r="AA63" s="37">
        <f t="shared" si="110"/>
        <v>61</v>
      </c>
      <c r="AC63" s="37">
        <f t="shared" ref="AC63:AJ63" si="111">AC36</f>
        <v>96</v>
      </c>
      <c r="AD63" s="37">
        <f t="shared" si="111"/>
        <v>13</v>
      </c>
      <c r="AE63" s="37">
        <f t="shared" si="111"/>
        <v>0</v>
      </c>
      <c r="AF63" s="37">
        <f t="shared" si="111"/>
        <v>0</v>
      </c>
      <c r="AG63" s="37">
        <f t="shared" si="111"/>
        <v>0</v>
      </c>
      <c r="AH63" s="37">
        <f t="shared" si="111"/>
        <v>0</v>
      </c>
      <c r="AI63" s="37">
        <f t="shared" si="111"/>
        <v>0</v>
      </c>
      <c r="AJ63" s="37">
        <f t="shared" si="111"/>
        <v>109</v>
      </c>
      <c r="AL63" s="37">
        <f t="shared" ref="AL63:AS63" si="112">AL36</f>
        <v>96</v>
      </c>
      <c r="AM63" s="37">
        <f t="shared" si="112"/>
        <v>12</v>
      </c>
      <c r="AN63" s="37">
        <f t="shared" si="112"/>
        <v>0</v>
      </c>
      <c r="AO63" s="37">
        <f t="shared" si="112"/>
        <v>0</v>
      </c>
      <c r="AP63" s="37">
        <f t="shared" si="112"/>
        <v>0</v>
      </c>
      <c r="AQ63" s="37">
        <f t="shared" si="112"/>
        <v>0</v>
      </c>
      <c r="AR63" s="37">
        <f t="shared" si="112"/>
        <v>0</v>
      </c>
      <c r="AS63" s="37">
        <f t="shared" si="112"/>
        <v>108</v>
      </c>
      <c r="AU63" s="37">
        <f t="shared" ref="AU63:BB63" si="113">AU36</f>
        <v>0</v>
      </c>
      <c r="AV63" s="37">
        <f t="shared" si="113"/>
        <v>1</v>
      </c>
      <c r="AW63" s="37">
        <f t="shared" si="113"/>
        <v>0</v>
      </c>
      <c r="AX63" s="37">
        <f t="shared" si="113"/>
        <v>0</v>
      </c>
      <c r="AY63" s="37">
        <f t="shared" si="113"/>
        <v>0</v>
      </c>
      <c r="AZ63" s="37">
        <f t="shared" si="113"/>
        <v>0</v>
      </c>
      <c r="BA63" s="37">
        <f t="shared" si="113"/>
        <v>0</v>
      </c>
      <c r="BB63" s="37">
        <f t="shared" si="113"/>
        <v>1</v>
      </c>
      <c r="BD63" s="37">
        <f t="shared" ref="BD63:BK63" si="114">BD36</f>
        <v>13</v>
      </c>
      <c r="BE63" s="37">
        <f t="shared" si="114"/>
        <v>1</v>
      </c>
      <c r="BF63" s="37">
        <f t="shared" si="114"/>
        <v>0</v>
      </c>
      <c r="BG63" s="37">
        <f t="shared" si="114"/>
        <v>0</v>
      </c>
      <c r="BH63" s="37">
        <f t="shared" si="114"/>
        <v>0</v>
      </c>
      <c r="BI63" s="37">
        <f t="shared" si="114"/>
        <v>0</v>
      </c>
      <c r="BJ63" s="37">
        <f t="shared" si="114"/>
        <v>0</v>
      </c>
      <c r="BK63" s="37">
        <f t="shared" si="114"/>
        <v>14</v>
      </c>
      <c r="BM63" s="37">
        <f t="shared" ref="BM63:BT63" si="115">BM36</f>
        <v>1</v>
      </c>
      <c r="BN63" s="37">
        <f t="shared" si="115"/>
        <v>0</v>
      </c>
      <c r="BO63" s="37">
        <f t="shared" si="115"/>
        <v>0</v>
      </c>
      <c r="BP63" s="37">
        <f t="shared" si="115"/>
        <v>0</v>
      </c>
      <c r="BQ63" s="37">
        <f t="shared" si="115"/>
        <v>0</v>
      </c>
      <c r="BR63" s="37">
        <f t="shared" si="115"/>
        <v>0</v>
      </c>
      <c r="BS63" s="37">
        <f t="shared" si="115"/>
        <v>0</v>
      </c>
      <c r="BT63" s="37">
        <f t="shared" si="115"/>
        <v>1</v>
      </c>
      <c r="BV63" s="37">
        <f t="shared" ref="BV63:CC63" si="116">BV36</f>
        <v>347.5</v>
      </c>
      <c r="BW63" s="37">
        <f t="shared" si="116"/>
        <v>41</v>
      </c>
      <c r="BX63" s="37">
        <f t="shared" si="116"/>
        <v>0</v>
      </c>
      <c r="BY63" s="37">
        <f t="shared" si="116"/>
        <v>0</v>
      </c>
      <c r="BZ63" s="37">
        <f t="shared" si="116"/>
        <v>0</v>
      </c>
      <c r="CA63" s="37">
        <f t="shared" si="116"/>
        <v>0</v>
      </c>
      <c r="CB63" s="37">
        <f t="shared" si="116"/>
        <v>0</v>
      </c>
      <c r="CC63" s="37">
        <f t="shared" si="116"/>
        <v>388.5</v>
      </c>
    </row>
    <row r="64" spans="1:81" ht="15">
      <c r="A64" s="38" t="s">
        <v>64</v>
      </c>
      <c r="B64" s="39">
        <f>B61</f>
        <v>18</v>
      </c>
      <c r="C64" s="39">
        <f t="shared" ref="C64:I64" si="117">C61</f>
        <v>5</v>
      </c>
      <c r="D64" s="39">
        <f t="shared" si="117"/>
        <v>2</v>
      </c>
      <c r="E64" s="39">
        <f t="shared" si="117"/>
        <v>0</v>
      </c>
      <c r="F64" s="39">
        <f t="shared" si="117"/>
        <v>0</v>
      </c>
      <c r="G64" s="39">
        <f t="shared" si="117"/>
        <v>0</v>
      </c>
      <c r="H64" s="39">
        <f t="shared" si="117"/>
        <v>0</v>
      </c>
      <c r="I64" s="39">
        <f t="shared" si="117"/>
        <v>25</v>
      </c>
      <c r="J64" s="7"/>
      <c r="K64" s="39">
        <f>K61</f>
        <v>22</v>
      </c>
      <c r="L64" s="39">
        <f t="shared" ref="L64:R64" si="118">L61</f>
        <v>6</v>
      </c>
      <c r="M64" s="39">
        <f t="shared" si="118"/>
        <v>2</v>
      </c>
      <c r="N64" s="39">
        <f t="shared" si="118"/>
        <v>0</v>
      </c>
      <c r="O64" s="39">
        <f t="shared" si="118"/>
        <v>0</v>
      </c>
      <c r="P64" s="39">
        <f t="shared" si="118"/>
        <v>0</v>
      </c>
      <c r="Q64" s="39">
        <f t="shared" si="118"/>
        <v>0</v>
      </c>
      <c r="R64" s="39">
        <f t="shared" si="118"/>
        <v>30</v>
      </c>
      <c r="T64" s="39">
        <f>T61</f>
        <v>22</v>
      </c>
      <c r="U64" s="39">
        <f t="shared" ref="U64:AA64" si="119">U61</f>
        <v>8.33</v>
      </c>
      <c r="V64" s="39">
        <f t="shared" si="119"/>
        <v>2</v>
      </c>
      <c r="W64" s="39">
        <f t="shared" si="119"/>
        <v>0</v>
      </c>
      <c r="X64" s="39">
        <f t="shared" si="119"/>
        <v>0</v>
      </c>
      <c r="Y64" s="39">
        <f t="shared" si="119"/>
        <v>0</v>
      </c>
      <c r="Z64" s="39">
        <f t="shared" si="119"/>
        <v>0</v>
      </c>
      <c r="AA64" s="39">
        <f t="shared" si="119"/>
        <v>32.33</v>
      </c>
      <c r="AC64" s="39">
        <f>AC61</f>
        <v>49</v>
      </c>
      <c r="AD64" s="39">
        <f t="shared" ref="AD64:AJ64" si="120">AD61</f>
        <v>17</v>
      </c>
      <c r="AE64" s="39">
        <f t="shared" si="120"/>
        <v>6</v>
      </c>
      <c r="AF64" s="39">
        <f t="shared" si="120"/>
        <v>0</v>
      </c>
      <c r="AG64" s="39">
        <f t="shared" si="120"/>
        <v>0</v>
      </c>
      <c r="AH64" s="39">
        <f t="shared" si="120"/>
        <v>0</v>
      </c>
      <c r="AI64" s="39">
        <f t="shared" si="120"/>
        <v>0</v>
      </c>
      <c r="AJ64" s="39">
        <f t="shared" si="120"/>
        <v>72</v>
      </c>
      <c r="AL64" s="39">
        <f>AL61</f>
        <v>42</v>
      </c>
      <c r="AM64" s="39">
        <f t="shared" ref="AM64:AS64" si="121">AM61</f>
        <v>14.5</v>
      </c>
      <c r="AN64" s="39">
        <f t="shared" si="121"/>
        <v>4</v>
      </c>
      <c r="AO64" s="39">
        <f t="shared" si="121"/>
        <v>0</v>
      </c>
      <c r="AP64" s="39">
        <f t="shared" si="121"/>
        <v>0</v>
      </c>
      <c r="AQ64" s="39">
        <f t="shared" si="121"/>
        <v>0</v>
      </c>
      <c r="AR64" s="39">
        <f t="shared" si="121"/>
        <v>0</v>
      </c>
      <c r="AS64" s="39">
        <f t="shared" si="121"/>
        <v>60.5</v>
      </c>
      <c r="AU64" s="39">
        <f>AU61</f>
        <v>3</v>
      </c>
      <c r="AV64" s="39">
        <f t="shared" ref="AV64:BB64" si="122">AV61</f>
        <v>1</v>
      </c>
      <c r="AW64" s="39">
        <f t="shared" si="122"/>
        <v>0</v>
      </c>
      <c r="AX64" s="39">
        <f t="shared" si="122"/>
        <v>0</v>
      </c>
      <c r="AY64" s="39">
        <f t="shared" si="122"/>
        <v>0</v>
      </c>
      <c r="AZ64" s="39">
        <f t="shared" si="122"/>
        <v>0</v>
      </c>
      <c r="BA64" s="39">
        <f t="shared" si="122"/>
        <v>0</v>
      </c>
      <c r="BB64" s="39">
        <f t="shared" si="122"/>
        <v>4</v>
      </c>
      <c r="BD64" s="39">
        <f>BD61</f>
        <v>8</v>
      </c>
      <c r="BE64" s="39">
        <f t="shared" ref="BE64:BK64" si="123">BE61</f>
        <v>0</v>
      </c>
      <c r="BF64" s="39">
        <f t="shared" si="123"/>
        <v>1</v>
      </c>
      <c r="BG64" s="39">
        <f t="shared" si="123"/>
        <v>0</v>
      </c>
      <c r="BH64" s="39">
        <f t="shared" si="123"/>
        <v>0</v>
      </c>
      <c r="BI64" s="39">
        <f t="shared" si="123"/>
        <v>0</v>
      </c>
      <c r="BJ64" s="39">
        <f t="shared" si="123"/>
        <v>0</v>
      </c>
      <c r="BK64" s="39">
        <f t="shared" si="123"/>
        <v>9</v>
      </c>
      <c r="BM64" s="39">
        <f>BM61</f>
        <v>2.5</v>
      </c>
      <c r="BN64" s="39">
        <f t="shared" ref="BN64:BT64" si="124">BN61</f>
        <v>0</v>
      </c>
      <c r="BO64" s="39">
        <f t="shared" si="124"/>
        <v>0.5</v>
      </c>
      <c r="BP64" s="39">
        <f t="shared" si="124"/>
        <v>0</v>
      </c>
      <c r="BQ64" s="39">
        <f t="shared" si="124"/>
        <v>0</v>
      </c>
      <c r="BR64" s="39">
        <f t="shared" si="124"/>
        <v>0</v>
      </c>
      <c r="BS64" s="39">
        <f t="shared" si="124"/>
        <v>0</v>
      </c>
      <c r="BT64" s="39">
        <f t="shared" si="124"/>
        <v>3</v>
      </c>
      <c r="BV64" s="39">
        <f>BV61</f>
        <v>166.5</v>
      </c>
      <c r="BW64" s="39">
        <f t="shared" ref="BW64:CC64" si="125">BW61</f>
        <v>51.83</v>
      </c>
      <c r="BX64" s="39">
        <f t="shared" si="125"/>
        <v>17.5</v>
      </c>
      <c r="BY64" s="39">
        <f t="shared" si="125"/>
        <v>0</v>
      </c>
      <c r="BZ64" s="39">
        <f t="shared" si="125"/>
        <v>0</v>
      </c>
      <c r="CA64" s="39">
        <f t="shared" si="125"/>
        <v>0</v>
      </c>
      <c r="CB64" s="39">
        <f t="shared" si="125"/>
        <v>0</v>
      </c>
      <c r="CC64" s="39">
        <f t="shared" si="125"/>
        <v>235.83</v>
      </c>
    </row>
    <row r="65" spans="1:81" ht="15.75" thickBot="1">
      <c r="A65" s="40" t="s">
        <v>65</v>
      </c>
      <c r="B65" s="41">
        <f>SUM(B63:B64)</f>
        <v>59.5</v>
      </c>
      <c r="C65" s="41">
        <f t="shared" ref="C65:H65" si="126">SUM(C63:C64)</f>
        <v>10</v>
      </c>
      <c r="D65" s="41">
        <f t="shared" si="126"/>
        <v>2</v>
      </c>
      <c r="E65" s="41">
        <f t="shared" si="126"/>
        <v>0</v>
      </c>
      <c r="F65" s="41">
        <f t="shared" si="126"/>
        <v>0</v>
      </c>
      <c r="G65" s="41">
        <f t="shared" si="126"/>
        <v>0</v>
      </c>
      <c r="H65" s="41">
        <f t="shared" si="126"/>
        <v>0</v>
      </c>
      <c r="I65" s="41">
        <f>SUM(I63:I64)</f>
        <v>71.5</v>
      </c>
      <c r="J65" s="7"/>
      <c r="K65" s="41">
        <f>SUM(K63:K64)</f>
        <v>66</v>
      </c>
      <c r="L65" s="41">
        <f t="shared" ref="L65:Q65" si="127">SUM(L63:L64)</f>
        <v>10</v>
      </c>
      <c r="M65" s="41">
        <f t="shared" si="127"/>
        <v>2</v>
      </c>
      <c r="N65" s="41">
        <f t="shared" si="127"/>
        <v>0</v>
      </c>
      <c r="O65" s="41">
        <f t="shared" si="127"/>
        <v>0</v>
      </c>
      <c r="P65" s="41">
        <f t="shared" si="127"/>
        <v>0</v>
      </c>
      <c r="Q65" s="41">
        <f t="shared" si="127"/>
        <v>0</v>
      </c>
      <c r="R65" s="41">
        <f>SUM(R63:R64)</f>
        <v>78</v>
      </c>
      <c r="T65" s="41">
        <f>SUM(T63:T64)</f>
        <v>78</v>
      </c>
      <c r="U65" s="41">
        <f t="shared" ref="U65:Z65" si="128">SUM(U63:U64)</f>
        <v>13.33</v>
      </c>
      <c r="V65" s="41">
        <f t="shared" si="128"/>
        <v>2</v>
      </c>
      <c r="W65" s="41">
        <f t="shared" si="128"/>
        <v>0</v>
      </c>
      <c r="X65" s="41">
        <f t="shared" si="128"/>
        <v>0</v>
      </c>
      <c r="Y65" s="41">
        <f t="shared" si="128"/>
        <v>0</v>
      </c>
      <c r="Z65" s="41">
        <f t="shared" si="128"/>
        <v>0</v>
      </c>
      <c r="AA65" s="41">
        <f>SUM(AA63:AA64)</f>
        <v>93.33</v>
      </c>
      <c r="AC65" s="41">
        <f>SUM(AC63:AC64)</f>
        <v>145</v>
      </c>
      <c r="AD65" s="41">
        <f t="shared" ref="AD65:AI65" si="129">SUM(AD63:AD64)</f>
        <v>30</v>
      </c>
      <c r="AE65" s="41">
        <f t="shared" si="129"/>
        <v>6</v>
      </c>
      <c r="AF65" s="41">
        <f t="shared" si="129"/>
        <v>0</v>
      </c>
      <c r="AG65" s="41">
        <f t="shared" si="129"/>
        <v>0</v>
      </c>
      <c r="AH65" s="41">
        <f t="shared" si="129"/>
        <v>0</v>
      </c>
      <c r="AI65" s="41">
        <f t="shared" si="129"/>
        <v>0</v>
      </c>
      <c r="AJ65" s="41">
        <f>SUM(AJ63:AJ64)</f>
        <v>181</v>
      </c>
      <c r="AL65" s="41">
        <f>SUM(AL63:AL64)</f>
        <v>138</v>
      </c>
      <c r="AM65" s="41">
        <f t="shared" ref="AM65:AR65" si="130">SUM(AM63:AM64)</f>
        <v>26.5</v>
      </c>
      <c r="AN65" s="41">
        <f t="shared" si="130"/>
        <v>4</v>
      </c>
      <c r="AO65" s="41">
        <f t="shared" si="130"/>
        <v>0</v>
      </c>
      <c r="AP65" s="41">
        <f t="shared" si="130"/>
        <v>0</v>
      </c>
      <c r="AQ65" s="41">
        <f t="shared" si="130"/>
        <v>0</v>
      </c>
      <c r="AR65" s="41">
        <f t="shared" si="130"/>
        <v>0</v>
      </c>
      <c r="AS65" s="41">
        <f>SUM(AS63:AS64)</f>
        <v>168.5</v>
      </c>
      <c r="AU65" s="41">
        <f>SUM(AU63:AU64)</f>
        <v>3</v>
      </c>
      <c r="AV65" s="41">
        <f t="shared" ref="AV65:BA65" si="131">SUM(AV63:AV64)</f>
        <v>2</v>
      </c>
      <c r="AW65" s="41">
        <f t="shared" si="131"/>
        <v>0</v>
      </c>
      <c r="AX65" s="41">
        <f t="shared" si="131"/>
        <v>0</v>
      </c>
      <c r="AY65" s="41">
        <f t="shared" si="131"/>
        <v>0</v>
      </c>
      <c r="AZ65" s="41">
        <f t="shared" si="131"/>
        <v>0</v>
      </c>
      <c r="BA65" s="41">
        <f t="shared" si="131"/>
        <v>0</v>
      </c>
      <c r="BB65" s="41">
        <f>SUM(BB63:BB64)</f>
        <v>5</v>
      </c>
      <c r="BD65" s="41">
        <f>SUM(BD63:BD64)</f>
        <v>21</v>
      </c>
      <c r="BE65" s="41">
        <f t="shared" ref="BE65:BJ65" si="132">SUM(BE63:BE64)</f>
        <v>1</v>
      </c>
      <c r="BF65" s="41">
        <f t="shared" si="132"/>
        <v>1</v>
      </c>
      <c r="BG65" s="41">
        <f t="shared" si="132"/>
        <v>0</v>
      </c>
      <c r="BH65" s="41">
        <f t="shared" si="132"/>
        <v>0</v>
      </c>
      <c r="BI65" s="41">
        <f t="shared" si="132"/>
        <v>0</v>
      </c>
      <c r="BJ65" s="41">
        <f t="shared" si="132"/>
        <v>0</v>
      </c>
      <c r="BK65" s="41">
        <f>SUM(BK63:BK64)</f>
        <v>23</v>
      </c>
      <c r="BM65" s="41">
        <f>SUM(BM63:BM64)</f>
        <v>3.5</v>
      </c>
      <c r="BN65" s="41">
        <f t="shared" ref="BN65:BS65" si="133">SUM(BN63:BN64)</f>
        <v>0</v>
      </c>
      <c r="BO65" s="41">
        <f t="shared" si="133"/>
        <v>0.5</v>
      </c>
      <c r="BP65" s="41">
        <f t="shared" si="133"/>
        <v>0</v>
      </c>
      <c r="BQ65" s="41">
        <f t="shared" si="133"/>
        <v>0</v>
      </c>
      <c r="BR65" s="41">
        <f t="shared" si="133"/>
        <v>0</v>
      </c>
      <c r="BS65" s="41">
        <f t="shared" si="133"/>
        <v>0</v>
      </c>
      <c r="BT65" s="41">
        <f>SUM(BT63:BT64)</f>
        <v>4</v>
      </c>
      <c r="BV65" s="41">
        <f>SUM(BV63:BV64)</f>
        <v>514</v>
      </c>
      <c r="BW65" s="41">
        <f t="shared" ref="BW65:CB65" si="134">SUM(BW63:BW64)</f>
        <v>92.83</v>
      </c>
      <c r="BX65" s="41">
        <f t="shared" si="134"/>
        <v>17.5</v>
      </c>
      <c r="BY65" s="41">
        <f t="shared" si="134"/>
        <v>0</v>
      </c>
      <c r="BZ65" s="41">
        <f t="shared" si="134"/>
        <v>0</v>
      </c>
      <c r="CA65" s="41">
        <f t="shared" si="134"/>
        <v>0</v>
      </c>
      <c r="CB65" s="41">
        <f t="shared" si="134"/>
        <v>0</v>
      </c>
      <c r="CC65" s="41">
        <f>SUM(CC63:CC64)</f>
        <v>624.33000000000004</v>
      </c>
    </row>
    <row r="66" spans="1:81">
      <c r="A66" s="29"/>
      <c r="B66" s="42"/>
      <c r="C66" s="42"/>
      <c r="D66" s="42"/>
      <c r="E66" s="42"/>
      <c r="F66" s="42"/>
      <c r="G66" s="42"/>
      <c r="H66" s="42"/>
      <c r="I66" s="42"/>
      <c r="J66" s="7"/>
      <c r="K66" s="42"/>
      <c r="L66" s="42"/>
      <c r="M66" s="42"/>
      <c r="N66" s="42"/>
      <c r="O66" s="42"/>
      <c r="P66" s="42"/>
      <c r="Q66" s="42"/>
      <c r="R66" s="42"/>
      <c r="T66" s="42"/>
      <c r="U66" s="42"/>
      <c r="V66" s="42"/>
      <c r="W66" s="42"/>
      <c r="X66" s="42"/>
      <c r="Y66" s="42"/>
      <c r="Z66" s="42"/>
      <c r="AA66" s="42"/>
      <c r="AC66" s="42"/>
      <c r="AD66" s="42"/>
      <c r="AE66" s="42"/>
      <c r="AF66" s="42"/>
      <c r="AG66" s="42"/>
      <c r="AH66" s="42"/>
      <c r="AI66" s="42"/>
      <c r="AJ66" s="42"/>
      <c r="AL66" s="42"/>
      <c r="AM66" s="42"/>
      <c r="AN66" s="42"/>
      <c r="AO66" s="42"/>
      <c r="AP66" s="42"/>
      <c r="AQ66" s="42"/>
      <c r="AR66" s="42"/>
      <c r="AS66" s="42"/>
      <c r="AU66" s="42"/>
      <c r="AV66" s="42"/>
      <c r="AW66" s="42"/>
      <c r="AX66" s="42"/>
      <c r="AY66" s="42"/>
      <c r="AZ66" s="42"/>
      <c r="BA66" s="42"/>
      <c r="BB66" s="42"/>
      <c r="BD66" s="42"/>
      <c r="BE66" s="42"/>
      <c r="BF66" s="42"/>
      <c r="BG66" s="42"/>
      <c r="BH66" s="42"/>
      <c r="BI66" s="42"/>
      <c r="BJ66" s="42"/>
      <c r="BK66" s="42"/>
      <c r="BM66" s="42"/>
      <c r="BN66" s="42"/>
      <c r="BO66" s="42"/>
      <c r="BP66" s="42"/>
      <c r="BQ66" s="42"/>
      <c r="BR66" s="42"/>
      <c r="BS66" s="42"/>
      <c r="BT66" s="42"/>
      <c r="BV66" s="42"/>
      <c r="BW66" s="42"/>
      <c r="BX66" s="42"/>
      <c r="BY66" s="42"/>
      <c r="BZ66" s="42"/>
      <c r="CA66" s="42"/>
      <c r="CB66" s="42"/>
      <c r="CC66" s="42"/>
    </row>
    <row r="67" spans="1:81" ht="15">
      <c r="A67" s="43" t="s">
        <v>66</v>
      </c>
      <c r="B67" s="44"/>
      <c r="C67" s="44"/>
      <c r="D67" s="44"/>
      <c r="E67" s="44"/>
      <c r="F67" s="44"/>
      <c r="G67" s="44"/>
      <c r="H67" s="44"/>
      <c r="I67" s="45">
        <f>I142/(I211+I213+I214+I215+I216+I217)</f>
        <v>0.60761589141492711</v>
      </c>
      <c r="J67" s="7"/>
      <c r="K67" s="44"/>
      <c r="L67" s="44"/>
      <c r="M67" s="44"/>
      <c r="N67" s="44"/>
      <c r="O67" s="44"/>
      <c r="P67" s="44"/>
      <c r="Q67" s="44"/>
      <c r="R67" s="45">
        <f>R142/(R211+R213+R214+R215+R216+R217)</f>
        <v>0.60189926943810645</v>
      </c>
      <c r="T67" s="44"/>
      <c r="U67" s="44"/>
      <c r="V67" s="44"/>
      <c r="W67" s="44"/>
      <c r="X67" s="44"/>
      <c r="Y67" s="44"/>
      <c r="Z67" s="44"/>
      <c r="AA67" s="45">
        <f>AA142/(AA211+AA213+AA214+AA215+AA216+AA217)</f>
        <v>0.63184977987259283</v>
      </c>
      <c r="AC67" s="44"/>
      <c r="AD67" s="44"/>
      <c r="AE67" s="44"/>
      <c r="AF67" s="44"/>
      <c r="AG67" s="44"/>
      <c r="AH67" s="44"/>
      <c r="AI67" s="44"/>
      <c r="AJ67" s="45">
        <f>AJ142/(AJ211+AJ213+AJ214+AJ215+AJ216+AJ217)</f>
        <v>0.6062500075536722</v>
      </c>
      <c r="AL67" s="44"/>
      <c r="AM67" s="44"/>
      <c r="AN67" s="44"/>
      <c r="AO67" s="44"/>
      <c r="AP67" s="44"/>
      <c r="AQ67" s="44"/>
      <c r="AR67" s="44"/>
      <c r="AS67" s="45">
        <f>AS142/(AS211+AS213+AS214+AS215+AS216+AS217)</f>
        <v>0.56792035780832673</v>
      </c>
      <c r="AU67" s="44"/>
      <c r="AV67" s="44"/>
      <c r="AW67" s="44"/>
      <c r="AX67" s="44"/>
      <c r="AY67" s="44"/>
      <c r="AZ67" s="44"/>
      <c r="BA67" s="44"/>
      <c r="BB67" s="45">
        <f>BB142/(BB211+BB213+BB214+BB215+BB216+BB217)</f>
        <v>0.47595575110808547</v>
      </c>
      <c r="BD67" s="44"/>
      <c r="BE67" s="44"/>
      <c r="BF67" s="44"/>
      <c r="BG67" s="44"/>
      <c r="BH67" s="44"/>
      <c r="BI67" s="44"/>
      <c r="BJ67" s="44"/>
      <c r="BK67" s="45">
        <f>BK142/(BK211+BK213+BK214+BK215+BK216+BK217)</f>
        <v>0.58555009971498451</v>
      </c>
      <c r="BM67" s="44"/>
      <c r="BN67" s="44"/>
      <c r="BO67" s="44"/>
      <c r="BP67" s="44"/>
      <c r="BQ67" s="44"/>
      <c r="BR67" s="44"/>
      <c r="BS67" s="44"/>
      <c r="BT67" s="45">
        <f>BT142/(BT211+BT213+BT214+BT215+BT216+BT217)</f>
        <v>0.98989870647324563</v>
      </c>
      <c r="BV67" s="44"/>
      <c r="BW67" s="44"/>
      <c r="BX67" s="44"/>
      <c r="BY67" s="44"/>
      <c r="BZ67" s="44"/>
      <c r="CA67" s="44"/>
      <c r="CB67" s="44"/>
      <c r="CC67" s="45">
        <f>CC142/(CC211+CC213+CC214+CC215+CC216+CC217)</f>
        <v>0.59789024055487527</v>
      </c>
    </row>
    <row r="68" spans="1:81" ht="15">
      <c r="A68" s="43" t="s">
        <v>67</v>
      </c>
      <c r="B68" s="44"/>
      <c r="C68" s="44"/>
      <c r="D68" s="44"/>
      <c r="E68" s="44"/>
      <c r="F68" s="44"/>
      <c r="G68" s="44"/>
      <c r="H68" s="44"/>
      <c r="I68" s="45">
        <f>(I114+I115+I118+I128)/I132</f>
        <v>0.74471868034610877</v>
      </c>
      <c r="J68" s="7"/>
      <c r="K68" s="44"/>
      <c r="L68" s="44"/>
      <c r="M68" s="44"/>
      <c r="N68" s="44"/>
      <c r="O68" s="44"/>
      <c r="P68" s="44"/>
      <c r="Q68" s="44"/>
      <c r="R68" s="45">
        <f>(R114+R115+R118+R128)/R132</f>
        <v>0.72426728180135247</v>
      </c>
      <c r="T68" s="44"/>
      <c r="U68" s="44"/>
      <c r="V68" s="44"/>
      <c r="W68" s="44"/>
      <c r="X68" s="44"/>
      <c r="Y68" s="44"/>
      <c r="Z68" s="44"/>
      <c r="AA68" s="45">
        <f>(AA114+AA115+AA118+AA128)/AA132</f>
        <v>0.73571176927480719</v>
      </c>
      <c r="AC68" s="44"/>
      <c r="AD68" s="44"/>
      <c r="AE68" s="44"/>
      <c r="AF68" s="44"/>
      <c r="AG68" s="44"/>
      <c r="AH68" s="44"/>
      <c r="AI68" s="44"/>
      <c r="AJ68" s="45">
        <f>(AJ114+AJ115+AJ118+AJ128)/AJ132</f>
        <v>0.72228331000405466</v>
      </c>
      <c r="AL68" s="44"/>
      <c r="AM68" s="44"/>
      <c r="AN68" s="44"/>
      <c r="AO68" s="44"/>
      <c r="AP68" s="44"/>
      <c r="AQ68" s="44"/>
      <c r="AR68" s="44"/>
      <c r="AS68" s="45">
        <f>(AS114+AS115+AS118+AS128)/AS132</f>
        <v>0.74471876872390452</v>
      </c>
      <c r="AU68" s="44"/>
      <c r="AV68" s="44"/>
      <c r="AW68" s="44"/>
      <c r="AX68" s="44"/>
      <c r="AY68" s="44"/>
      <c r="AZ68" s="44"/>
      <c r="BA68" s="44"/>
      <c r="BB68" s="45">
        <f>(BB114+BB115+BB118+BB128)/BB132</f>
        <v>0.65446847641515482</v>
      </c>
      <c r="BD68" s="44"/>
      <c r="BE68" s="44"/>
      <c r="BF68" s="44"/>
      <c r="BG68" s="44"/>
      <c r="BH68" s="44"/>
      <c r="BI68" s="44"/>
      <c r="BJ68" s="44"/>
      <c r="BK68" s="45">
        <f>(BK114+BK115+BK118+BK128)/BK132</f>
        <v>0.72092553769702616</v>
      </c>
      <c r="BM68" s="44"/>
      <c r="BN68" s="44"/>
      <c r="BO68" s="44"/>
      <c r="BP68" s="44"/>
      <c r="BQ68" s="44"/>
      <c r="BR68" s="44"/>
      <c r="BS68" s="44"/>
      <c r="BT68" s="45">
        <f>(BT114+BT115+BT118+BT128)/BT132</f>
        <v>0.317991491642381</v>
      </c>
      <c r="BV68" s="44"/>
      <c r="BW68" s="44"/>
      <c r="BX68" s="44"/>
      <c r="BY68" s="44"/>
      <c r="BZ68" s="44"/>
      <c r="CA68" s="44"/>
      <c r="CB68" s="44"/>
      <c r="CC68" s="45">
        <f>(CC114+CC115+CC118+CC128)/CC132</f>
        <v>0.72924494906393433</v>
      </c>
    </row>
    <row r="69" spans="1:81" ht="15">
      <c r="A69" s="43" t="s">
        <v>68</v>
      </c>
      <c r="B69" s="44"/>
      <c r="C69" s="44"/>
      <c r="D69" s="44"/>
      <c r="E69" s="44"/>
      <c r="F69" s="44"/>
      <c r="G69" s="44"/>
      <c r="H69" s="44"/>
      <c r="I69" s="45">
        <f>(I107+I108+I109+I112+I116+I117+I119+I120++I123+I124+I125+I126+I127+I129+I130)/I132</f>
        <v>0.23480107428872032</v>
      </c>
      <c r="J69" s="7"/>
      <c r="K69" s="44"/>
      <c r="L69" s="44"/>
      <c r="M69" s="44"/>
      <c r="N69" s="44"/>
      <c r="O69" s="44"/>
      <c r="P69" s="44"/>
      <c r="Q69" s="44"/>
      <c r="R69" s="45">
        <f>(R107+R108+R109+R112+R116+R117+R119+R120++R123+R124+R125+R126+R127+R129+R130)/R132</f>
        <v>0.25726383078887838</v>
      </c>
      <c r="T69" s="44"/>
      <c r="U69" s="44"/>
      <c r="V69" s="44"/>
      <c r="W69" s="44"/>
      <c r="X69" s="44"/>
      <c r="Y69" s="44"/>
      <c r="Z69" s="44"/>
      <c r="AA69" s="45">
        <f>(AA107+AA108+AA109+AA112+AA116+AA117+AA119+AA120++AA123+AA124+AA125+AA126+AA127+AA129+AA130)/AA132</f>
        <v>0.24918655676254831</v>
      </c>
      <c r="AC69" s="44"/>
      <c r="AD69" s="44"/>
      <c r="AE69" s="44"/>
      <c r="AF69" s="44"/>
      <c r="AG69" s="44"/>
      <c r="AH69" s="44"/>
      <c r="AI69" s="44"/>
      <c r="AJ69" s="45">
        <f>(AJ107+AJ108+AJ109+AJ112+AJ116+AJ117+AJ119+AJ120++AJ123+AJ124+AJ125+AJ126+AJ127+AJ129+AJ130)/AJ132</f>
        <v>0.23372974095594221</v>
      </c>
      <c r="AL69" s="44"/>
      <c r="AM69" s="44"/>
      <c r="AN69" s="44"/>
      <c r="AO69" s="44"/>
      <c r="AP69" s="44"/>
      <c r="AQ69" s="44"/>
      <c r="AR69" s="44"/>
      <c r="AS69" s="45">
        <f>(AS107+AS108+AS109+AS112+AS116+AS117+AS119+AS120++AS123+AS124+AS125+AS126+AS127+AS129+AS130)/AS132</f>
        <v>0.21526839970635006</v>
      </c>
      <c r="AU69" s="44"/>
      <c r="AV69" s="44"/>
      <c r="AW69" s="44"/>
      <c r="AX69" s="44"/>
      <c r="AY69" s="44"/>
      <c r="AZ69" s="44"/>
      <c r="BA69" s="44"/>
      <c r="BB69" s="45">
        <f>(BB107+BB108+BB109+BB112+BB116+BB117+BB119+BB120++BB123+BB124+BB125+BB126+BB127+BB129+BB130)/BB132</f>
        <v>0</v>
      </c>
      <c r="BD69" s="44"/>
      <c r="BE69" s="44"/>
      <c r="BF69" s="44"/>
      <c r="BG69" s="44"/>
      <c r="BH69" s="44"/>
      <c r="BI69" s="44"/>
      <c r="BJ69" s="44"/>
      <c r="BK69" s="45">
        <f>(BK107+BK108+BK109+BK112+BK116+BK117+BK119+BK120++BK123+BK124+BK125+BK126+BK127+BK129+BK130)/BK132</f>
        <v>0.27907446230297384</v>
      </c>
      <c r="BM69" s="44"/>
      <c r="BN69" s="44"/>
      <c r="BO69" s="44"/>
      <c r="BP69" s="44"/>
      <c r="BQ69" s="44"/>
      <c r="BR69" s="44"/>
      <c r="BS69" s="44"/>
      <c r="BT69" s="45">
        <f>(BT107+BT108+BT109+BT112+BT116+BT117+BT119+BT120++BT123+BT124+BT125+BT126+BT127+BT129+BT130+BT111)/BT132</f>
        <v>0.68200850835761895</v>
      </c>
      <c r="BV69" s="44"/>
      <c r="BW69" s="44"/>
      <c r="BX69" s="44"/>
      <c r="BY69" s="44"/>
      <c r="BZ69" s="44"/>
      <c r="CA69" s="44"/>
      <c r="CB69" s="44"/>
      <c r="CC69" s="45">
        <f>(CC107+CC108+CC109+CC112+CC116+CC117+CC119+CC120++CC123+CC124+CC125+CC126+CC127+CC129+CC130+CC111)/CC132</f>
        <v>0.25609160443413165</v>
      </c>
    </row>
    <row r="70" spans="1:81" ht="15">
      <c r="A70" s="43" t="s">
        <v>69</v>
      </c>
      <c r="B70" s="44"/>
      <c r="C70" s="44"/>
      <c r="D70" s="44"/>
      <c r="E70" s="44"/>
      <c r="F70" s="44"/>
      <c r="G70" s="44"/>
      <c r="H70" s="44"/>
      <c r="I70" s="45">
        <f>(I214+I215+I216+I217+I213)/I97</f>
        <v>8.8395311785301078E-2</v>
      </c>
      <c r="J70" s="7"/>
      <c r="K70" s="44"/>
      <c r="L70" s="44"/>
      <c r="M70" s="44"/>
      <c r="N70" s="44"/>
      <c r="O70" s="44"/>
      <c r="P70" s="44"/>
      <c r="Q70" s="44"/>
      <c r="R70" s="45">
        <f>(R214+R215+R216+R217+R213)/R97</f>
        <v>8.9090600328571246E-2</v>
      </c>
      <c r="T70" s="44"/>
      <c r="U70" s="44"/>
      <c r="V70" s="44"/>
      <c r="W70" s="44"/>
      <c r="X70" s="44"/>
      <c r="Y70" s="44"/>
      <c r="Z70" s="44"/>
      <c r="AA70" s="45">
        <f>(AA214+AA215+AA216+AA217+AA213)/AA97</f>
        <v>8.934801911880394E-2</v>
      </c>
      <c r="AC70" s="44"/>
      <c r="AD70" s="44"/>
      <c r="AE70" s="44"/>
      <c r="AF70" s="44"/>
      <c r="AG70" s="44"/>
      <c r="AH70" s="44"/>
      <c r="AI70" s="44"/>
      <c r="AJ70" s="45">
        <f>(AJ214+AJ215+AJ216+AJ217+AJ213)/AJ97</f>
        <v>9.2911565089749959E-2</v>
      </c>
      <c r="AL70" s="44"/>
      <c r="AM70" s="44"/>
      <c r="AN70" s="44"/>
      <c r="AO70" s="44"/>
      <c r="AP70" s="44"/>
      <c r="AQ70" s="44"/>
      <c r="AR70" s="44"/>
      <c r="AS70" s="45">
        <f>(AS214+AS215+AS216+AS217+AS213)/AS97</f>
        <v>0.12945456467001618</v>
      </c>
      <c r="AU70" s="44"/>
      <c r="AV70" s="44"/>
      <c r="AW70" s="44"/>
      <c r="AX70" s="44"/>
      <c r="AY70" s="44"/>
      <c r="AZ70" s="44"/>
      <c r="BA70" s="44"/>
      <c r="BB70" s="45">
        <f>(BB214+BB215+BB216+BB217+BB213)/BB97</f>
        <v>0</v>
      </c>
      <c r="BD70" s="44"/>
      <c r="BE70" s="44"/>
      <c r="BF70" s="44"/>
      <c r="BG70" s="44"/>
      <c r="BH70" s="44"/>
      <c r="BI70" s="44"/>
      <c r="BJ70" s="44"/>
      <c r="BK70" s="45">
        <f>(BK214+BK215+BK216+BK217+BK213)/BK97</f>
        <v>6.3400527023316278E-2</v>
      </c>
      <c r="BM70" s="44"/>
      <c r="BN70" s="44"/>
      <c r="BO70" s="44"/>
      <c r="BP70" s="44"/>
      <c r="BQ70" s="44"/>
      <c r="BR70" s="44"/>
      <c r="BS70" s="44"/>
      <c r="BT70" s="45" t="e">
        <f>(BT214+BT215+BT216+BT217+BT213)/BT97</f>
        <v>#DIV/0!</v>
      </c>
      <c r="BV70" s="44"/>
      <c r="BW70" s="44"/>
      <c r="BX70" s="44"/>
      <c r="BY70" s="44"/>
      <c r="BZ70" s="44"/>
      <c r="CA70" s="44"/>
      <c r="CB70" s="44"/>
      <c r="CC70" s="45">
        <f>(CC214+CC215+CC216+CC217+CC213)/CC97</f>
        <v>9.9268655771925896E-2</v>
      </c>
    </row>
    <row r="71" spans="1:81" ht="15" thickBot="1">
      <c r="B71" s="42"/>
      <c r="C71" s="42"/>
      <c r="D71" s="42"/>
      <c r="E71" s="42"/>
      <c r="F71" s="42"/>
      <c r="G71" s="42"/>
      <c r="H71" s="42"/>
      <c r="I71" s="42"/>
      <c r="J71" s="7"/>
      <c r="K71" s="42"/>
      <c r="L71" s="42"/>
      <c r="M71" s="42"/>
      <c r="N71" s="42"/>
      <c r="O71" s="42"/>
      <c r="P71" s="42"/>
      <c r="Q71" s="42"/>
      <c r="R71" s="42"/>
      <c r="T71" s="42"/>
      <c r="U71" s="42"/>
      <c r="V71" s="42"/>
      <c r="W71" s="42"/>
      <c r="X71" s="42"/>
      <c r="Y71" s="42"/>
      <c r="Z71" s="42"/>
      <c r="AA71" s="42"/>
      <c r="AC71" s="42"/>
      <c r="AD71" s="42"/>
      <c r="AE71" s="42"/>
      <c r="AF71" s="42"/>
      <c r="AG71" s="42"/>
      <c r="AH71" s="42"/>
      <c r="AI71" s="42"/>
      <c r="AJ71" s="42"/>
      <c r="AL71" s="42"/>
      <c r="AM71" s="42"/>
      <c r="AN71" s="42"/>
      <c r="AO71" s="42"/>
      <c r="AP71" s="42"/>
      <c r="AQ71" s="42"/>
      <c r="AR71" s="42"/>
      <c r="AS71" s="42"/>
      <c r="AU71" s="42"/>
      <c r="AV71" s="42"/>
      <c r="AW71" s="42"/>
      <c r="AX71" s="42"/>
      <c r="AY71" s="42"/>
      <c r="AZ71" s="42"/>
      <c r="BA71" s="42"/>
      <c r="BB71" s="42"/>
      <c r="BD71" s="42"/>
      <c r="BE71" s="42"/>
      <c r="BF71" s="42"/>
      <c r="BG71" s="42"/>
      <c r="BH71" s="42"/>
      <c r="BI71" s="42"/>
      <c r="BJ71" s="42"/>
      <c r="BK71" s="42"/>
      <c r="BM71" s="42"/>
      <c r="BN71" s="42"/>
      <c r="BO71" s="42"/>
      <c r="BP71" s="42"/>
      <c r="BQ71" s="42"/>
      <c r="BR71" s="42"/>
      <c r="BS71" s="42"/>
      <c r="BT71" s="42"/>
      <c r="BV71" s="42"/>
      <c r="BW71" s="42"/>
      <c r="BX71" s="42"/>
      <c r="BY71" s="42"/>
      <c r="BZ71" s="42"/>
      <c r="CA71" s="42"/>
      <c r="CB71" s="42"/>
      <c r="CC71" s="42"/>
    </row>
    <row r="72" spans="1:81" ht="15.75" thickBot="1">
      <c r="A72" s="46" t="s">
        <v>70</v>
      </c>
      <c r="B72" s="47" t="str">
        <f t="shared" ref="B72:I72" si="135">B1</f>
        <v>Operating</v>
      </c>
      <c r="C72" s="47" t="str">
        <f t="shared" si="135"/>
        <v>SPED</v>
      </c>
      <c r="D72" s="47" t="str">
        <f t="shared" si="135"/>
        <v>NSLP</v>
      </c>
      <c r="E72" s="47" t="str">
        <f t="shared" si="135"/>
        <v>Other</v>
      </c>
      <c r="F72" s="47" t="str">
        <f t="shared" si="135"/>
        <v>Title I</v>
      </c>
      <c r="G72" s="47" t="str">
        <f t="shared" si="135"/>
        <v>SGF</v>
      </c>
      <c r="H72" s="47" t="str">
        <f t="shared" si="135"/>
        <v>Title III</v>
      </c>
      <c r="I72" s="47" t="str">
        <f t="shared" si="135"/>
        <v>Horizon</v>
      </c>
      <c r="J72" s="7"/>
      <c r="K72" s="47" t="str">
        <f t="shared" ref="K72:R72" si="136">K1</f>
        <v>Operating</v>
      </c>
      <c r="L72" s="47" t="str">
        <f t="shared" si="136"/>
        <v>SPED</v>
      </c>
      <c r="M72" s="47" t="str">
        <f t="shared" si="136"/>
        <v>NSLP</v>
      </c>
      <c r="N72" s="47" t="str">
        <f t="shared" si="136"/>
        <v>Other</v>
      </c>
      <c r="O72" s="47" t="str">
        <f t="shared" si="136"/>
        <v>Title I</v>
      </c>
      <c r="P72" s="47" t="str">
        <f t="shared" si="136"/>
        <v>SGF</v>
      </c>
      <c r="Q72" s="47" t="str">
        <f t="shared" si="136"/>
        <v>Title III</v>
      </c>
      <c r="R72" s="47" t="str">
        <f t="shared" si="136"/>
        <v>St. Rose</v>
      </c>
      <c r="T72" s="47" t="str">
        <f t="shared" ref="T72:AA72" si="137">T1</f>
        <v>Operating</v>
      </c>
      <c r="U72" s="47" t="str">
        <f t="shared" si="137"/>
        <v>SPED</v>
      </c>
      <c r="V72" s="47" t="str">
        <f t="shared" si="137"/>
        <v>NSLP</v>
      </c>
      <c r="W72" s="47" t="str">
        <f t="shared" si="137"/>
        <v>Other</v>
      </c>
      <c r="X72" s="47" t="str">
        <f t="shared" si="137"/>
        <v>Title I</v>
      </c>
      <c r="Y72" s="47" t="str">
        <f t="shared" si="137"/>
        <v>SGF</v>
      </c>
      <c r="Z72" s="47" t="str">
        <f t="shared" si="137"/>
        <v>Title III</v>
      </c>
      <c r="AA72" s="47" t="str">
        <f t="shared" si="137"/>
        <v>Inspirada</v>
      </c>
      <c r="AC72" s="47" t="str">
        <f t="shared" ref="AC72:AJ72" si="138">AC1</f>
        <v>Operating</v>
      </c>
      <c r="AD72" s="47" t="str">
        <f t="shared" si="138"/>
        <v>SPED</v>
      </c>
      <c r="AE72" s="47" t="str">
        <f t="shared" si="138"/>
        <v>NSLP</v>
      </c>
      <c r="AF72" s="47" t="str">
        <f t="shared" si="138"/>
        <v>Other</v>
      </c>
      <c r="AG72" s="47" t="str">
        <f t="shared" si="138"/>
        <v>Title I</v>
      </c>
      <c r="AH72" s="47" t="str">
        <f t="shared" si="138"/>
        <v>SGF</v>
      </c>
      <c r="AI72" s="47" t="str">
        <f t="shared" si="138"/>
        <v>Title III</v>
      </c>
      <c r="AJ72" s="47" t="str">
        <f t="shared" si="138"/>
        <v>Cadence</v>
      </c>
      <c r="AL72" s="47" t="str">
        <f t="shared" ref="AL72:AS72" si="139">AL1</f>
        <v>Operating</v>
      </c>
      <c r="AM72" s="47" t="str">
        <f t="shared" si="139"/>
        <v>SPED</v>
      </c>
      <c r="AN72" s="47" t="str">
        <f t="shared" si="139"/>
        <v>NSLP</v>
      </c>
      <c r="AO72" s="47" t="str">
        <f t="shared" si="139"/>
        <v>Other</v>
      </c>
      <c r="AP72" s="47" t="str">
        <f t="shared" si="139"/>
        <v>Title I</v>
      </c>
      <c r="AQ72" s="47" t="str">
        <f t="shared" si="139"/>
        <v>SGF</v>
      </c>
      <c r="AR72" s="47" t="str">
        <f t="shared" si="139"/>
        <v>Title III</v>
      </c>
      <c r="AS72" s="47" t="str">
        <f t="shared" si="139"/>
        <v>Sloan</v>
      </c>
      <c r="AU72" s="47" t="str">
        <f t="shared" ref="AU72:BB72" si="140">AU1</f>
        <v>Operating</v>
      </c>
      <c r="AV72" s="47" t="str">
        <f t="shared" si="140"/>
        <v>SPED</v>
      </c>
      <c r="AW72" s="47" t="str">
        <f t="shared" si="140"/>
        <v>NSLP</v>
      </c>
      <c r="AX72" s="47" t="str">
        <f t="shared" si="140"/>
        <v>Other</v>
      </c>
      <c r="AY72" s="47" t="str">
        <f t="shared" si="140"/>
        <v>Title I</v>
      </c>
      <c r="AZ72" s="47" t="str">
        <f t="shared" si="140"/>
        <v>SGF</v>
      </c>
      <c r="BA72" s="47" t="str">
        <f t="shared" si="140"/>
        <v>Title III</v>
      </c>
      <c r="BB72" s="47" t="str">
        <f t="shared" si="140"/>
        <v>Virtual</v>
      </c>
      <c r="BD72" s="47" t="str">
        <f t="shared" ref="BD72:BK72" si="141">BD1</f>
        <v>Operating</v>
      </c>
      <c r="BE72" s="47" t="str">
        <f t="shared" si="141"/>
        <v>SPED</v>
      </c>
      <c r="BF72" s="47" t="str">
        <f t="shared" si="141"/>
        <v>NSLP</v>
      </c>
      <c r="BG72" s="47" t="str">
        <f t="shared" si="141"/>
        <v>Other</v>
      </c>
      <c r="BH72" s="47" t="str">
        <f t="shared" si="141"/>
        <v>Title I</v>
      </c>
      <c r="BI72" s="47" t="str">
        <f t="shared" si="141"/>
        <v>SGF</v>
      </c>
      <c r="BJ72" s="47" t="str">
        <f t="shared" si="141"/>
        <v>Title III</v>
      </c>
      <c r="BK72" s="47" t="str">
        <f t="shared" si="141"/>
        <v>Springs</v>
      </c>
      <c r="BM72" s="47" t="str">
        <f t="shared" ref="BM72:BT72" si="142">BM1</f>
        <v>Operating</v>
      </c>
      <c r="BN72" s="47" t="str">
        <f t="shared" si="142"/>
        <v>SPED</v>
      </c>
      <c r="BO72" s="47" t="str">
        <f t="shared" si="142"/>
        <v>NSLP</v>
      </c>
      <c r="BP72" s="47" t="str">
        <f t="shared" si="142"/>
        <v>Other</v>
      </c>
      <c r="BQ72" s="47" t="str">
        <f t="shared" si="142"/>
        <v>Title I</v>
      </c>
      <c r="BR72" s="47" t="str">
        <f t="shared" si="142"/>
        <v>SGF</v>
      </c>
      <c r="BS72" s="47" t="str">
        <f t="shared" si="142"/>
        <v>Title III</v>
      </c>
      <c r="BT72" s="47" t="str">
        <f t="shared" si="142"/>
        <v>Exec. Office</v>
      </c>
      <c r="BV72" s="47" t="str">
        <f t="shared" ref="BV72:CC72" si="143">BV1</f>
        <v>Operating</v>
      </c>
      <c r="BW72" s="47" t="str">
        <f t="shared" si="143"/>
        <v>SPED</v>
      </c>
      <c r="BX72" s="47" t="str">
        <f t="shared" si="143"/>
        <v>NSLP</v>
      </c>
      <c r="BY72" s="47" t="str">
        <f t="shared" si="143"/>
        <v>Other</v>
      </c>
      <c r="BZ72" s="47" t="str">
        <f t="shared" si="143"/>
        <v>Title I</v>
      </c>
      <c r="CA72" s="47" t="str">
        <f t="shared" si="143"/>
        <v>SGF</v>
      </c>
      <c r="CB72" s="47" t="str">
        <f t="shared" si="143"/>
        <v>Title III</v>
      </c>
      <c r="CC72" s="47" t="str">
        <f t="shared" si="143"/>
        <v>Systemwide</v>
      </c>
    </row>
    <row r="73" spans="1:81" ht="15">
      <c r="A73" s="48" t="s">
        <v>71</v>
      </c>
      <c r="B73" s="49"/>
      <c r="C73" s="49"/>
      <c r="D73" s="49"/>
      <c r="E73" s="49"/>
      <c r="F73" s="49"/>
      <c r="G73" s="49"/>
      <c r="H73" s="49"/>
      <c r="I73" s="50"/>
      <c r="J73" s="7"/>
      <c r="K73" s="49"/>
      <c r="L73" s="49"/>
      <c r="M73" s="49"/>
      <c r="N73" s="49"/>
      <c r="O73" s="49"/>
      <c r="P73" s="49"/>
      <c r="Q73" s="49"/>
      <c r="R73" s="50"/>
      <c r="T73" s="49"/>
      <c r="U73" s="49"/>
      <c r="V73" s="49"/>
      <c r="W73" s="49"/>
      <c r="X73" s="49"/>
      <c r="Y73" s="49"/>
      <c r="Z73" s="49"/>
      <c r="AA73" s="50"/>
      <c r="AC73" s="49"/>
      <c r="AD73" s="49"/>
      <c r="AE73" s="49"/>
      <c r="AF73" s="49"/>
      <c r="AG73" s="49"/>
      <c r="AH73" s="49"/>
      <c r="AI73" s="49"/>
      <c r="AJ73" s="50"/>
      <c r="AL73" s="49"/>
      <c r="AM73" s="49"/>
      <c r="AN73" s="49"/>
      <c r="AO73" s="49"/>
      <c r="AP73" s="49"/>
      <c r="AQ73" s="49"/>
      <c r="AR73" s="49"/>
      <c r="AS73" s="50"/>
      <c r="AU73" s="49"/>
      <c r="AV73" s="49"/>
      <c r="AW73" s="49"/>
      <c r="AX73" s="49"/>
      <c r="AY73" s="49"/>
      <c r="AZ73" s="49"/>
      <c r="BA73" s="49"/>
      <c r="BB73" s="50"/>
      <c r="BD73" s="49"/>
      <c r="BE73" s="49"/>
      <c r="BF73" s="49"/>
      <c r="BG73" s="49"/>
      <c r="BH73" s="49"/>
      <c r="BI73" s="49"/>
      <c r="BJ73" s="49"/>
      <c r="BK73" s="50"/>
      <c r="BM73" s="49"/>
      <c r="BN73" s="49"/>
      <c r="BO73" s="49"/>
      <c r="BP73" s="49"/>
      <c r="BQ73" s="49"/>
      <c r="BR73" s="49"/>
      <c r="BS73" s="49"/>
      <c r="BT73" s="50"/>
      <c r="BV73" s="49"/>
      <c r="BW73" s="49"/>
      <c r="BX73" s="49"/>
      <c r="BY73" s="49"/>
      <c r="BZ73" s="49"/>
      <c r="CA73" s="49"/>
      <c r="CB73" s="49"/>
      <c r="CC73" s="50"/>
    </row>
    <row r="74" spans="1:81">
      <c r="A74" s="29" t="s">
        <v>72</v>
      </c>
      <c r="B74" s="51">
        <f>(B2*B3)</f>
        <v>8519670</v>
      </c>
      <c r="C74" s="51"/>
      <c r="D74" s="51"/>
      <c r="E74" s="51"/>
      <c r="F74" s="51"/>
      <c r="G74" s="51"/>
      <c r="H74" s="51"/>
      <c r="I74" s="52">
        <f t="shared" ref="I74:I79" si="144">SUM(B74:H74)</f>
        <v>8519670</v>
      </c>
      <c r="K74" s="51">
        <f>(K2*K3)</f>
        <v>9621108</v>
      </c>
      <c r="L74" s="51"/>
      <c r="M74" s="51"/>
      <c r="N74" s="51"/>
      <c r="O74" s="51"/>
      <c r="P74" s="51"/>
      <c r="Q74" s="51"/>
      <c r="R74" s="52">
        <f t="shared" ref="R74:R79" si="145">SUM(K74:Q74)</f>
        <v>9621108</v>
      </c>
      <c r="T74" s="51">
        <f>(T2*T3)</f>
        <v>11230902</v>
      </c>
      <c r="U74" s="51"/>
      <c r="V74" s="51"/>
      <c r="W74" s="51"/>
      <c r="X74" s="51"/>
      <c r="Y74" s="51"/>
      <c r="Z74" s="51"/>
      <c r="AA74" s="52">
        <f t="shared" ref="AA74:AA79" si="146">SUM(T74:Z74)</f>
        <v>11230902</v>
      </c>
      <c r="AC74" s="51">
        <f>(AC2*AC3)</f>
        <v>22009932</v>
      </c>
      <c r="AD74" s="51"/>
      <c r="AE74" s="51"/>
      <c r="AF74" s="51"/>
      <c r="AG74" s="51"/>
      <c r="AH74" s="51"/>
      <c r="AI74" s="51"/>
      <c r="AJ74" s="52">
        <f t="shared" ref="AJ74:AJ79" si="147">SUM(AC74:AI74)</f>
        <v>22009932</v>
      </c>
      <c r="AL74" s="51">
        <f>(AL2*AL3)</f>
        <v>21379194</v>
      </c>
      <c r="AM74" s="51"/>
      <c r="AN74" s="51"/>
      <c r="AO74" s="51"/>
      <c r="AP74" s="51"/>
      <c r="AQ74" s="51"/>
      <c r="AR74" s="51"/>
      <c r="AS74" s="52">
        <f t="shared" ref="AS74:AS79" si="148">SUM(AL74:AR74)</f>
        <v>21379194</v>
      </c>
      <c r="AU74" s="51">
        <f>(AU2*AU3)</f>
        <v>1270890</v>
      </c>
      <c r="AV74" s="51"/>
      <c r="AW74" s="51"/>
      <c r="AX74" s="51"/>
      <c r="AY74" s="51"/>
      <c r="AZ74" s="51"/>
      <c r="BA74" s="51"/>
      <c r="BB74" s="52">
        <f t="shared" ref="BB74:BB79" si="149">SUM(AU74:BA74)</f>
        <v>1270890</v>
      </c>
      <c r="BD74" s="51">
        <f>(BD2*BD3)</f>
        <v>2504124</v>
      </c>
      <c r="BE74" s="51"/>
      <c r="BF74" s="51"/>
      <c r="BG74" s="51"/>
      <c r="BH74" s="51"/>
      <c r="BI74" s="51"/>
      <c r="BJ74" s="51"/>
      <c r="BK74" s="52">
        <f t="shared" ref="BK74:BK79" si="150">SUM(BD74:BJ74)</f>
        <v>2504124</v>
      </c>
      <c r="BM74" s="51">
        <f>(BM2*BM3)</f>
        <v>0</v>
      </c>
      <c r="BN74" s="51"/>
      <c r="BO74" s="51"/>
      <c r="BP74" s="51"/>
      <c r="BQ74" s="51"/>
      <c r="BR74" s="51"/>
      <c r="BS74" s="51"/>
      <c r="BT74" s="52">
        <f t="shared" ref="BT74:BT79" si="151">SUM(BM74:BS74)</f>
        <v>0</v>
      </c>
      <c r="BV74" s="5">
        <f t="shared" ref="BV74:CA79" si="152">B74+K74+T74+AC74+AL74+AU74+BD74+BM74</f>
        <v>76535820</v>
      </c>
      <c r="BW74" s="5">
        <f t="shared" si="152"/>
        <v>0</v>
      </c>
      <c r="BX74" s="5">
        <f t="shared" si="152"/>
        <v>0</v>
      </c>
      <c r="BY74" s="5">
        <f t="shared" si="152"/>
        <v>0</v>
      </c>
      <c r="BZ74" s="5">
        <f t="shared" si="152"/>
        <v>0</v>
      </c>
      <c r="CA74" s="5">
        <f t="shared" si="152"/>
        <v>0</v>
      </c>
      <c r="CB74" s="51"/>
      <c r="CC74" s="52">
        <f t="shared" ref="CC74:CC79" si="153">SUM(BV74:CB74)</f>
        <v>76535820</v>
      </c>
    </row>
    <row r="75" spans="1:81">
      <c r="A75" s="29" t="s">
        <v>73</v>
      </c>
      <c r="B75" s="35">
        <f>4236*B21</f>
        <v>152496</v>
      </c>
      <c r="C75" s="35"/>
      <c r="D75" s="35"/>
      <c r="E75" s="35"/>
      <c r="F75" s="35"/>
      <c r="G75" s="35"/>
      <c r="H75" s="35"/>
      <c r="I75" s="5">
        <f t="shared" si="144"/>
        <v>152496</v>
      </c>
      <c r="J75" s="6"/>
      <c r="K75" s="35">
        <f>4236*K21</f>
        <v>93192</v>
      </c>
      <c r="L75" s="35"/>
      <c r="M75" s="35"/>
      <c r="N75" s="35"/>
      <c r="O75" s="35"/>
      <c r="P75" s="35"/>
      <c r="Q75" s="35"/>
      <c r="R75" s="5">
        <f t="shared" si="145"/>
        <v>93192</v>
      </c>
      <c r="T75" s="35">
        <f>4236*T21</f>
        <v>72012</v>
      </c>
      <c r="U75" s="35"/>
      <c r="V75" s="35"/>
      <c r="W75" s="35"/>
      <c r="X75" s="35"/>
      <c r="Y75" s="35"/>
      <c r="Z75" s="35"/>
      <c r="AA75" s="5">
        <f t="shared" si="146"/>
        <v>72012</v>
      </c>
      <c r="AC75" s="35">
        <f>4236*AC21</f>
        <v>177912</v>
      </c>
      <c r="AD75" s="35"/>
      <c r="AE75" s="35"/>
      <c r="AF75" s="35"/>
      <c r="AG75" s="35"/>
      <c r="AH75" s="35"/>
      <c r="AI75" s="35"/>
      <c r="AJ75" s="5">
        <f t="shared" si="147"/>
        <v>177912</v>
      </c>
      <c r="AL75" s="35">
        <f>4034*AL21</f>
        <v>165394</v>
      </c>
      <c r="AM75" s="35"/>
      <c r="AN75" s="35"/>
      <c r="AO75" s="35"/>
      <c r="AP75" s="35"/>
      <c r="AQ75" s="35"/>
      <c r="AR75" s="35"/>
      <c r="AS75" s="5">
        <f t="shared" si="148"/>
        <v>165394</v>
      </c>
      <c r="AU75" s="35">
        <f>4236*AU21</f>
        <v>4236</v>
      </c>
      <c r="AV75" s="35"/>
      <c r="AW75" s="35"/>
      <c r="AX75" s="35"/>
      <c r="AY75" s="35"/>
      <c r="AZ75" s="35"/>
      <c r="BA75" s="35"/>
      <c r="BB75" s="5">
        <f t="shared" si="149"/>
        <v>4236</v>
      </c>
      <c r="BD75" s="35">
        <f>4236*BD21</f>
        <v>93192</v>
      </c>
      <c r="BE75" s="35"/>
      <c r="BF75" s="35"/>
      <c r="BG75" s="35"/>
      <c r="BH75" s="35"/>
      <c r="BI75" s="35"/>
      <c r="BJ75" s="35"/>
      <c r="BK75" s="5">
        <f t="shared" si="150"/>
        <v>93192</v>
      </c>
      <c r="BM75" s="35">
        <f>4200*BM21</f>
        <v>0</v>
      </c>
      <c r="BN75" s="35"/>
      <c r="BO75" s="35"/>
      <c r="BP75" s="35"/>
      <c r="BQ75" s="35"/>
      <c r="BR75" s="35"/>
      <c r="BS75" s="35"/>
      <c r="BT75" s="5">
        <f t="shared" si="151"/>
        <v>0</v>
      </c>
      <c r="BV75" s="5">
        <f t="shared" si="152"/>
        <v>758434</v>
      </c>
      <c r="BW75" s="5">
        <f t="shared" si="152"/>
        <v>0</v>
      </c>
      <c r="BX75" s="5">
        <f t="shared" si="152"/>
        <v>0</v>
      </c>
      <c r="BY75" s="5">
        <f t="shared" si="152"/>
        <v>0</v>
      </c>
      <c r="BZ75" s="5">
        <f t="shared" si="152"/>
        <v>0</v>
      </c>
      <c r="CA75" s="5">
        <f t="shared" si="152"/>
        <v>0</v>
      </c>
      <c r="CB75" s="35"/>
      <c r="CC75" s="5">
        <f t="shared" si="153"/>
        <v>758434</v>
      </c>
    </row>
    <row r="76" spans="1:81">
      <c r="A76" s="29" t="s">
        <v>74</v>
      </c>
      <c r="B76" s="5">
        <f>1129*B22</f>
        <v>57579</v>
      </c>
      <c r="C76" s="5"/>
      <c r="D76" s="5"/>
      <c r="E76" s="5"/>
      <c r="F76" s="5"/>
      <c r="G76" s="5"/>
      <c r="H76" s="5"/>
      <c r="I76" s="5">
        <f t="shared" si="144"/>
        <v>57579</v>
      </c>
      <c r="J76" s="6"/>
      <c r="K76" s="5">
        <f>1129*K22</f>
        <v>75643</v>
      </c>
      <c r="L76" s="5"/>
      <c r="M76" s="5"/>
      <c r="N76" s="5"/>
      <c r="O76" s="5"/>
      <c r="P76" s="5"/>
      <c r="Q76" s="5"/>
      <c r="R76" s="5">
        <f t="shared" si="145"/>
        <v>75643</v>
      </c>
      <c r="T76" s="5">
        <f>1129*T22</f>
        <v>125319</v>
      </c>
      <c r="U76" s="5"/>
      <c r="V76" s="5"/>
      <c r="W76" s="5"/>
      <c r="X76" s="5"/>
      <c r="Y76" s="5"/>
      <c r="Z76" s="5"/>
      <c r="AA76" s="5">
        <f t="shared" si="146"/>
        <v>125319</v>
      </c>
      <c r="AC76" s="5">
        <f>1129*AC22</f>
        <v>72256</v>
      </c>
      <c r="AD76" s="5"/>
      <c r="AE76" s="5"/>
      <c r="AF76" s="5"/>
      <c r="AG76" s="5"/>
      <c r="AH76" s="5"/>
      <c r="AI76" s="5"/>
      <c r="AJ76" s="5">
        <f t="shared" si="147"/>
        <v>72256</v>
      </c>
      <c r="AL76" s="5">
        <f>1075*AL22</f>
        <v>122550</v>
      </c>
      <c r="AM76" s="5"/>
      <c r="AN76" s="5"/>
      <c r="AO76" s="5"/>
      <c r="AP76" s="5"/>
      <c r="AQ76" s="5"/>
      <c r="AR76" s="5"/>
      <c r="AS76" s="5">
        <f t="shared" si="148"/>
        <v>122550</v>
      </c>
      <c r="AU76" s="5">
        <f>1075*AU22</f>
        <v>0</v>
      </c>
      <c r="AV76" s="5"/>
      <c r="AW76" s="5"/>
      <c r="AX76" s="5"/>
      <c r="AY76" s="5"/>
      <c r="AZ76" s="5"/>
      <c r="BA76" s="5"/>
      <c r="BB76" s="5">
        <f t="shared" si="149"/>
        <v>0</v>
      </c>
      <c r="BD76" s="5">
        <f>1075*BD22</f>
        <v>0</v>
      </c>
      <c r="BE76" s="5"/>
      <c r="BF76" s="5"/>
      <c r="BG76" s="5"/>
      <c r="BH76" s="5"/>
      <c r="BI76" s="5"/>
      <c r="BJ76" s="5"/>
      <c r="BK76" s="5">
        <f t="shared" si="150"/>
        <v>0</v>
      </c>
      <c r="BM76" s="5">
        <f>1000*BM22</f>
        <v>0</v>
      </c>
      <c r="BN76" s="5"/>
      <c r="BO76" s="5"/>
      <c r="BP76" s="5"/>
      <c r="BQ76" s="5"/>
      <c r="BR76" s="5"/>
      <c r="BS76" s="5"/>
      <c r="BT76" s="5">
        <f t="shared" si="151"/>
        <v>0</v>
      </c>
      <c r="BV76" s="5">
        <f t="shared" si="152"/>
        <v>453347</v>
      </c>
      <c r="BW76" s="5">
        <f t="shared" si="152"/>
        <v>0</v>
      </c>
      <c r="BX76" s="5">
        <f t="shared" si="152"/>
        <v>0</v>
      </c>
      <c r="BY76" s="5">
        <f t="shared" si="152"/>
        <v>0</v>
      </c>
      <c r="BZ76" s="5">
        <f t="shared" si="152"/>
        <v>0</v>
      </c>
      <c r="CA76" s="5">
        <f t="shared" si="152"/>
        <v>0</v>
      </c>
      <c r="CB76" s="5"/>
      <c r="CC76" s="5">
        <f t="shared" si="153"/>
        <v>453347</v>
      </c>
    </row>
    <row r="77" spans="1:81">
      <c r="A77" s="29" t="s">
        <v>75</v>
      </c>
      <c r="B77" s="5">
        <f>3294*B24</f>
        <v>0</v>
      </c>
      <c r="C77" s="5"/>
      <c r="D77" s="5"/>
      <c r="E77" s="5"/>
      <c r="F77" s="5"/>
      <c r="G77" s="5"/>
      <c r="H77" s="5"/>
      <c r="I77" s="5">
        <f t="shared" si="144"/>
        <v>0</v>
      </c>
      <c r="K77" s="5">
        <f>3294*K24</f>
        <v>0</v>
      </c>
      <c r="L77" s="5"/>
      <c r="M77" s="5"/>
      <c r="N77" s="5"/>
      <c r="O77" s="5"/>
      <c r="P77" s="5"/>
      <c r="Q77" s="5"/>
      <c r="R77" s="5">
        <f t="shared" si="145"/>
        <v>0</v>
      </c>
      <c r="T77" s="5">
        <f>3294*T24</f>
        <v>0</v>
      </c>
      <c r="U77" s="5"/>
      <c r="V77" s="5"/>
      <c r="W77" s="5"/>
      <c r="X77" s="5"/>
      <c r="Y77" s="5"/>
      <c r="Z77" s="5"/>
      <c r="AA77" s="5">
        <f t="shared" si="146"/>
        <v>0</v>
      </c>
      <c r="AC77" s="5">
        <f>3294*AC24</f>
        <v>500688</v>
      </c>
      <c r="AD77" s="5"/>
      <c r="AE77" s="5"/>
      <c r="AF77" s="5"/>
      <c r="AG77" s="5"/>
      <c r="AH77" s="5"/>
      <c r="AI77" s="5"/>
      <c r="AJ77" s="5">
        <f t="shared" si="147"/>
        <v>500688</v>
      </c>
      <c r="AL77" s="5">
        <f>3294*AL24</f>
        <v>401868</v>
      </c>
      <c r="AM77" s="5"/>
      <c r="AN77" s="5"/>
      <c r="AO77" s="5"/>
      <c r="AP77" s="5"/>
      <c r="AQ77" s="5"/>
      <c r="AR77" s="5"/>
      <c r="AS77" s="5">
        <f t="shared" si="148"/>
        <v>401868</v>
      </c>
      <c r="AU77" s="5">
        <f>3294*AU24</f>
        <v>128466</v>
      </c>
      <c r="AV77" s="5"/>
      <c r="AW77" s="5"/>
      <c r="AX77" s="5"/>
      <c r="AY77" s="5"/>
      <c r="AZ77" s="5"/>
      <c r="BA77" s="5"/>
      <c r="BB77" s="5">
        <f t="shared" si="149"/>
        <v>128466</v>
      </c>
      <c r="BD77" s="5">
        <f>3294*BD24</f>
        <v>115290</v>
      </c>
      <c r="BE77" s="5"/>
      <c r="BF77" s="5"/>
      <c r="BG77" s="5"/>
      <c r="BH77" s="5"/>
      <c r="BI77" s="5"/>
      <c r="BJ77" s="5"/>
      <c r="BK77" s="5">
        <f t="shared" si="150"/>
        <v>115290</v>
      </c>
      <c r="BM77" s="5">
        <f>3294*BM24</f>
        <v>0</v>
      </c>
      <c r="BN77" s="5"/>
      <c r="BO77" s="5"/>
      <c r="BP77" s="5"/>
      <c r="BQ77" s="5"/>
      <c r="BR77" s="5"/>
      <c r="BS77" s="5"/>
      <c r="BT77" s="5">
        <f t="shared" si="151"/>
        <v>0</v>
      </c>
      <c r="BV77" s="5">
        <f t="shared" si="152"/>
        <v>1146312</v>
      </c>
      <c r="BW77" s="5">
        <f t="shared" si="152"/>
        <v>0</v>
      </c>
      <c r="BX77" s="5">
        <f t="shared" si="152"/>
        <v>0</v>
      </c>
      <c r="BY77" s="5">
        <f t="shared" si="152"/>
        <v>0</v>
      </c>
      <c r="BZ77" s="5">
        <f t="shared" si="152"/>
        <v>0</v>
      </c>
      <c r="CA77" s="5">
        <f t="shared" si="152"/>
        <v>0</v>
      </c>
      <c r="CB77" s="5"/>
      <c r="CC77" s="5">
        <f t="shared" si="153"/>
        <v>1146312</v>
      </c>
    </row>
    <row r="78" spans="1:81">
      <c r="A78" s="29" t="s">
        <v>76</v>
      </c>
      <c r="B78" s="35">
        <v>0</v>
      </c>
      <c r="C78" s="35">
        <v>157805</v>
      </c>
      <c r="D78" s="35"/>
      <c r="E78" s="35"/>
      <c r="F78" s="35"/>
      <c r="G78" s="35"/>
      <c r="H78" s="35"/>
      <c r="I78" s="35">
        <f t="shared" si="144"/>
        <v>157805</v>
      </c>
      <c r="J78" s="53"/>
      <c r="K78" s="35">
        <v>0</v>
      </c>
      <c r="L78" s="35">
        <v>128410</v>
      </c>
      <c r="M78" s="35"/>
      <c r="N78" s="35"/>
      <c r="O78" s="35"/>
      <c r="P78" s="35"/>
      <c r="Q78" s="35"/>
      <c r="R78" s="35">
        <f t="shared" si="145"/>
        <v>128410</v>
      </c>
      <c r="T78" s="35">
        <v>0</v>
      </c>
      <c r="U78" s="35">
        <v>170182</v>
      </c>
      <c r="V78" s="35"/>
      <c r="W78" s="35"/>
      <c r="X78" s="35"/>
      <c r="Y78" s="35"/>
      <c r="Z78" s="35"/>
      <c r="AA78" s="35">
        <f t="shared" si="146"/>
        <v>170182</v>
      </c>
      <c r="AC78" s="35">
        <v>0</v>
      </c>
      <c r="AD78" s="35">
        <v>450210</v>
      </c>
      <c r="AE78" s="35"/>
      <c r="AF78" s="35"/>
      <c r="AG78" s="35"/>
      <c r="AH78" s="35"/>
      <c r="AI78" s="35"/>
      <c r="AJ78" s="35">
        <f t="shared" si="147"/>
        <v>450210</v>
      </c>
      <c r="AL78" s="35">
        <v>0</v>
      </c>
      <c r="AM78" s="35">
        <v>326441</v>
      </c>
      <c r="AN78" s="35"/>
      <c r="AO78" s="35"/>
      <c r="AP78" s="35"/>
      <c r="AQ78" s="35"/>
      <c r="AR78" s="35"/>
      <c r="AS78" s="35">
        <f t="shared" si="148"/>
        <v>326441</v>
      </c>
      <c r="AU78" s="35">
        <v>0</v>
      </c>
      <c r="AV78" s="35">
        <v>15471</v>
      </c>
      <c r="AW78" s="35"/>
      <c r="AX78" s="35"/>
      <c r="AY78" s="35"/>
      <c r="AZ78" s="35"/>
      <c r="BA78" s="35"/>
      <c r="BB78" s="35">
        <f t="shared" si="149"/>
        <v>15471</v>
      </c>
      <c r="BD78" s="35">
        <v>0</v>
      </c>
      <c r="BE78" s="35"/>
      <c r="BF78" s="35"/>
      <c r="BG78" s="35"/>
      <c r="BH78" s="35"/>
      <c r="BI78" s="35"/>
      <c r="BJ78" s="35"/>
      <c r="BK78" s="35">
        <f t="shared" si="150"/>
        <v>0</v>
      </c>
      <c r="BM78" s="35">
        <v>0</v>
      </c>
      <c r="BN78" s="35">
        <v>0</v>
      </c>
      <c r="BO78" s="35"/>
      <c r="BP78" s="35"/>
      <c r="BQ78" s="35"/>
      <c r="BR78" s="35"/>
      <c r="BS78" s="35"/>
      <c r="BT78" s="35">
        <f t="shared" si="151"/>
        <v>0</v>
      </c>
      <c r="BV78" s="5">
        <f t="shared" si="152"/>
        <v>0</v>
      </c>
      <c r="BW78" s="5">
        <f t="shared" si="152"/>
        <v>1248519</v>
      </c>
      <c r="BX78" s="5">
        <f t="shared" si="152"/>
        <v>0</v>
      </c>
      <c r="BY78" s="5">
        <f t="shared" si="152"/>
        <v>0</v>
      </c>
      <c r="BZ78" s="5">
        <f t="shared" si="152"/>
        <v>0</v>
      </c>
      <c r="CA78" s="5">
        <f t="shared" si="152"/>
        <v>0</v>
      </c>
      <c r="CB78" s="35"/>
      <c r="CC78" s="35">
        <f t="shared" si="153"/>
        <v>1248519</v>
      </c>
    </row>
    <row r="79" spans="1:81">
      <c r="A79" s="29" t="s">
        <v>77</v>
      </c>
      <c r="B79" s="35">
        <v>0</v>
      </c>
      <c r="C79" s="35">
        <f>3840*C20</f>
        <v>464640</v>
      </c>
      <c r="D79" s="35"/>
      <c r="E79" s="35"/>
      <c r="F79" s="35"/>
      <c r="G79" s="35"/>
      <c r="H79" s="35"/>
      <c r="I79" s="35">
        <f t="shared" si="144"/>
        <v>464640</v>
      </c>
      <c r="J79" s="53"/>
      <c r="K79" s="35">
        <v>0</v>
      </c>
      <c r="L79" s="35">
        <f>3840*L20</f>
        <v>280320</v>
      </c>
      <c r="M79" s="35"/>
      <c r="N79" s="35"/>
      <c r="O79" s="35"/>
      <c r="P79" s="35"/>
      <c r="Q79" s="35"/>
      <c r="R79" s="35">
        <f t="shared" si="145"/>
        <v>280320</v>
      </c>
      <c r="T79" s="35">
        <v>0</v>
      </c>
      <c r="U79" s="35">
        <f>3840*U20</f>
        <v>414720</v>
      </c>
      <c r="V79" s="35"/>
      <c r="W79" s="35"/>
      <c r="X79" s="35"/>
      <c r="Y79" s="35"/>
      <c r="Z79" s="35"/>
      <c r="AA79" s="35">
        <f t="shared" si="146"/>
        <v>414720</v>
      </c>
      <c r="AC79" s="35">
        <v>0</v>
      </c>
      <c r="AD79" s="35">
        <f>3840*AD20</f>
        <v>1067520</v>
      </c>
      <c r="AE79" s="35"/>
      <c r="AF79" s="35"/>
      <c r="AG79" s="35"/>
      <c r="AH79" s="35"/>
      <c r="AI79" s="35"/>
      <c r="AJ79" s="35">
        <f t="shared" si="147"/>
        <v>1067520</v>
      </c>
      <c r="AL79" s="35">
        <v>0</v>
      </c>
      <c r="AM79" s="35">
        <f>3840*AM20</f>
        <v>817920</v>
      </c>
      <c r="AN79" s="35"/>
      <c r="AO79" s="35"/>
      <c r="AP79" s="35"/>
      <c r="AQ79" s="35"/>
      <c r="AR79" s="35"/>
      <c r="AS79" s="35">
        <f t="shared" si="148"/>
        <v>817920</v>
      </c>
      <c r="AU79" s="35">
        <v>0</v>
      </c>
      <c r="AV79" s="35">
        <f>3840*AV20</f>
        <v>69120</v>
      </c>
      <c r="AW79" s="35"/>
      <c r="AX79" s="35"/>
      <c r="AY79" s="35"/>
      <c r="AZ79" s="35"/>
      <c r="BA79" s="35"/>
      <c r="BB79" s="35">
        <f t="shared" si="149"/>
        <v>69120</v>
      </c>
      <c r="BD79" s="35">
        <v>0</v>
      </c>
      <c r="BE79" s="35">
        <f>3840*BE20</f>
        <v>65280</v>
      </c>
      <c r="BF79" s="35"/>
      <c r="BG79" s="35"/>
      <c r="BH79" s="35"/>
      <c r="BI79" s="35"/>
      <c r="BJ79" s="35"/>
      <c r="BK79" s="35">
        <f t="shared" si="150"/>
        <v>65280</v>
      </c>
      <c r="BM79" s="35">
        <v>0</v>
      </c>
      <c r="BN79" s="35">
        <f>2500*BN20</f>
        <v>0</v>
      </c>
      <c r="BO79" s="35"/>
      <c r="BP79" s="35"/>
      <c r="BQ79" s="35"/>
      <c r="BR79" s="35"/>
      <c r="BS79" s="35"/>
      <c r="BT79" s="35">
        <f t="shared" si="151"/>
        <v>0</v>
      </c>
      <c r="BV79" s="5">
        <f t="shared" si="152"/>
        <v>0</v>
      </c>
      <c r="BW79" s="5">
        <f t="shared" si="152"/>
        <v>3179520</v>
      </c>
      <c r="BX79" s="5">
        <f t="shared" si="152"/>
        <v>0</v>
      </c>
      <c r="BY79" s="5">
        <f t="shared" si="152"/>
        <v>0</v>
      </c>
      <c r="BZ79" s="5">
        <f t="shared" si="152"/>
        <v>0</v>
      </c>
      <c r="CA79" s="5">
        <f t="shared" si="152"/>
        <v>0</v>
      </c>
      <c r="CB79" s="35"/>
      <c r="CC79" s="35">
        <f t="shared" si="153"/>
        <v>3179520</v>
      </c>
    </row>
    <row r="80" spans="1:81" ht="15">
      <c r="A80" s="54" t="s">
        <v>78</v>
      </c>
      <c r="B80" s="55">
        <f t="shared" ref="B80:I80" si="154">SUM(B74:B79)</f>
        <v>8729745</v>
      </c>
      <c r="C80" s="55">
        <f t="shared" si="154"/>
        <v>622445</v>
      </c>
      <c r="D80" s="55">
        <f t="shared" si="154"/>
        <v>0</v>
      </c>
      <c r="E80" s="55"/>
      <c r="F80" s="55">
        <f t="shared" si="154"/>
        <v>0</v>
      </c>
      <c r="G80" s="55">
        <f t="shared" si="154"/>
        <v>0</v>
      </c>
      <c r="H80" s="55">
        <f t="shared" si="154"/>
        <v>0</v>
      </c>
      <c r="I80" s="55">
        <f t="shared" si="154"/>
        <v>9352190</v>
      </c>
      <c r="J80" s="7"/>
      <c r="K80" s="55">
        <f t="shared" ref="K80:R80" si="155">SUM(K74:K79)</f>
        <v>9789943</v>
      </c>
      <c r="L80" s="55">
        <f t="shared" si="155"/>
        <v>408730</v>
      </c>
      <c r="M80" s="55">
        <f t="shared" si="155"/>
        <v>0</v>
      </c>
      <c r="N80" s="55"/>
      <c r="O80" s="55">
        <f t="shared" si="155"/>
        <v>0</v>
      </c>
      <c r="P80" s="55">
        <f t="shared" si="155"/>
        <v>0</v>
      </c>
      <c r="Q80" s="55">
        <f t="shared" si="155"/>
        <v>0</v>
      </c>
      <c r="R80" s="55">
        <f t="shared" si="155"/>
        <v>10198673</v>
      </c>
      <c r="T80" s="55">
        <f t="shared" ref="T80:AA80" si="156">SUM(T74:T79)</f>
        <v>11428233</v>
      </c>
      <c r="U80" s="55">
        <f t="shared" si="156"/>
        <v>584902</v>
      </c>
      <c r="V80" s="55">
        <f t="shared" si="156"/>
        <v>0</v>
      </c>
      <c r="W80" s="55"/>
      <c r="X80" s="55">
        <f t="shared" si="156"/>
        <v>0</v>
      </c>
      <c r="Y80" s="55">
        <f t="shared" si="156"/>
        <v>0</v>
      </c>
      <c r="Z80" s="55">
        <f t="shared" si="156"/>
        <v>0</v>
      </c>
      <c r="AA80" s="55">
        <f t="shared" si="156"/>
        <v>12013135</v>
      </c>
      <c r="AC80" s="55">
        <f t="shared" ref="AC80:AJ80" si="157">SUM(AC74:AC79)</f>
        <v>22760788</v>
      </c>
      <c r="AD80" s="55">
        <f t="shared" si="157"/>
        <v>1517730</v>
      </c>
      <c r="AE80" s="55">
        <f t="shared" si="157"/>
        <v>0</v>
      </c>
      <c r="AF80" s="55">
        <f t="shared" si="157"/>
        <v>0</v>
      </c>
      <c r="AG80" s="55">
        <f t="shared" si="157"/>
        <v>0</v>
      </c>
      <c r="AH80" s="55">
        <f t="shared" si="157"/>
        <v>0</v>
      </c>
      <c r="AI80" s="55">
        <f t="shared" si="157"/>
        <v>0</v>
      </c>
      <c r="AJ80" s="55">
        <f t="shared" si="157"/>
        <v>24278518</v>
      </c>
      <c r="AL80" s="55">
        <f t="shared" ref="AL80:AS80" si="158">SUM(AL74:AL79)</f>
        <v>22069006</v>
      </c>
      <c r="AM80" s="55">
        <f t="shared" si="158"/>
        <v>1144361</v>
      </c>
      <c r="AN80" s="55">
        <f t="shared" si="158"/>
        <v>0</v>
      </c>
      <c r="AO80" s="55"/>
      <c r="AP80" s="55">
        <f t="shared" si="158"/>
        <v>0</v>
      </c>
      <c r="AQ80" s="55">
        <f t="shared" si="158"/>
        <v>0</v>
      </c>
      <c r="AR80" s="55">
        <f t="shared" si="158"/>
        <v>0</v>
      </c>
      <c r="AS80" s="55">
        <f t="shared" si="158"/>
        <v>23213367</v>
      </c>
      <c r="AU80" s="55">
        <f t="shared" ref="AU80:BB80" si="159">SUM(AU74:AU79)</f>
        <v>1403592</v>
      </c>
      <c r="AV80" s="55">
        <f t="shared" si="159"/>
        <v>84591</v>
      </c>
      <c r="AW80" s="55">
        <f t="shared" si="159"/>
        <v>0</v>
      </c>
      <c r="AX80" s="55"/>
      <c r="AY80" s="55">
        <f t="shared" si="159"/>
        <v>0</v>
      </c>
      <c r="AZ80" s="55">
        <f t="shared" si="159"/>
        <v>0</v>
      </c>
      <c r="BA80" s="55">
        <f t="shared" si="159"/>
        <v>0</v>
      </c>
      <c r="BB80" s="55">
        <f t="shared" si="159"/>
        <v>1488183</v>
      </c>
      <c r="BD80" s="55">
        <f t="shared" ref="BD80:BK80" si="160">SUM(BD74:BD79)</f>
        <v>2712606</v>
      </c>
      <c r="BE80" s="55">
        <f t="shared" si="160"/>
        <v>65280</v>
      </c>
      <c r="BF80" s="55">
        <f t="shared" si="160"/>
        <v>0</v>
      </c>
      <c r="BG80" s="55"/>
      <c r="BH80" s="55">
        <f t="shared" si="160"/>
        <v>0</v>
      </c>
      <c r="BI80" s="55">
        <f t="shared" si="160"/>
        <v>0</v>
      </c>
      <c r="BJ80" s="55">
        <f t="shared" si="160"/>
        <v>0</v>
      </c>
      <c r="BK80" s="55">
        <f t="shared" si="160"/>
        <v>2777886</v>
      </c>
      <c r="BM80" s="55">
        <f t="shared" ref="BM80:BT80" si="161">SUM(BM74:BM79)</f>
        <v>0</v>
      </c>
      <c r="BN80" s="55">
        <f t="shared" si="161"/>
        <v>0</v>
      </c>
      <c r="BO80" s="55">
        <f t="shared" si="161"/>
        <v>0</v>
      </c>
      <c r="BP80" s="55"/>
      <c r="BQ80" s="55">
        <f t="shared" si="161"/>
        <v>0</v>
      </c>
      <c r="BR80" s="55">
        <f t="shared" si="161"/>
        <v>0</v>
      </c>
      <c r="BS80" s="55">
        <f t="shared" si="161"/>
        <v>0</v>
      </c>
      <c r="BT80" s="55">
        <f t="shared" si="161"/>
        <v>0</v>
      </c>
      <c r="BV80" s="55">
        <f t="shared" ref="BV80:BX80" si="162">SUM(BV74:BV79)</f>
        <v>78893913</v>
      </c>
      <c r="BW80" s="55">
        <f t="shared" si="162"/>
        <v>4428039</v>
      </c>
      <c r="BX80" s="55">
        <f t="shared" si="162"/>
        <v>0</v>
      </c>
      <c r="BY80" s="55"/>
      <c r="BZ80" s="55">
        <f t="shared" ref="BZ80:CC80" si="163">SUM(BZ74:BZ79)</f>
        <v>0</v>
      </c>
      <c r="CA80" s="55">
        <f t="shared" si="163"/>
        <v>0</v>
      </c>
      <c r="CB80" s="55">
        <f t="shared" si="163"/>
        <v>0</v>
      </c>
      <c r="CC80" s="55">
        <f t="shared" si="163"/>
        <v>83321952</v>
      </c>
    </row>
    <row r="81" spans="1:81" ht="15">
      <c r="A81" s="56" t="s">
        <v>79</v>
      </c>
      <c r="B81" s="49"/>
      <c r="C81" s="49"/>
      <c r="D81" s="49"/>
      <c r="E81" s="49"/>
      <c r="F81" s="49"/>
      <c r="G81" s="49"/>
      <c r="H81" s="49"/>
      <c r="I81" s="50"/>
      <c r="J81" s="7"/>
      <c r="K81" s="49"/>
      <c r="L81" s="49"/>
      <c r="M81" s="49"/>
      <c r="N81" s="49"/>
      <c r="O81" s="49"/>
      <c r="P81" s="49"/>
      <c r="Q81" s="49"/>
      <c r="R81" s="50"/>
      <c r="T81" s="49"/>
      <c r="U81" s="49"/>
      <c r="V81" s="49"/>
      <c r="W81" s="49"/>
      <c r="X81" s="49"/>
      <c r="Y81" s="49"/>
      <c r="Z81" s="49"/>
      <c r="AA81" s="50"/>
      <c r="AC81" s="49"/>
      <c r="AD81" s="49"/>
      <c r="AE81" s="49"/>
      <c r="AF81" s="49"/>
      <c r="AG81" s="49"/>
      <c r="AH81" s="49"/>
      <c r="AI81" s="49"/>
      <c r="AJ81" s="50"/>
      <c r="AL81" s="49"/>
      <c r="AM81" s="49"/>
      <c r="AN81" s="49"/>
      <c r="AO81" s="49"/>
      <c r="AP81" s="49"/>
      <c r="AQ81" s="49"/>
      <c r="AR81" s="49"/>
      <c r="AS81" s="50"/>
      <c r="AU81" s="49"/>
      <c r="AV81" s="49"/>
      <c r="AW81" s="49"/>
      <c r="AX81" s="49"/>
      <c r="AY81" s="49"/>
      <c r="AZ81" s="49"/>
      <c r="BA81" s="49"/>
      <c r="BB81" s="50"/>
      <c r="BD81" s="49"/>
      <c r="BE81" s="49"/>
      <c r="BF81" s="49"/>
      <c r="BG81" s="49"/>
      <c r="BH81" s="49"/>
      <c r="BI81" s="49"/>
      <c r="BJ81" s="49"/>
      <c r="BK81" s="50"/>
      <c r="BM81" s="49"/>
      <c r="BN81" s="49"/>
      <c r="BO81" s="49"/>
      <c r="BP81" s="49"/>
      <c r="BQ81" s="49"/>
      <c r="BR81" s="49"/>
      <c r="BS81" s="49"/>
      <c r="BT81" s="50"/>
      <c r="BV81" s="49"/>
      <c r="BW81" s="49"/>
      <c r="BX81" s="49"/>
      <c r="BY81" s="49"/>
      <c r="BZ81" s="49"/>
      <c r="CA81" s="49"/>
      <c r="CB81" s="49"/>
      <c r="CC81" s="50"/>
    </row>
    <row r="82" spans="1:81">
      <c r="A82" s="29" t="s">
        <v>80</v>
      </c>
      <c r="B82" s="5"/>
      <c r="C82" s="5">
        <v>132430</v>
      </c>
      <c r="D82" s="5"/>
      <c r="E82" s="5"/>
      <c r="F82" s="5"/>
      <c r="G82" s="5"/>
      <c r="H82" s="5"/>
      <c r="I82" s="5">
        <f>SUM(B82:H82)</f>
        <v>132430</v>
      </c>
      <c r="J82" s="6"/>
      <c r="K82" s="5"/>
      <c r="L82" s="5">
        <v>107761</v>
      </c>
      <c r="M82" s="5"/>
      <c r="N82" s="5"/>
      <c r="O82" s="5"/>
      <c r="P82" s="5"/>
      <c r="Q82" s="5"/>
      <c r="R82" s="5">
        <f>SUM(K82:Q82)</f>
        <v>107761</v>
      </c>
      <c r="T82" s="5"/>
      <c r="U82" s="5">
        <v>142817</v>
      </c>
      <c r="V82" s="5"/>
      <c r="W82" s="5"/>
      <c r="X82" s="5"/>
      <c r="Y82" s="5"/>
      <c r="Z82" s="5"/>
      <c r="AA82" s="5">
        <f>SUM(T82:Z82)</f>
        <v>142817</v>
      </c>
      <c r="AC82" s="5"/>
      <c r="AD82" s="5">
        <v>377815</v>
      </c>
      <c r="AE82" s="5"/>
      <c r="AF82" s="5"/>
      <c r="AG82" s="5"/>
      <c r="AH82" s="5"/>
      <c r="AI82" s="5"/>
      <c r="AJ82" s="5">
        <f>SUM(AC82:AI82)</f>
        <v>377815</v>
      </c>
      <c r="AL82" s="5"/>
      <c r="AM82" s="5">
        <v>273949</v>
      </c>
      <c r="AN82" s="5"/>
      <c r="AO82" s="5"/>
      <c r="AP82" s="5"/>
      <c r="AQ82" s="5"/>
      <c r="AR82" s="5"/>
      <c r="AS82" s="5">
        <f>SUM(AL82:AR82)</f>
        <v>273949</v>
      </c>
      <c r="AU82" s="5"/>
      <c r="AV82" s="5">
        <v>9384</v>
      </c>
      <c r="AW82" s="5"/>
      <c r="AX82" s="5"/>
      <c r="AY82" s="5"/>
      <c r="AZ82" s="5"/>
      <c r="BA82" s="5"/>
      <c r="BB82" s="5">
        <f>SUM(AU82:BA82)</f>
        <v>9384</v>
      </c>
      <c r="BD82" s="5"/>
      <c r="BE82" s="5">
        <f>950*BE20</f>
        <v>16150</v>
      </c>
      <c r="BF82" s="11"/>
      <c r="BG82" s="5"/>
      <c r="BH82" s="5"/>
      <c r="BI82" s="5"/>
      <c r="BJ82" s="5"/>
      <c r="BK82" s="5">
        <f>SUM(BD82:BJ82)</f>
        <v>16150</v>
      </c>
      <c r="BM82" s="5"/>
      <c r="BN82" s="5">
        <v>0</v>
      </c>
      <c r="BO82" s="5"/>
      <c r="BP82" s="5"/>
      <c r="BQ82" s="5"/>
      <c r="BR82" s="5"/>
      <c r="BS82" s="5"/>
      <c r="BT82" s="5">
        <f>SUM(BM82:BS82)</f>
        <v>0</v>
      </c>
      <c r="BV82" s="5">
        <f t="shared" ref="BV82:CA89" si="164">B82+K82+T82+AC82+AL82+AU82+BD82+BM82</f>
        <v>0</v>
      </c>
      <c r="BW82" s="5">
        <f t="shared" si="164"/>
        <v>1060306</v>
      </c>
      <c r="BX82" s="5">
        <f t="shared" si="164"/>
        <v>0</v>
      </c>
      <c r="BY82" s="5">
        <f t="shared" si="164"/>
        <v>0</v>
      </c>
      <c r="BZ82" s="5">
        <f t="shared" si="164"/>
        <v>0</v>
      </c>
      <c r="CA82" s="5">
        <f t="shared" si="164"/>
        <v>0</v>
      </c>
      <c r="CB82" s="5"/>
      <c r="CC82" s="5">
        <f>SUM(BV82:CB82)</f>
        <v>1060306</v>
      </c>
    </row>
    <row r="83" spans="1:81">
      <c r="A83" s="29" t="s">
        <v>81</v>
      </c>
      <c r="B83" s="5"/>
      <c r="C83" s="5"/>
      <c r="D83" s="11"/>
      <c r="E83" s="11"/>
      <c r="F83" s="11"/>
      <c r="G83" s="11"/>
      <c r="H83" s="11"/>
      <c r="I83" s="5">
        <f t="shared" ref="I83:I95" si="165">SUM(B83:H83)</f>
        <v>0</v>
      </c>
      <c r="J83" s="57"/>
      <c r="K83" s="5"/>
      <c r="L83" s="5"/>
      <c r="M83" s="11">
        <v>0</v>
      </c>
      <c r="N83" s="11"/>
      <c r="O83" s="11"/>
      <c r="P83" s="11"/>
      <c r="Q83" s="11"/>
      <c r="R83" s="5">
        <f t="shared" ref="R83:R95" si="166">SUM(K83:Q83)</f>
        <v>0</v>
      </c>
      <c r="T83" s="5"/>
      <c r="U83" s="5"/>
      <c r="V83" s="11">
        <v>0</v>
      </c>
      <c r="W83" s="11"/>
      <c r="X83" s="11"/>
      <c r="Y83" s="11"/>
      <c r="Z83" s="11"/>
      <c r="AA83" s="5">
        <f t="shared" ref="AA83:AA95" si="167">SUM(T83:Z83)</f>
        <v>0</v>
      </c>
      <c r="AC83" s="5"/>
      <c r="AD83" s="5"/>
      <c r="AE83" s="11">
        <v>0</v>
      </c>
      <c r="AF83" s="11"/>
      <c r="AG83" s="11"/>
      <c r="AH83" s="11"/>
      <c r="AI83" s="11"/>
      <c r="AJ83" s="5">
        <f t="shared" ref="AJ83:AJ95" si="168">SUM(AC83:AI83)</f>
        <v>0</v>
      </c>
      <c r="AL83" s="5"/>
      <c r="AM83" s="5"/>
      <c r="AN83" s="11">
        <v>0</v>
      </c>
      <c r="AO83" s="11"/>
      <c r="AP83" s="11"/>
      <c r="AQ83" s="11"/>
      <c r="AR83" s="11"/>
      <c r="AS83" s="5">
        <f t="shared" ref="AS83:AS95" si="169">SUM(AL83:AR83)</f>
        <v>0</v>
      </c>
      <c r="AU83" s="5"/>
      <c r="AV83" s="5"/>
      <c r="AW83" s="11"/>
      <c r="AX83" s="11"/>
      <c r="AY83" s="11"/>
      <c r="AZ83" s="11"/>
      <c r="BA83" s="11"/>
      <c r="BB83" s="5">
        <f t="shared" ref="BB83:BB95" si="170">SUM(AU83:BA83)</f>
        <v>0</v>
      </c>
      <c r="BD83" s="5"/>
      <c r="BE83" s="5"/>
      <c r="BF83" s="11">
        <f>((BD17*0.93)*2.28*180)</f>
        <v>101524.75199999999</v>
      </c>
      <c r="BG83" s="11"/>
      <c r="BH83" s="11"/>
      <c r="BI83" s="11"/>
      <c r="BJ83" s="11"/>
      <c r="BK83" s="5">
        <f t="shared" ref="BK83:BK95" si="171">SUM(BD83:BJ83)</f>
        <v>101524.75199999999</v>
      </c>
      <c r="BM83" s="5"/>
      <c r="BN83" s="5"/>
      <c r="BO83" s="11"/>
      <c r="BP83" s="11"/>
      <c r="BQ83" s="11"/>
      <c r="BR83" s="11"/>
      <c r="BS83" s="11"/>
      <c r="BT83" s="5">
        <f t="shared" ref="BT83:BT95" si="172">SUM(BM83:BS83)</f>
        <v>0</v>
      </c>
      <c r="BV83" s="5">
        <f t="shared" si="164"/>
        <v>0</v>
      </c>
      <c r="BW83" s="5">
        <f t="shared" si="164"/>
        <v>0</v>
      </c>
      <c r="BX83" s="5">
        <f t="shared" si="164"/>
        <v>101524.75199999999</v>
      </c>
      <c r="BY83" s="5">
        <f t="shared" si="164"/>
        <v>0</v>
      </c>
      <c r="BZ83" s="5">
        <f t="shared" si="164"/>
        <v>0</v>
      </c>
      <c r="CA83" s="5">
        <f t="shared" si="164"/>
        <v>0</v>
      </c>
      <c r="CB83" s="11"/>
      <c r="CC83" s="5">
        <f t="shared" ref="CC83:CC88" si="173">SUM(BV83:CB83)</f>
        <v>101524.75199999999</v>
      </c>
    </row>
    <row r="84" spans="1:81">
      <c r="A84" s="29" t="s">
        <v>82</v>
      </c>
      <c r="B84" s="35"/>
      <c r="C84" s="35"/>
      <c r="D84" s="11">
        <f>((B17*0.51)*4.33*180)</f>
        <v>359732.07</v>
      </c>
      <c r="E84" s="11"/>
      <c r="F84" s="11"/>
      <c r="G84" s="11"/>
      <c r="H84" s="11"/>
      <c r="I84" s="5">
        <f t="shared" si="165"/>
        <v>359732.07</v>
      </c>
      <c r="J84" s="57"/>
      <c r="K84" s="35"/>
      <c r="L84" s="35"/>
      <c r="M84" s="11">
        <f>((K17*0.35)*4.33*180)</f>
        <v>278791.38</v>
      </c>
      <c r="N84" s="11"/>
      <c r="O84" s="11"/>
      <c r="P84" s="11"/>
      <c r="Q84" s="11"/>
      <c r="R84" s="5">
        <f t="shared" si="166"/>
        <v>278791.38</v>
      </c>
      <c r="T84" s="35"/>
      <c r="U84" s="35"/>
      <c r="V84" s="11">
        <f>((T17*0.17)*4.33*180)</f>
        <v>158070.114</v>
      </c>
      <c r="W84" s="11"/>
      <c r="X84" s="11"/>
      <c r="Y84" s="11"/>
      <c r="Z84" s="11"/>
      <c r="AA84" s="5">
        <f t="shared" si="167"/>
        <v>158070.114</v>
      </c>
      <c r="AC84" s="35"/>
      <c r="AD84" s="35"/>
      <c r="AE84" s="11">
        <f>((AC17*0.45)*4.33*180)</f>
        <v>820006.74000000011</v>
      </c>
      <c r="AF84" s="11"/>
      <c r="AG84" s="11"/>
      <c r="AH84" s="11"/>
      <c r="AI84" s="11"/>
      <c r="AJ84" s="5">
        <f t="shared" si="168"/>
        <v>820006.74000000011</v>
      </c>
      <c r="AL84" s="35"/>
      <c r="AM84" s="35"/>
      <c r="AN84" s="11">
        <f>((AL17*0.31)*4.33*180)</f>
        <v>548705.39399999997</v>
      </c>
      <c r="AO84" s="11"/>
      <c r="AP84" s="11"/>
      <c r="AQ84" s="11"/>
      <c r="AR84" s="11"/>
      <c r="AS84" s="5">
        <f t="shared" si="169"/>
        <v>548705.39399999997</v>
      </c>
      <c r="AU84" s="35"/>
      <c r="AV84" s="35"/>
      <c r="AW84" s="11">
        <f>((AU17*0.02)*4.33*180)</f>
        <v>2104.38</v>
      </c>
      <c r="AX84" s="11"/>
      <c r="AY84" s="11"/>
      <c r="AZ84" s="11"/>
      <c r="BA84" s="11"/>
      <c r="BB84" s="5">
        <f t="shared" si="170"/>
        <v>2104.38</v>
      </c>
      <c r="BD84" s="35"/>
      <c r="BE84" s="35"/>
      <c r="BF84" s="11">
        <f>((BD17*0.97)*4.33*180)</f>
        <v>201100.788</v>
      </c>
      <c r="BG84" s="11"/>
      <c r="BH84" s="11"/>
      <c r="BI84" s="11"/>
      <c r="BJ84" s="11"/>
      <c r="BK84" s="5">
        <f t="shared" si="171"/>
        <v>201100.788</v>
      </c>
      <c r="BM84" s="35"/>
      <c r="BN84" s="35"/>
      <c r="BO84" s="11">
        <f>((BM17*0.25)*4*180)</f>
        <v>0</v>
      </c>
      <c r="BP84" s="11"/>
      <c r="BQ84" s="11"/>
      <c r="BR84" s="11"/>
      <c r="BS84" s="11"/>
      <c r="BT84" s="5">
        <f t="shared" si="172"/>
        <v>0</v>
      </c>
      <c r="BV84" s="5">
        <f t="shared" si="164"/>
        <v>0</v>
      </c>
      <c r="BW84" s="5">
        <f t="shared" si="164"/>
        <v>0</v>
      </c>
      <c r="BX84" s="5">
        <f t="shared" si="164"/>
        <v>2368510.8659999999</v>
      </c>
      <c r="BY84" s="5">
        <f t="shared" si="164"/>
        <v>0</v>
      </c>
      <c r="BZ84" s="5">
        <f t="shared" si="164"/>
        <v>0</v>
      </c>
      <c r="CA84" s="5">
        <f t="shared" si="164"/>
        <v>0</v>
      </c>
      <c r="CB84" s="11"/>
      <c r="CC84" s="5">
        <f t="shared" si="173"/>
        <v>2368510.8659999999</v>
      </c>
    </row>
    <row r="85" spans="1:81">
      <c r="A85" s="29" t="s">
        <v>4</v>
      </c>
      <c r="B85" s="35"/>
      <c r="C85" s="35"/>
      <c r="D85" s="35"/>
      <c r="E85" s="35"/>
      <c r="F85" s="67"/>
      <c r="G85" s="35"/>
      <c r="H85" s="35"/>
      <c r="I85" s="5">
        <f t="shared" si="165"/>
        <v>0</v>
      </c>
      <c r="J85" s="6"/>
      <c r="K85" s="35"/>
      <c r="L85" s="35"/>
      <c r="M85" s="67"/>
      <c r="N85" s="35"/>
      <c r="O85" s="35"/>
      <c r="P85" s="35"/>
      <c r="Q85" s="35"/>
      <c r="R85" s="5">
        <f t="shared" si="166"/>
        <v>0</v>
      </c>
      <c r="T85" s="35"/>
      <c r="U85" s="35"/>
      <c r="V85" s="35"/>
      <c r="W85" s="35"/>
      <c r="X85" s="35"/>
      <c r="Y85" s="35"/>
      <c r="Z85" s="35"/>
      <c r="AA85" s="5">
        <f t="shared" si="167"/>
        <v>0</v>
      </c>
      <c r="AC85" s="35"/>
      <c r="AD85" s="35"/>
      <c r="AE85" s="35"/>
      <c r="AF85" s="35"/>
      <c r="AG85" s="35"/>
      <c r="AH85" s="35"/>
      <c r="AI85" s="35"/>
      <c r="AJ85" s="5">
        <f t="shared" si="168"/>
        <v>0</v>
      </c>
      <c r="AL85" s="35"/>
      <c r="AM85" s="35"/>
      <c r="AN85" s="35"/>
      <c r="AO85" s="35"/>
      <c r="AP85" s="35"/>
      <c r="AQ85" s="35"/>
      <c r="AR85" s="35"/>
      <c r="AS85" s="5">
        <f t="shared" si="169"/>
        <v>0</v>
      </c>
      <c r="AU85" s="35"/>
      <c r="AV85" s="35"/>
      <c r="AW85" s="35"/>
      <c r="AX85" s="35"/>
      <c r="AY85" s="67"/>
      <c r="AZ85" s="35"/>
      <c r="BA85" s="35"/>
      <c r="BB85" s="5">
        <f t="shared" si="170"/>
        <v>0</v>
      </c>
      <c r="BD85" s="35"/>
      <c r="BE85" s="35"/>
      <c r="BF85" s="67"/>
      <c r="BG85" s="35"/>
      <c r="BH85" s="67"/>
      <c r="BI85" s="35"/>
      <c r="BJ85" s="35"/>
      <c r="BK85" s="5">
        <f t="shared" si="171"/>
        <v>0</v>
      </c>
      <c r="BM85" s="35"/>
      <c r="BN85" s="35"/>
      <c r="BO85" s="35"/>
      <c r="BP85" s="35"/>
      <c r="BQ85" s="35"/>
      <c r="BR85" s="35"/>
      <c r="BS85" s="35"/>
      <c r="BT85" s="5">
        <f t="shared" si="172"/>
        <v>0</v>
      </c>
      <c r="BV85" s="5">
        <f t="shared" si="164"/>
        <v>0</v>
      </c>
      <c r="BW85" s="5">
        <f t="shared" si="164"/>
        <v>0</v>
      </c>
      <c r="BX85" s="5">
        <f t="shared" si="164"/>
        <v>0</v>
      </c>
      <c r="BY85" s="5">
        <f t="shared" si="164"/>
        <v>0</v>
      </c>
      <c r="BZ85" s="5">
        <f t="shared" si="164"/>
        <v>0</v>
      </c>
      <c r="CA85" s="5">
        <f t="shared" si="164"/>
        <v>0</v>
      </c>
      <c r="CB85" s="35"/>
      <c r="CC85" s="5">
        <f t="shared" si="173"/>
        <v>0</v>
      </c>
    </row>
    <row r="86" spans="1:81">
      <c r="A86" s="29" t="s">
        <v>83</v>
      </c>
      <c r="B86" s="35"/>
      <c r="C86" s="35"/>
      <c r="D86" s="35"/>
      <c r="E86" s="35"/>
      <c r="F86" s="35"/>
      <c r="G86" s="35"/>
      <c r="H86" s="35"/>
      <c r="I86" s="5">
        <f t="shared" si="165"/>
        <v>0</v>
      </c>
      <c r="J86" s="6"/>
      <c r="K86" s="35"/>
      <c r="L86" s="35"/>
      <c r="M86" s="67"/>
      <c r="N86" s="35"/>
      <c r="O86" s="35"/>
      <c r="P86" s="35"/>
      <c r="Q86" s="35"/>
      <c r="R86" s="5">
        <f t="shared" si="166"/>
        <v>0</v>
      </c>
      <c r="T86" s="35"/>
      <c r="U86" s="35"/>
      <c r="V86" s="35"/>
      <c r="W86" s="35"/>
      <c r="X86" s="35"/>
      <c r="Y86" s="35"/>
      <c r="Z86" s="35"/>
      <c r="AA86" s="5">
        <f t="shared" si="167"/>
        <v>0</v>
      </c>
      <c r="AC86" s="35"/>
      <c r="AD86" s="35"/>
      <c r="AE86" s="35"/>
      <c r="AF86" s="35"/>
      <c r="AG86" s="35"/>
      <c r="AH86" s="35"/>
      <c r="AI86" s="35"/>
      <c r="AJ86" s="5">
        <f t="shared" si="168"/>
        <v>0</v>
      </c>
      <c r="AL86" s="35"/>
      <c r="AM86" s="35"/>
      <c r="AN86" s="35"/>
      <c r="AO86" s="35"/>
      <c r="AP86" s="35"/>
      <c r="AQ86" s="35"/>
      <c r="AR86" s="35"/>
      <c r="AS86" s="5">
        <f t="shared" si="169"/>
        <v>0</v>
      </c>
      <c r="AU86" s="35"/>
      <c r="AV86" s="35"/>
      <c r="AW86" s="35"/>
      <c r="AX86" s="35"/>
      <c r="AY86" s="35"/>
      <c r="AZ86" s="35"/>
      <c r="BA86" s="35"/>
      <c r="BB86" s="5">
        <f t="shared" si="170"/>
        <v>0</v>
      </c>
      <c r="BD86" s="35"/>
      <c r="BE86" s="35"/>
      <c r="BF86" s="67"/>
      <c r="BG86" s="35"/>
      <c r="BH86" s="35"/>
      <c r="BI86" s="35"/>
      <c r="BJ86" s="35"/>
      <c r="BK86" s="5">
        <f t="shared" si="171"/>
        <v>0</v>
      </c>
      <c r="BM86" s="35"/>
      <c r="BN86" s="35"/>
      <c r="BO86" s="35"/>
      <c r="BP86" s="35"/>
      <c r="BQ86" s="35"/>
      <c r="BR86" s="35"/>
      <c r="BS86" s="35"/>
      <c r="BT86" s="5">
        <f t="shared" si="172"/>
        <v>0</v>
      </c>
      <c r="BV86" s="5">
        <f t="shared" si="164"/>
        <v>0</v>
      </c>
      <c r="BW86" s="5">
        <f t="shared" si="164"/>
        <v>0</v>
      </c>
      <c r="BX86" s="5">
        <f t="shared" si="164"/>
        <v>0</v>
      </c>
      <c r="BY86" s="5">
        <f t="shared" si="164"/>
        <v>0</v>
      </c>
      <c r="BZ86" s="5">
        <f t="shared" si="164"/>
        <v>0</v>
      </c>
      <c r="CA86" s="5">
        <f t="shared" si="164"/>
        <v>0</v>
      </c>
      <c r="CB86" s="35"/>
      <c r="CC86" s="5">
        <f t="shared" si="173"/>
        <v>0</v>
      </c>
    </row>
    <row r="87" spans="1:81">
      <c r="A87" s="29" t="s">
        <v>6</v>
      </c>
      <c r="B87" s="35"/>
      <c r="C87" s="35"/>
      <c r="D87" s="35"/>
      <c r="E87" s="35"/>
      <c r="F87" s="35"/>
      <c r="G87" s="35"/>
      <c r="H87" s="35"/>
      <c r="I87" s="5">
        <f t="shared" si="165"/>
        <v>0</v>
      </c>
      <c r="J87" s="6"/>
      <c r="K87" s="35"/>
      <c r="L87" s="35"/>
      <c r="M87" s="67"/>
      <c r="N87" s="35"/>
      <c r="O87" s="35"/>
      <c r="P87" s="35"/>
      <c r="Q87" s="35"/>
      <c r="R87" s="5">
        <f t="shared" si="166"/>
        <v>0</v>
      </c>
      <c r="T87" s="35"/>
      <c r="U87" s="35"/>
      <c r="V87" s="35"/>
      <c r="W87" s="35"/>
      <c r="X87" s="35"/>
      <c r="Y87" s="35"/>
      <c r="Z87" s="35"/>
      <c r="AA87" s="5">
        <f t="shared" si="167"/>
        <v>0</v>
      </c>
      <c r="AC87" s="35"/>
      <c r="AD87" s="35"/>
      <c r="AE87" s="35"/>
      <c r="AF87" s="35"/>
      <c r="AG87" s="35"/>
      <c r="AH87" s="35"/>
      <c r="AI87" s="35"/>
      <c r="AJ87" s="5">
        <f t="shared" si="168"/>
        <v>0</v>
      </c>
      <c r="AL87" s="35"/>
      <c r="AM87" s="35"/>
      <c r="AN87" s="35"/>
      <c r="AO87" s="35"/>
      <c r="AP87" s="35"/>
      <c r="AQ87" s="35"/>
      <c r="AR87" s="35"/>
      <c r="AS87" s="5">
        <f t="shared" si="169"/>
        <v>0</v>
      </c>
      <c r="AU87" s="35"/>
      <c r="AV87" s="35"/>
      <c r="AW87" s="35"/>
      <c r="AX87" s="35"/>
      <c r="AY87" s="35"/>
      <c r="AZ87" s="35"/>
      <c r="BA87" s="35"/>
      <c r="BB87" s="5">
        <f t="shared" si="170"/>
        <v>0</v>
      </c>
      <c r="BD87" s="35"/>
      <c r="BE87" s="35"/>
      <c r="BF87" s="67"/>
      <c r="BG87" s="35"/>
      <c r="BH87" s="35"/>
      <c r="BI87" s="35"/>
      <c r="BJ87" s="35"/>
      <c r="BK87" s="5">
        <f t="shared" si="171"/>
        <v>0</v>
      </c>
      <c r="BM87" s="35"/>
      <c r="BN87" s="35"/>
      <c r="BO87" s="35"/>
      <c r="BP87" s="35"/>
      <c r="BQ87" s="35"/>
      <c r="BR87" s="35"/>
      <c r="BS87" s="35"/>
      <c r="BT87" s="5">
        <f t="shared" si="172"/>
        <v>0</v>
      </c>
      <c r="BV87" s="5">
        <f t="shared" si="164"/>
        <v>0</v>
      </c>
      <c r="BW87" s="5">
        <f t="shared" si="164"/>
        <v>0</v>
      </c>
      <c r="BX87" s="5">
        <f t="shared" si="164"/>
        <v>0</v>
      </c>
      <c r="BY87" s="5">
        <f t="shared" si="164"/>
        <v>0</v>
      </c>
      <c r="BZ87" s="5">
        <f t="shared" si="164"/>
        <v>0</v>
      </c>
      <c r="CA87" s="5">
        <f t="shared" si="164"/>
        <v>0</v>
      </c>
      <c r="CB87" s="35"/>
      <c r="CC87" s="5">
        <f t="shared" si="173"/>
        <v>0</v>
      </c>
    </row>
    <row r="88" spans="1:81">
      <c r="A88" s="29" t="s">
        <v>84</v>
      </c>
      <c r="B88" s="35"/>
      <c r="C88" s="35"/>
      <c r="D88" s="35"/>
      <c r="E88" s="35"/>
      <c r="F88" s="35"/>
      <c r="G88" s="35"/>
      <c r="H88" s="35"/>
      <c r="I88" s="5">
        <f t="shared" si="165"/>
        <v>0</v>
      </c>
      <c r="J88" s="6"/>
      <c r="K88" s="35"/>
      <c r="L88" s="35"/>
      <c r="M88" s="35"/>
      <c r="N88" s="35"/>
      <c r="O88" s="35"/>
      <c r="P88" s="35"/>
      <c r="Q88" s="35"/>
      <c r="R88" s="5">
        <f t="shared" si="166"/>
        <v>0</v>
      </c>
      <c r="T88" s="35"/>
      <c r="U88" s="35"/>
      <c r="V88" s="35"/>
      <c r="W88" s="35"/>
      <c r="X88" s="35"/>
      <c r="Y88" s="35"/>
      <c r="Z88" s="35"/>
      <c r="AA88" s="5">
        <f t="shared" si="167"/>
        <v>0</v>
      </c>
      <c r="AC88" s="35"/>
      <c r="AD88" s="35"/>
      <c r="AE88" s="35"/>
      <c r="AF88" s="35"/>
      <c r="AG88" s="35"/>
      <c r="AH88" s="35"/>
      <c r="AI88" s="35"/>
      <c r="AJ88" s="5">
        <f t="shared" si="168"/>
        <v>0</v>
      </c>
      <c r="AL88" s="35"/>
      <c r="AM88" s="35"/>
      <c r="AN88" s="35"/>
      <c r="AO88" s="35"/>
      <c r="AP88" s="35"/>
      <c r="AQ88" s="35"/>
      <c r="AR88" s="35"/>
      <c r="AS88" s="5">
        <f t="shared" si="169"/>
        <v>0</v>
      </c>
      <c r="AU88" s="35"/>
      <c r="AV88" s="35"/>
      <c r="AW88" s="35"/>
      <c r="AX88" s="35"/>
      <c r="AY88" s="35"/>
      <c r="AZ88" s="35"/>
      <c r="BA88" s="35"/>
      <c r="BB88" s="5">
        <f t="shared" si="170"/>
        <v>0</v>
      </c>
      <c r="BD88" s="35"/>
      <c r="BE88" s="35"/>
      <c r="BF88" s="35"/>
      <c r="BG88" s="35"/>
      <c r="BH88" s="35"/>
      <c r="BI88" s="35"/>
      <c r="BJ88" s="35"/>
      <c r="BK88" s="5">
        <f t="shared" si="171"/>
        <v>0</v>
      </c>
      <c r="BM88" s="35"/>
      <c r="BN88" s="35"/>
      <c r="BO88" s="35"/>
      <c r="BP88" s="35"/>
      <c r="BQ88" s="35"/>
      <c r="BR88" s="35"/>
      <c r="BS88" s="35"/>
      <c r="BT88" s="5">
        <f t="shared" si="172"/>
        <v>0</v>
      </c>
      <c r="BV88" s="5">
        <f t="shared" si="164"/>
        <v>0</v>
      </c>
      <c r="BW88" s="5">
        <f t="shared" si="164"/>
        <v>0</v>
      </c>
      <c r="BX88" s="5">
        <f t="shared" si="164"/>
        <v>0</v>
      </c>
      <c r="BY88" s="5">
        <f t="shared" si="164"/>
        <v>0</v>
      </c>
      <c r="BZ88" s="5">
        <f t="shared" si="164"/>
        <v>0</v>
      </c>
      <c r="CA88" s="5">
        <f t="shared" si="164"/>
        <v>0</v>
      </c>
      <c r="CB88" s="35"/>
      <c r="CC88" s="5">
        <f t="shared" si="173"/>
        <v>0</v>
      </c>
    </row>
    <row r="89" spans="1:81">
      <c r="A89" s="29" t="s">
        <v>85</v>
      </c>
      <c r="B89" s="35"/>
      <c r="C89" s="35"/>
      <c r="D89" s="35"/>
      <c r="E89" s="35"/>
      <c r="F89" s="35"/>
      <c r="G89" s="35"/>
      <c r="H89" s="35"/>
      <c r="I89" s="5"/>
      <c r="J89" s="6"/>
      <c r="K89" s="35"/>
      <c r="L89" s="35"/>
      <c r="M89" s="35"/>
      <c r="N89" s="35"/>
      <c r="O89" s="35"/>
      <c r="P89" s="35"/>
      <c r="Q89" s="35"/>
      <c r="R89" s="5"/>
      <c r="T89" s="35"/>
      <c r="U89" s="35"/>
      <c r="V89" s="35"/>
      <c r="W89" s="35"/>
      <c r="X89" s="35"/>
      <c r="Y89" s="35"/>
      <c r="Z89" s="35"/>
      <c r="AA89" s="5"/>
      <c r="AC89" s="35"/>
      <c r="AD89" s="35"/>
      <c r="AE89" s="35"/>
      <c r="AF89" s="35"/>
      <c r="AG89" s="35"/>
      <c r="AH89" s="35"/>
      <c r="AI89" s="35"/>
      <c r="AJ89" s="5"/>
      <c r="AL89" s="35"/>
      <c r="AM89" s="35"/>
      <c r="AN89" s="35"/>
      <c r="AO89" s="35"/>
      <c r="AP89" s="35"/>
      <c r="AQ89" s="35"/>
      <c r="AR89" s="35"/>
      <c r="AS89" s="5"/>
      <c r="AU89" s="35"/>
      <c r="AV89" s="35"/>
      <c r="AW89" s="35"/>
      <c r="AX89" s="35"/>
      <c r="AY89" s="35"/>
      <c r="AZ89" s="35"/>
      <c r="BA89" s="35"/>
      <c r="BB89" s="5"/>
      <c r="BD89" s="35"/>
      <c r="BE89" s="35"/>
      <c r="BF89" s="35"/>
      <c r="BG89" s="35"/>
      <c r="BH89" s="35"/>
      <c r="BI89" s="35"/>
      <c r="BJ89" s="35"/>
      <c r="BK89" s="5"/>
      <c r="BM89" s="35"/>
      <c r="BN89" s="35"/>
      <c r="BO89" s="35"/>
      <c r="BP89" s="35"/>
      <c r="BQ89" s="35"/>
      <c r="BR89" s="35"/>
      <c r="BS89" s="35"/>
      <c r="BT89" s="5"/>
      <c r="BV89" s="5">
        <f t="shared" si="164"/>
        <v>0</v>
      </c>
      <c r="BW89" s="5">
        <f t="shared" si="164"/>
        <v>0</v>
      </c>
      <c r="BX89" s="5">
        <f t="shared" si="164"/>
        <v>0</v>
      </c>
      <c r="BY89" s="5">
        <f t="shared" si="164"/>
        <v>0</v>
      </c>
      <c r="BZ89" s="5">
        <f t="shared" si="164"/>
        <v>0</v>
      </c>
      <c r="CA89" s="5">
        <f t="shared" si="164"/>
        <v>0</v>
      </c>
      <c r="CB89" s="35"/>
      <c r="CC89" s="5"/>
    </row>
    <row r="90" spans="1:81" ht="15">
      <c r="A90" s="54" t="s">
        <v>86</v>
      </c>
      <c r="B90" s="55">
        <f>SUM(B82:B88)</f>
        <v>0</v>
      </c>
      <c r="C90" s="55">
        <f t="shared" ref="C90:I90" si="174">SUM(C82:C88)</f>
        <v>132430</v>
      </c>
      <c r="D90" s="55">
        <f t="shared" si="174"/>
        <v>359732.07</v>
      </c>
      <c r="E90" s="55"/>
      <c r="F90" s="55">
        <f t="shared" si="174"/>
        <v>0</v>
      </c>
      <c r="G90" s="55">
        <f t="shared" si="174"/>
        <v>0</v>
      </c>
      <c r="H90" s="55">
        <f t="shared" si="174"/>
        <v>0</v>
      </c>
      <c r="I90" s="55">
        <f t="shared" si="174"/>
        <v>492162.07</v>
      </c>
      <c r="J90" s="7"/>
      <c r="K90" s="55">
        <f>SUM(K82:K88)</f>
        <v>0</v>
      </c>
      <c r="L90" s="55">
        <f t="shared" ref="L90:R90" si="175">SUM(L82:L88)</f>
        <v>107761</v>
      </c>
      <c r="M90" s="55">
        <f t="shared" si="175"/>
        <v>278791.38</v>
      </c>
      <c r="N90" s="55"/>
      <c r="O90" s="55">
        <f t="shared" si="175"/>
        <v>0</v>
      </c>
      <c r="P90" s="55">
        <f t="shared" si="175"/>
        <v>0</v>
      </c>
      <c r="Q90" s="55">
        <f t="shared" si="175"/>
        <v>0</v>
      </c>
      <c r="R90" s="55">
        <f t="shared" si="175"/>
        <v>386552.38</v>
      </c>
      <c r="T90" s="55">
        <f>SUM(T82:T88)</f>
        <v>0</v>
      </c>
      <c r="U90" s="55">
        <f t="shared" ref="U90:AA90" si="176">SUM(U82:U88)</f>
        <v>142817</v>
      </c>
      <c r="V90" s="55">
        <f t="shared" si="176"/>
        <v>158070.114</v>
      </c>
      <c r="W90" s="55"/>
      <c r="X90" s="55">
        <f t="shared" si="176"/>
        <v>0</v>
      </c>
      <c r="Y90" s="55">
        <f t="shared" si="176"/>
        <v>0</v>
      </c>
      <c r="Z90" s="55">
        <f t="shared" si="176"/>
        <v>0</v>
      </c>
      <c r="AA90" s="55">
        <f t="shared" si="176"/>
        <v>300887.114</v>
      </c>
      <c r="AC90" s="55">
        <f>SUM(AC82:AC88)</f>
        <v>0</v>
      </c>
      <c r="AD90" s="55">
        <f t="shared" ref="AD90:AJ90" si="177">SUM(AD82:AD88)</f>
        <v>377815</v>
      </c>
      <c r="AE90" s="55">
        <f t="shared" si="177"/>
        <v>820006.74000000011</v>
      </c>
      <c r="AF90" s="55">
        <f t="shared" si="177"/>
        <v>0</v>
      </c>
      <c r="AG90" s="55">
        <f t="shared" si="177"/>
        <v>0</v>
      </c>
      <c r="AH90" s="55">
        <f t="shared" si="177"/>
        <v>0</v>
      </c>
      <c r="AI90" s="55">
        <f t="shared" si="177"/>
        <v>0</v>
      </c>
      <c r="AJ90" s="55">
        <f t="shared" si="177"/>
        <v>1197821.7400000002</v>
      </c>
      <c r="AL90" s="55">
        <f>SUM(AL82:AL88)</f>
        <v>0</v>
      </c>
      <c r="AM90" s="55">
        <f t="shared" ref="AM90:AS90" si="178">SUM(AM82:AM88)</f>
        <v>273949</v>
      </c>
      <c r="AN90" s="55">
        <f t="shared" si="178"/>
        <v>548705.39399999997</v>
      </c>
      <c r="AO90" s="55"/>
      <c r="AP90" s="55">
        <f t="shared" si="178"/>
        <v>0</v>
      </c>
      <c r="AQ90" s="55">
        <f t="shared" si="178"/>
        <v>0</v>
      </c>
      <c r="AR90" s="55">
        <f t="shared" si="178"/>
        <v>0</v>
      </c>
      <c r="AS90" s="55">
        <f t="shared" si="178"/>
        <v>822654.39399999997</v>
      </c>
      <c r="AU90" s="55">
        <f>SUM(AU82:AU88)</f>
        <v>0</v>
      </c>
      <c r="AV90" s="55">
        <f t="shared" ref="AV90:BB90" si="179">SUM(AV82:AV88)</f>
        <v>9384</v>
      </c>
      <c r="AW90" s="55">
        <f t="shared" si="179"/>
        <v>2104.38</v>
      </c>
      <c r="AX90" s="55"/>
      <c r="AY90" s="55">
        <f t="shared" si="179"/>
        <v>0</v>
      </c>
      <c r="AZ90" s="55">
        <f t="shared" si="179"/>
        <v>0</v>
      </c>
      <c r="BA90" s="55">
        <f t="shared" si="179"/>
        <v>0</v>
      </c>
      <c r="BB90" s="55">
        <f t="shared" si="179"/>
        <v>11488.380000000001</v>
      </c>
      <c r="BD90" s="55">
        <f>SUM(BD82:BD88)</f>
        <v>0</v>
      </c>
      <c r="BE90" s="55">
        <f t="shared" ref="BE90:BK90" si="180">SUM(BE82:BE88)</f>
        <v>16150</v>
      </c>
      <c r="BF90" s="55">
        <f t="shared" si="180"/>
        <v>302625.53999999998</v>
      </c>
      <c r="BG90" s="55"/>
      <c r="BH90" s="55">
        <f t="shared" si="180"/>
        <v>0</v>
      </c>
      <c r="BI90" s="55">
        <f t="shared" si="180"/>
        <v>0</v>
      </c>
      <c r="BJ90" s="55">
        <f t="shared" si="180"/>
        <v>0</v>
      </c>
      <c r="BK90" s="55">
        <f t="shared" si="180"/>
        <v>318775.53999999998</v>
      </c>
      <c r="BM90" s="55">
        <f>SUM(BM82:BM88)</f>
        <v>0</v>
      </c>
      <c r="BN90" s="55">
        <f t="shared" ref="BN90:BT90" si="181">SUM(BN82:BN88)</f>
        <v>0</v>
      </c>
      <c r="BO90" s="55">
        <f t="shared" si="181"/>
        <v>0</v>
      </c>
      <c r="BP90" s="55"/>
      <c r="BQ90" s="55">
        <f t="shared" si="181"/>
        <v>0</v>
      </c>
      <c r="BR90" s="55">
        <f t="shared" si="181"/>
        <v>0</v>
      </c>
      <c r="BS90" s="55">
        <f t="shared" si="181"/>
        <v>0</v>
      </c>
      <c r="BT90" s="55">
        <f t="shared" si="181"/>
        <v>0</v>
      </c>
      <c r="BV90" s="55">
        <f>SUM(BV82:BV88)</f>
        <v>0</v>
      </c>
      <c r="BW90" s="55">
        <f t="shared" ref="BW90:BX90" si="182">SUM(BW82:BW88)</f>
        <v>1060306</v>
      </c>
      <c r="BX90" s="55">
        <f t="shared" si="182"/>
        <v>2470035.6179999998</v>
      </c>
      <c r="BY90" s="55"/>
      <c r="BZ90" s="55">
        <f t="shared" ref="BZ90:CC90" si="183">SUM(BZ82:BZ88)</f>
        <v>0</v>
      </c>
      <c r="CA90" s="55">
        <f t="shared" si="183"/>
        <v>0</v>
      </c>
      <c r="CB90" s="55">
        <f t="shared" si="183"/>
        <v>0</v>
      </c>
      <c r="CC90" s="55">
        <f t="shared" si="183"/>
        <v>3530341.6179999998</v>
      </c>
    </row>
    <row r="91" spans="1:81" ht="15">
      <c r="A91" s="56" t="s">
        <v>87</v>
      </c>
      <c r="B91" s="49"/>
      <c r="C91" s="49"/>
      <c r="D91" s="49"/>
      <c r="E91" s="49"/>
      <c r="F91" s="49"/>
      <c r="G91" s="49"/>
      <c r="H91" s="49"/>
      <c r="I91" s="50"/>
      <c r="J91" s="7"/>
      <c r="K91" s="49"/>
      <c r="L91" s="49"/>
      <c r="M91" s="49"/>
      <c r="N91" s="49"/>
      <c r="O91" s="49"/>
      <c r="P91" s="49"/>
      <c r="Q91" s="49"/>
      <c r="R91" s="50"/>
      <c r="T91" s="49"/>
      <c r="U91" s="49"/>
      <c r="V91" s="49"/>
      <c r="W91" s="49"/>
      <c r="X91" s="49"/>
      <c r="Y91" s="49"/>
      <c r="Z91" s="49"/>
      <c r="AA91" s="50"/>
      <c r="AC91" s="49"/>
      <c r="AD91" s="49"/>
      <c r="AE91" s="49"/>
      <c r="AF91" s="49"/>
      <c r="AG91" s="49"/>
      <c r="AH91" s="49"/>
      <c r="AI91" s="49"/>
      <c r="AJ91" s="50"/>
      <c r="AL91" s="49"/>
      <c r="AM91" s="49"/>
      <c r="AN91" s="49"/>
      <c r="AO91" s="49"/>
      <c r="AP91" s="49"/>
      <c r="AQ91" s="49"/>
      <c r="AR91" s="49"/>
      <c r="AS91" s="50"/>
      <c r="AU91" s="49"/>
      <c r="AV91" s="49"/>
      <c r="AW91" s="49"/>
      <c r="AX91" s="49"/>
      <c r="AY91" s="49"/>
      <c r="AZ91" s="49"/>
      <c r="BA91" s="49"/>
      <c r="BB91" s="50"/>
      <c r="BD91" s="49"/>
      <c r="BE91" s="49"/>
      <c r="BF91" s="49"/>
      <c r="BG91" s="49"/>
      <c r="BH91" s="49"/>
      <c r="BI91" s="49"/>
      <c r="BJ91" s="49"/>
      <c r="BK91" s="50"/>
      <c r="BM91" s="49"/>
      <c r="BN91" s="49"/>
      <c r="BO91" s="49"/>
      <c r="BP91" s="49"/>
      <c r="BQ91" s="49"/>
      <c r="BR91" s="49"/>
      <c r="BS91" s="49"/>
      <c r="BT91" s="50"/>
      <c r="BV91" s="49"/>
      <c r="BW91" s="49"/>
      <c r="BX91" s="49"/>
      <c r="BY91" s="49"/>
      <c r="BZ91" s="49"/>
      <c r="CA91" s="49"/>
      <c r="CB91" s="49"/>
      <c r="CC91" s="50"/>
    </row>
    <row r="92" spans="1:81">
      <c r="A92" s="29" t="s">
        <v>88</v>
      </c>
      <c r="B92" s="5">
        <v>0</v>
      </c>
      <c r="C92" s="5"/>
      <c r="D92" s="5"/>
      <c r="E92" s="5"/>
      <c r="F92" s="5"/>
      <c r="G92" s="5"/>
      <c r="H92" s="5"/>
      <c r="I92" s="5">
        <f t="shared" si="165"/>
        <v>0</v>
      </c>
      <c r="K92" s="5">
        <v>0</v>
      </c>
      <c r="L92" s="5"/>
      <c r="M92" s="5"/>
      <c r="N92" s="5"/>
      <c r="O92" s="5"/>
      <c r="P92" s="5"/>
      <c r="Q92" s="5"/>
      <c r="R92" s="5">
        <f t="shared" si="166"/>
        <v>0</v>
      </c>
      <c r="T92" s="5">
        <v>0</v>
      </c>
      <c r="U92" s="5"/>
      <c r="V92" s="5"/>
      <c r="W92" s="5"/>
      <c r="X92" s="5"/>
      <c r="Y92" s="5"/>
      <c r="Z92" s="5"/>
      <c r="AA92" s="5">
        <f t="shared" si="167"/>
        <v>0</v>
      </c>
      <c r="AC92" s="5">
        <v>0</v>
      </c>
      <c r="AD92" s="5"/>
      <c r="AE92" s="5"/>
      <c r="AF92" s="5"/>
      <c r="AG92" s="5"/>
      <c r="AH92" s="5"/>
      <c r="AI92" s="5"/>
      <c r="AJ92" s="5">
        <f t="shared" si="168"/>
        <v>0</v>
      </c>
      <c r="AL92" s="5">
        <v>0</v>
      </c>
      <c r="AM92" s="5"/>
      <c r="AN92" s="5"/>
      <c r="AO92" s="5"/>
      <c r="AP92" s="5"/>
      <c r="AQ92" s="5"/>
      <c r="AR92" s="5"/>
      <c r="AS92" s="5">
        <f t="shared" si="169"/>
        <v>0</v>
      </c>
      <c r="AU92" s="5">
        <v>0</v>
      </c>
      <c r="AV92" s="5"/>
      <c r="AW92" s="5"/>
      <c r="AX92" s="5"/>
      <c r="AY92" s="5"/>
      <c r="AZ92" s="5"/>
      <c r="BA92" s="5"/>
      <c r="BB92" s="5">
        <f t="shared" si="170"/>
        <v>0</v>
      </c>
      <c r="BD92" s="5">
        <v>0</v>
      </c>
      <c r="BE92" s="5"/>
      <c r="BF92" s="5"/>
      <c r="BG92" s="5"/>
      <c r="BH92" s="5"/>
      <c r="BI92" s="5"/>
      <c r="BJ92" s="5"/>
      <c r="BK92" s="5">
        <f t="shared" si="171"/>
        <v>0</v>
      </c>
      <c r="BM92" s="5">
        <v>0</v>
      </c>
      <c r="BN92" s="5"/>
      <c r="BO92" s="5"/>
      <c r="BP92" s="5"/>
      <c r="BQ92" s="5"/>
      <c r="BR92" s="5"/>
      <c r="BS92" s="5"/>
      <c r="BT92" s="5">
        <f t="shared" si="172"/>
        <v>0</v>
      </c>
      <c r="BV92" s="5">
        <f t="shared" ref="BV92:CA95" si="184">B92+K92+T92+AC92+AL92+AU92+BD92+BM92</f>
        <v>0</v>
      </c>
      <c r="BW92" s="5">
        <f t="shared" si="184"/>
        <v>0</v>
      </c>
      <c r="BX92" s="5">
        <f t="shared" si="184"/>
        <v>0</v>
      </c>
      <c r="BY92" s="5">
        <f t="shared" si="184"/>
        <v>0</v>
      </c>
      <c r="BZ92" s="5">
        <f t="shared" si="184"/>
        <v>0</v>
      </c>
      <c r="CA92" s="5">
        <f t="shared" si="184"/>
        <v>0</v>
      </c>
      <c r="CB92" s="5"/>
      <c r="CC92" s="5">
        <f t="shared" ref="CC92:CC95" si="185">SUM(BV92:CB92)</f>
        <v>0</v>
      </c>
    </row>
    <row r="93" spans="1:81">
      <c r="A93" s="29" t="s">
        <v>89</v>
      </c>
      <c r="B93" s="11"/>
      <c r="C93" s="11"/>
      <c r="D93" s="11"/>
      <c r="E93" s="11"/>
      <c r="F93" s="11">
        <f t="shared" ref="F93:H93" si="186">F161</f>
        <v>0</v>
      </c>
      <c r="G93" s="11">
        <v>275000</v>
      </c>
      <c r="H93" s="11">
        <f t="shared" si="186"/>
        <v>0</v>
      </c>
      <c r="I93" s="5">
        <f t="shared" si="165"/>
        <v>275000</v>
      </c>
      <c r="K93" s="11"/>
      <c r="L93" s="11"/>
      <c r="M93" s="11"/>
      <c r="N93" s="11"/>
      <c r="O93" s="11">
        <f t="shared" ref="O93:Q93" si="187">O161</f>
        <v>0</v>
      </c>
      <c r="P93" s="11">
        <v>800000</v>
      </c>
      <c r="Q93" s="11">
        <f t="shared" si="187"/>
        <v>0</v>
      </c>
      <c r="R93" s="5">
        <f t="shared" si="166"/>
        <v>800000</v>
      </c>
      <c r="T93" s="11"/>
      <c r="U93" s="11"/>
      <c r="V93" s="11"/>
      <c r="W93" s="11"/>
      <c r="X93" s="11">
        <f t="shared" ref="X93:Z93" si="188">X161</f>
        <v>0</v>
      </c>
      <c r="Y93" s="11">
        <v>800000</v>
      </c>
      <c r="Z93" s="11">
        <f t="shared" si="188"/>
        <v>0</v>
      </c>
      <c r="AA93" s="5">
        <f t="shared" si="167"/>
        <v>800000</v>
      </c>
      <c r="AC93" s="11"/>
      <c r="AD93" s="11"/>
      <c r="AE93" s="11"/>
      <c r="AF93" s="11"/>
      <c r="AG93" s="11">
        <f t="shared" ref="AG93:AI93" si="189">AG161</f>
        <v>0</v>
      </c>
      <c r="AH93" s="11">
        <v>1250000</v>
      </c>
      <c r="AI93" s="11">
        <f t="shared" si="189"/>
        <v>0</v>
      </c>
      <c r="AJ93" s="5">
        <f t="shared" si="168"/>
        <v>1250000</v>
      </c>
      <c r="AL93" s="11"/>
      <c r="AM93" s="11"/>
      <c r="AN93" s="11"/>
      <c r="AO93" s="11"/>
      <c r="AP93" s="11">
        <f t="shared" ref="AP93:AR93" si="190">AP161</f>
        <v>0</v>
      </c>
      <c r="AQ93" s="11">
        <v>2000000</v>
      </c>
      <c r="AR93" s="11">
        <f t="shared" si="190"/>
        <v>0</v>
      </c>
      <c r="AS93" s="5">
        <f t="shared" si="169"/>
        <v>2000000</v>
      </c>
      <c r="AU93" s="11"/>
      <c r="AV93" s="11"/>
      <c r="AW93" s="11"/>
      <c r="AX93" s="11"/>
      <c r="AY93" s="11">
        <f t="shared" ref="AY93:BA93" si="191">AY161</f>
        <v>0</v>
      </c>
      <c r="AZ93" s="11">
        <f t="shared" si="191"/>
        <v>0</v>
      </c>
      <c r="BA93" s="11">
        <f t="shared" si="191"/>
        <v>0</v>
      </c>
      <c r="BB93" s="5">
        <f t="shared" si="170"/>
        <v>0</v>
      </c>
      <c r="BD93" s="11"/>
      <c r="BE93" s="11"/>
      <c r="BF93" s="11"/>
      <c r="BG93" s="11"/>
      <c r="BH93" s="11">
        <v>0</v>
      </c>
      <c r="BI93" s="11">
        <v>50000</v>
      </c>
      <c r="BJ93" s="11">
        <f t="shared" ref="BJ93" si="192">BJ161</f>
        <v>0</v>
      </c>
      <c r="BK93" s="5">
        <f t="shared" si="171"/>
        <v>50000</v>
      </c>
      <c r="BM93" s="11"/>
      <c r="BN93" s="11"/>
      <c r="BO93" s="11"/>
      <c r="BP93" s="11"/>
      <c r="BQ93" s="11">
        <f t="shared" ref="BQ93:BS93" si="193">BQ161</f>
        <v>0</v>
      </c>
      <c r="BR93" s="11">
        <f t="shared" si="193"/>
        <v>0</v>
      </c>
      <c r="BS93" s="11">
        <f t="shared" si="193"/>
        <v>0</v>
      </c>
      <c r="BT93" s="5">
        <f t="shared" si="172"/>
        <v>0</v>
      </c>
      <c r="BV93" s="5">
        <f t="shared" si="184"/>
        <v>0</v>
      </c>
      <c r="BW93" s="5">
        <f t="shared" si="184"/>
        <v>0</v>
      </c>
      <c r="BX93" s="5">
        <f t="shared" si="184"/>
        <v>0</v>
      </c>
      <c r="BY93" s="5">
        <f t="shared" si="184"/>
        <v>0</v>
      </c>
      <c r="BZ93" s="5">
        <f t="shared" si="184"/>
        <v>0</v>
      </c>
      <c r="CA93" s="5">
        <f t="shared" si="184"/>
        <v>5175000</v>
      </c>
      <c r="CB93" s="11">
        <f t="shared" ref="CB93" si="194">CB161</f>
        <v>0</v>
      </c>
      <c r="CC93" s="5">
        <f t="shared" si="185"/>
        <v>5175000</v>
      </c>
    </row>
    <row r="94" spans="1:81">
      <c r="A94" s="29" t="s">
        <v>90</v>
      </c>
      <c r="B94" s="35"/>
      <c r="C94" s="35"/>
      <c r="D94" s="35"/>
      <c r="E94" s="35"/>
      <c r="F94" s="35"/>
      <c r="G94" s="35"/>
      <c r="H94" s="35"/>
      <c r="I94" s="35">
        <f t="shared" si="165"/>
        <v>0</v>
      </c>
      <c r="K94" s="35"/>
      <c r="L94" s="35"/>
      <c r="M94" s="35"/>
      <c r="N94" s="35"/>
      <c r="O94" s="35"/>
      <c r="P94" s="35"/>
      <c r="Q94" s="35"/>
      <c r="R94" s="35">
        <f t="shared" si="166"/>
        <v>0</v>
      </c>
      <c r="T94" s="35"/>
      <c r="U94" s="35"/>
      <c r="V94" s="35"/>
      <c r="W94" s="35"/>
      <c r="X94" s="35"/>
      <c r="Y94" s="35"/>
      <c r="Z94" s="35"/>
      <c r="AA94" s="35">
        <f t="shared" si="167"/>
        <v>0</v>
      </c>
      <c r="AC94" s="97">
        <f>'[2]07'!AC159</f>
        <v>0</v>
      </c>
      <c r="AD94" s="35"/>
      <c r="AE94" s="35"/>
      <c r="AF94" s="35"/>
      <c r="AG94" s="35"/>
      <c r="AH94" s="35"/>
      <c r="AI94" s="35"/>
      <c r="AJ94" s="35">
        <f t="shared" si="168"/>
        <v>0</v>
      </c>
      <c r="AL94" s="67"/>
      <c r="AM94" s="35"/>
      <c r="AN94" s="35"/>
      <c r="AO94" s="35"/>
      <c r="AP94" s="35"/>
      <c r="AQ94" s="35"/>
      <c r="AR94" s="35"/>
      <c r="AS94" s="35">
        <f t="shared" si="169"/>
        <v>0</v>
      </c>
      <c r="AU94" s="35"/>
      <c r="AV94" s="35"/>
      <c r="AW94" s="35"/>
      <c r="AX94" s="35"/>
      <c r="AY94" s="35"/>
      <c r="AZ94" s="35"/>
      <c r="BA94" s="35"/>
      <c r="BB94" s="35">
        <f t="shared" si="170"/>
        <v>0</v>
      </c>
      <c r="BD94" s="35"/>
      <c r="BE94" s="35"/>
      <c r="BF94" s="35"/>
      <c r="BG94" s="35"/>
      <c r="BH94" s="35"/>
      <c r="BI94" s="35"/>
      <c r="BJ94" s="35"/>
      <c r="BK94" s="35">
        <f t="shared" si="171"/>
        <v>0</v>
      </c>
      <c r="BM94" s="35"/>
      <c r="BN94" s="35"/>
      <c r="BO94" s="35"/>
      <c r="BP94" s="35"/>
      <c r="BQ94" s="35"/>
      <c r="BR94" s="35"/>
      <c r="BS94" s="35"/>
      <c r="BT94" s="35">
        <f t="shared" si="172"/>
        <v>0</v>
      </c>
      <c r="BV94" s="5">
        <f t="shared" si="184"/>
        <v>0</v>
      </c>
      <c r="BW94" s="5">
        <f t="shared" si="184"/>
        <v>0</v>
      </c>
      <c r="BX94" s="5">
        <f t="shared" si="184"/>
        <v>0</v>
      </c>
      <c r="BY94" s="5">
        <f t="shared" si="184"/>
        <v>0</v>
      </c>
      <c r="BZ94" s="5">
        <f t="shared" si="184"/>
        <v>0</v>
      </c>
      <c r="CA94" s="5">
        <f t="shared" si="184"/>
        <v>0</v>
      </c>
      <c r="CB94" s="35"/>
      <c r="CC94" s="35">
        <f t="shared" si="185"/>
        <v>0</v>
      </c>
    </row>
    <row r="95" spans="1:81">
      <c r="A95" s="29" t="s">
        <v>91</v>
      </c>
      <c r="B95" s="35">
        <v>60000</v>
      </c>
      <c r="C95" s="35"/>
      <c r="D95" s="35"/>
      <c r="E95" s="35"/>
      <c r="F95" s="35"/>
      <c r="G95" s="35"/>
      <c r="H95" s="35"/>
      <c r="I95" s="35">
        <f t="shared" si="165"/>
        <v>60000</v>
      </c>
      <c r="K95" s="35">
        <v>60000</v>
      </c>
      <c r="L95" s="35"/>
      <c r="M95" s="35"/>
      <c r="N95" s="35"/>
      <c r="O95" s="35"/>
      <c r="P95" s="35"/>
      <c r="Q95" s="35"/>
      <c r="R95" s="35">
        <f t="shared" si="166"/>
        <v>60000</v>
      </c>
      <c r="T95" s="35">
        <v>75000</v>
      </c>
      <c r="U95" s="35"/>
      <c r="V95" s="35"/>
      <c r="W95" s="35"/>
      <c r="X95" s="35"/>
      <c r="Y95" s="35"/>
      <c r="Z95" s="35"/>
      <c r="AA95" s="35">
        <f t="shared" si="167"/>
        <v>75000</v>
      </c>
      <c r="AC95" s="35">
        <v>125000</v>
      </c>
      <c r="AD95" s="35"/>
      <c r="AE95" s="35"/>
      <c r="AF95" s="35"/>
      <c r="AG95" s="35"/>
      <c r="AH95" s="35"/>
      <c r="AI95" s="35"/>
      <c r="AJ95" s="35">
        <f t="shared" si="168"/>
        <v>125000</v>
      </c>
      <c r="AL95" s="35">
        <v>150000</v>
      </c>
      <c r="AM95" s="35"/>
      <c r="AN95" s="35"/>
      <c r="AO95" s="35"/>
      <c r="AP95" s="35"/>
      <c r="AQ95" s="35"/>
      <c r="AR95" s="35"/>
      <c r="AS95" s="35">
        <f t="shared" si="169"/>
        <v>150000</v>
      </c>
      <c r="AU95" s="35">
        <v>0</v>
      </c>
      <c r="AV95" s="35"/>
      <c r="AW95" s="35"/>
      <c r="AX95" s="35"/>
      <c r="AY95" s="35"/>
      <c r="AZ95" s="35"/>
      <c r="BA95" s="35"/>
      <c r="BB95" s="35">
        <f t="shared" si="170"/>
        <v>0</v>
      </c>
      <c r="BD95" s="35"/>
      <c r="BE95" s="35"/>
      <c r="BF95" s="35"/>
      <c r="BG95" s="35"/>
      <c r="BH95" s="35"/>
      <c r="BI95" s="35"/>
      <c r="BJ95" s="35"/>
      <c r="BK95" s="35">
        <f t="shared" si="171"/>
        <v>0</v>
      </c>
      <c r="BM95" s="35">
        <v>0</v>
      </c>
      <c r="BN95" s="35"/>
      <c r="BO95" s="35"/>
      <c r="BP95" s="35"/>
      <c r="BQ95" s="35"/>
      <c r="BR95" s="35"/>
      <c r="BS95" s="35"/>
      <c r="BT95" s="35">
        <f t="shared" si="172"/>
        <v>0</v>
      </c>
      <c r="BV95" s="5">
        <f t="shared" si="184"/>
        <v>470000</v>
      </c>
      <c r="BW95" s="5">
        <f t="shared" si="184"/>
        <v>0</v>
      </c>
      <c r="BX95" s="5">
        <f t="shared" si="184"/>
        <v>0</v>
      </c>
      <c r="BY95" s="5">
        <f t="shared" si="184"/>
        <v>0</v>
      </c>
      <c r="BZ95" s="5">
        <f t="shared" si="184"/>
        <v>0</v>
      </c>
      <c r="CA95" s="5">
        <f t="shared" si="184"/>
        <v>0</v>
      </c>
      <c r="CB95" s="35"/>
      <c r="CC95" s="35">
        <f t="shared" si="185"/>
        <v>470000</v>
      </c>
    </row>
    <row r="96" spans="1:81" ht="15">
      <c r="A96" s="54" t="s">
        <v>92</v>
      </c>
      <c r="B96" s="55">
        <f>SUM(B92:B95)</f>
        <v>60000</v>
      </c>
      <c r="C96" s="55">
        <f t="shared" ref="C96:H96" si="195">SUM(C92:C95)</f>
        <v>0</v>
      </c>
      <c r="D96" s="55">
        <f t="shared" si="195"/>
        <v>0</v>
      </c>
      <c r="E96" s="55"/>
      <c r="F96" s="55">
        <f t="shared" si="195"/>
        <v>0</v>
      </c>
      <c r="G96" s="55">
        <f t="shared" si="195"/>
        <v>275000</v>
      </c>
      <c r="H96" s="55">
        <f t="shared" si="195"/>
        <v>0</v>
      </c>
      <c r="I96" s="55">
        <f>SUM(I92:I95)</f>
        <v>335000</v>
      </c>
      <c r="J96" s="7"/>
      <c r="K96" s="55">
        <f>SUM(K92:K95)</f>
        <v>60000</v>
      </c>
      <c r="L96" s="55">
        <f t="shared" ref="L96:Q96" si="196">SUM(L92:L95)</f>
        <v>0</v>
      </c>
      <c r="M96" s="55">
        <f t="shared" si="196"/>
        <v>0</v>
      </c>
      <c r="N96" s="55"/>
      <c r="O96" s="55">
        <f t="shared" si="196"/>
        <v>0</v>
      </c>
      <c r="P96" s="55">
        <f t="shared" si="196"/>
        <v>800000</v>
      </c>
      <c r="Q96" s="55">
        <f t="shared" si="196"/>
        <v>0</v>
      </c>
      <c r="R96" s="55">
        <f>SUM(R92:R95)</f>
        <v>860000</v>
      </c>
      <c r="T96" s="55">
        <f>SUM(T92:T95)</f>
        <v>75000</v>
      </c>
      <c r="U96" s="55">
        <f t="shared" ref="U96:Z96" si="197">SUM(U92:U95)</f>
        <v>0</v>
      </c>
      <c r="V96" s="55">
        <f t="shared" si="197"/>
        <v>0</v>
      </c>
      <c r="W96" s="55"/>
      <c r="X96" s="55">
        <f t="shared" si="197"/>
        <v>0</v>
      </c>
      <c r="Y96" s="55">
        <f t="shared" si="197"/>
        <v>800000</v>
      </c>
      <c r="Z96" s="55">
        <f t="shared" si="197"/>
        <v>0</v>
      </c>
      <c r="AA96" s="55">
        <f>SUM(AA92:AA95)</f>
        <v>875000</v>
      </c>
      <c r="AC96" s="55">
        <f>SUM(AC92:AC95)</f>
        <v>125000</v>
      </c>
      <c r="AD96" s="55">
        <f t="shared" ref="AD96:AI96" si="198">SUM(AD92:AD95)</f>
        <v>0</v>
      </c>
      <c r="AE96" s="55">
        <f t="shared" si="198"/>
        <v>0</v>
      </c>
      <c r="AF96" s="55">
        <f t="shared" si="198"/>
        <v>0</v>
      </c>
      <c r="AG96" s="55">
        <f t="shared" si="198"/>
        <v>0</v>
      </c>
      <c r="AH96" s="55">
        <f t="shared" si="198"/>
        <v>1250000</v>
      </c>
      <c r="AI96" s="55">
        <f t="shared" si="198"/>
        <v>0</v>
      </c>
      <c r="AJ96" s="55">
        <f>SUM(AJ92:AJ95)</f>
        <v>1375000</v>
      </c>
      <c r="AL96" s="55">
        <f>SUM(AL92:AL95)</f>
        <v>150000</v>
      </c>
      <c r="AM96" s="55">
        <f t="shared" ref="AM96:AR96" si="199">SUM(AM92:AM95)</f>
        <v>0</v>
      </c>
      <c r="AN96" s="55">
        <f t="shared" si="199"/>
        <v>0</v>
      </c>
      <c r="AO96" s="55"/>
      <c r="AP96" s="55">
        <f t="shared" si="199"/>
        <v>0</v>
      </c>
      <c r="AQ96" s="55">
        <f t="shared" si="199"/>
        <v>2000000</v>
      </c>
      <c r="AR96" s="55">
        <f t="shared" si="199"/>
        <v>0</v>
      </c>
      <c r="AS96" s="55">
        <f>SUM(AS92:AS95)</f>
        <v>2150000</v>
      </c>
      <c r="AU96" s="55">
        <f>SUM(AU92:AU95)</f>
        <v>0</v>
      </c>
      <c r="AV96" s="55">
        <f t="shared" ref="AV96:BA96" si="200">SUM(AV92:AV95)</f>
        <v>0</v>
      </c>
      <c r="AW96" s="55">
        <f t="shared" si="200"/>
        <v>0</v>
      </c>
      <c r="AX96" s="55"/>
      <c r="AY96" s="55">
        <f t="shared" si="200"/>
        <v>0</v>
      </c>
      <c r="AZ96" s="55">
        <f t="shared" si="200"/>
        <v>0</v>
      </c>
      <c r="BA96" s="55">
        <f t="shared" si="200"/>
        <v>0</v>
      </c>
      <c r="BB96" s="55">
        <f>SUM(BB92:BB95)</f>
        <v>0</v>
      </c>
      <c r="BD96" s="55">
        <f>SUM(BD92:BD95)</f>
        <v>0</v>
      </c>
      <c r="BE96" s="55">
        <f t="shared" ref="BE96:BJ96" si="201">SUM(BE92:BE95)</f>
        <v>0</v>
      </c>
      <c r="BF96" s="55">
        <f t="shared" si="201"/>
        <v>0</v>
      </c>
      <c r="BG96" s="55"/>
      <c r="BH96" s="55">
        <f t="shared" si="201"/>
        <v>0</v>
      </c>
      <c r="BI96" s="55">
        <f t="shared" si="201"/>
        <v>50000</v>
      </c>
      <c r="BJ96" s="55">
        <f t="shared" si="201"/>
        <v>0</v>
      </c>
      <c r="BK96" s="55">
        <f>SUM(BK92:BK95)</f>
        <v>50000</v>
      </c>
      <c r="BM96" s="55">
        <f>SUM(BM92:BM95)</f>
        <v>0</v>
      </c>
      <c r="BN96" s="55">
        <f t="shared" ref="BN96:BS96" si="202">SUM(BN92:BN95)</f>
        <v>0</v>
      </c>
      <c r="BO96" s="55">
        <f t="shared" si="202"/>
        <v>0</v>
      </c>
      <c r="BP96" s="55"/>
      <c r="BQ96" s="55">
        <f t="shared" si="202"/>
        <v>0</v>
      </c>
      <c r="BR96" s="55">
        <f t="shared" si="202"/>
        <v>0</v>
      </c>
      <c r="BS96" s="55">
        <f t="shared" si="202"/>
        <v>0</v>
      </c>
      <c r="BT96" s="55">
        <f>SUM(BT92:BT95)</f>
        <v>0</v>
      </c>
      <c r="BV96" s="55">
        <f>SUM(BV92:BV95)</f>
        <v>470000</v>
      </c>
      <c r="BW96" s="55">
        <f t="shared" ref="BW96:BX96" si="203">SUM(BW92:BW95)</f>
        <v>0</v>
      </c>
      <c r="BX96" s="55">
        <f t="shared" si="203"/>
        <v>0</v>
      </c>
      <c r="BY96" s="55"/>
      <c r="BZ96" s="55">
        <f t="shared" ref="BZ96:CB96" si="204">SUM(BZ92:BZ95)</f>
        <v>0</v>
      </c>
      <c r="CA96" s="55">
        <f t="shared" si="204"/>
        <v>5175000</v>
      </c>
      <c r="CB96" s="55">
        <f t="shared" si="204"/>
        <v>0</v>
      </c>
      <c r="CC96" s="55">
        <f>SUM(CC92:CC95)</f>
        <v>5645000</v>
      </c>
    </row>
    <row r="97" spans="1:81" ht="15">
      <c r="A97" s="58" t="s">
        <v>93</v>
      </c>
      <c r="B97" s="59">
        <f>B80+B90+B96</f>
        <v>8789745</v>
      </c>
      <c r="C97" s="59">
        <f t="shared" ref="C97:H97" si="205">C80+C90+C96</f>
        <v>754875</v>
      </c>
      <c r="D97" s="59">
        <f t="shared" si="205"/>
        <v>359732.07</v>
      </c>
      <c r="E97" s="59"/>
      <c r="F97" s="59">
        <f t="shared" si="205"/>
        <v>0</v>
      </c>
      <c r="G97" s="59">
        <f t="shared" si="205"/>
        <v>275000</v>
      </c>
      <c r="H97" s="59">
        <f t="shared" si="205"/>
        <v>0</v>
      </c>
      <c r="I97" s="59">
        <f>I80+I90+I96</f>
        <v>10179352.07</v>
      </c>
      <c r="J97" s="7"/>
      <c r="K97" s="59">
        <f>K80+K90+K96</f>
        <v>9849943</v>
      </c>
      <c r="L97" s="59">
        <f t="shared" ref="L97:Q97" si="206">L80+L90+L96</f>
        <v>516491</v>
      </c>
      <c r="M97" s="59">
        <f t="shared" si="206"/>
        <v>278791.38</v>
      </c>
      <c r="N97" s="59"/>
      <c r="O97" s="59">
        <f t="shared" si="206"/>
        <v>0</v>
      </c>
      <c r="P97" s="59">
        <f t="shared" si="206"/>
        <v>800000</v>
      </c>
      <c r="Q97" s="59">
        <f t="shared" si="206"/>
        <v>0</v>
      </c>
      <c r="R97" s="59">
        <f>R80+R90+R96</f>
        <v>11445225.380000001</v>
      </c>
      <c r="T97" s="59">
        <f>T80+T90+T96</f>
        <v>11503233</v>
      </c>
      <c r="U97" s="59">
        <f t="shared" ref="U97:Z97" si="207">U80+U90+U96</f>
        <v>727719</v>
      </c>
      <c r="V97" s="59">
        <f t="shared" si="207"/>
        <v>158070.114</v>
      </c>
      <c r="W97" s="59"/>
      <c r="X97" s="59">
        <f t="shared" si="207"/>
        <v>0</v>
      </c>
      <c r="Y97" s="59">
        <f t="shared" si="207"/>
        <v>800000</v>
      </c>
      <c r="Z97" s="59">
        <f t="shared" si="207"/>
        <v>0</v>
      </c>
      <c r="AA97" s="59">
        <f>AA80+AA90+AA96</f>
        <v>13189022.114</v>
      </c>
      <c r="AC97" s="59">
        <f>AC80+AC90+AC96</f>
        <v>22885788</v>
      </c>
      <c r="AD97" s="59">
        <f t="shared" ref="AD97:AI97" si="208">AD80+AD90+AD96</f>
        <v>1895545</v>
      </c>
      <c r="AE97" s="59">
        <f t="shared" si="208"/>
        <v>820006.74000000011</v>
      </c>
      <c r="AF97" s="59">
        <f t="shared" si="208"/>
        <v>0</v>
      </c>
      <c r="AG97" s="59">
        <f t="shared" si="208"/>
        <v>0</v>
      </c>
      <c r="AH97" s="59">
        <f t="shared" si="208"/>
        <v>1250000</v>
      </c>
      <c r="AI97" s="59">
        <f t="shared" si="208"/>
        <v>0</v>
      </c>
      <c r="AJ97" s="59">
        <f>AJ80+AJ90+AJ96</f>
        <v>26851339.740000002</v>
      </c>
      <c r="AL97" s="59">
        <f>AL80+AL90+AL96</f>
        <v>22219006</v>
      </c>
      <c r="AM97" s="59">
        <f t="shared" ref="AM97:AR97" si="209">AM80+AM90+AM96</f>
        <v>1418310</v>
      </c>
      <c r="AN97" s="59">
        <f t="shared" si="209"/>
        <v>548705.39399999997</v>
      </c>
      <c r="AO97" s="59"/>
      <c r="AP97" s="59">
        <f t="shared" si="209"/>
        <v>0</v>
      </c>
      <c r="AQ97" s="59">
        <f t="shared" si="209"/>
        <v>2000000</v>
      </c>
      <c r="AR97" s="59">
        <f t="shared" si="209"/>
        <v>0</v>
      </c>
      <c r="AS97" s="59">
        <f>AS80+AS90+AS96</f>
        <v>26186021.394000001</v>
      </c>
      <c r="AU97" s="59">
        <f>AU80+AU90+AU96</f>
        <v>1403592</v>
      </c>
      <c r="AV97" s="59">
        <f t="shared" ref="AV97:BA97" si="210">AV80+AV90+AV96</f>
        <v>93975</v>
      </c>
      <c r="AW97" s="59">
        <f t="shared" si="210"/>
        <v>2104.38</v>
      </c>
      <c r="AX97" s="59"/>
      <c r="AY97" s="59">
        <f t="shared" si="210"/>
        <v>0</v>
      </c>
      <c r="AZ97" s="59">
        <f t="shared" si="210"/>
        <v>0</v>
      </c>
      <c r="BA97" s="59">
        <f t="shared" si="210"/>
        <v>0</v>
      </c>
      <c r="BB97" s="59">
        <f>BB80+BB90+BB96</f>
        <v>1499671.38</v>
      </c>
      <c r="BD97" s="59">
        <f>BD80+BD90+BD96</f>
        <v>2712606</v>
      </c>
      <c r="BE97" s="59">
        <f t="shared" ref="BE97:BJ97" si="211">BE80+BE90+BE96</f>
        <v>81430</v>
      </c>
      <c r="BF97" s="59">
        <f t="shared" si="211"/>
        <v>302625.53999999998</v>
      </c>
      <c r="BG97" s="59"/>
      <c r="BH97" s="59">
        <f t="shared" si="211"/>
        <v>0</v>
      </c>
      <c r="BI97" s="59">
        <f t="shared" si="211"/>
        <v>50000</v>
      </c>
      <c r="BJ97" s="59">
        <f t="shared" si="211"/>
        <v>0</v>
      </c>
      <c r="BK97" s="59">
        <f>BK80+BK90+BK96</f>
        <v>3146661.54</v>
      </c>
      <c r="BM97" s="59">
        <f>BM80+BM90+BM96</f>
        <v>0</v>
      </c>
      <c r="BN97" s="59">
        <f t="shared" ref="BN97:BS97" si="212">BN80+BN90+BN96</f>
        <v>0</v>
      </c>
      <c r="BO97" s="59">
        <f t="shared" si="212"/>
        <v>0</v>
      </c>
      <c r="BP97" s="59"/>
      <c r="BQ97" s="59">
        <f t="shared" si="212"/>
        <v>0</v>
      </c>
      <c r="BR97" s="59">
        <f t="shared" si="212"/>
        <v>0</v>
      </c>
      <c r="BS97" s="59">
        <f t="shared" si="212"/>
        <v>0</v>
      </c>
      <c r="BT97" s="59">
        <f>BT80+BT90+BT96</f>
        <v>0</v>
      </c>
      <c r="BV97" s="59">
        <f>BV80+BV90+BV96</f>
        <v>79363913</v>
      </c>
      <c r="BW97" s="59">
        <f t="shared" ref="BW97:BX97" si="213">BW80+BW90+BW96</f>
        <v>5488345</v>
      </c>
      <c r="BX97" s="59">
        <f t="shared" si="213"/>
        <v>2470035.6179999998</v>
      </c>
      <c r="BY97" s="59"/>
      <c r="BZ97" s="59">
        <f t="shared" ref="BZ97:CB97" si="214">BZ80+BZ90+BZ96</f>
        <v>0</v>
      </c>
      <c r="CA97" s="59">
        <f t="shared" si="214"/>
        <v>5175000</v>
      </c>
      <c r="CB97" s="59">
        <f t="shared" si="214"/>
        <v>0</v>
      </c>
      <c r="CC97" s="59">
        <f>CC80+CC90+CC96</f>
        <v>92497293.618000001</v>
      </c>
    </row>
    <row r="98" spans="1:81" ht="15">
      <c r="A98" s="56" t="s">
        <v>94</v>
      </c>
      <c r="B98" s="49"/>
      <c r="C98" s="49"/>
      <c r="D98" s="49"/>
      <c r="E98" s="49"/>
      <c r="F98" s="49"/>
      <c r="G98" s="49"/>
      <c r="H98" s="49"/>
      <c r="I98" s="50"/>
      <c r="J98" s="7"/>
      <c r="K98" s="49"/>
      <c r="L98" s="49"/>
      <c r="M98" s="49"/>
      <c r="N98" s="49"/>
      <c r="O98" s="49"/>
      <c r="P98" s="49"/>
      <c r="Q98" s="49"/>
      <c r="R98" s="50"/>
      <c r="T98" s="49"/>
      <c r="U98" s="49"/>
      <c r="V98" s="49"/>
      <c r="W98" s="49"/>
      <c r="X98" s="49"/>
      <c r="Y98" s="49"/>
      <c r="Z98" s="49"/>
      <c r="AA98" s="50"/>
      <c r="AC98" s="49"/>
      <c r="AD98" s="49"/>
      <c r="AE98" s="49"/>
      <c r="AF98" s="49"/>
      <c r="AG98" s="49"/>
      <c r="AH98" s="49"/>
      <c r="AI98" s="49"/>
      <c r="AJ98" s="50"/>
      <c r="AL98" s="49"/>
      <c r="AM98" s="49"/>
      <c r="AN98" s="49"/>
      <c r="AO98" s="49"/>
      <c r="AP98" s="49"/>
      <c r="AQ98" s="49"/>
      <c r="AR98" s="49"/>
      <c r="AS98" s="50"/>
      <c r="AU98" s="49"/>
      <c r="AV98" s="49"/>
      <c r="AW98" s="49"/>
      <c r="AX98" s="49"/>
      <c r="AY98" s="49"/>
      <c r="AZ98" s="49"/>
      <c r="BA98" s="49"/>
      <c r="BB98" s="50"/>
      <c r="BD98" s="49"/>
      <c r="BE98" s="49"/>
      <c r="BF98" s="49"/>
      <c r="BG98" s="49"/>
      <c r="BH98" s="49"/>
      <c r="BI98" s="49"/>
      <c r="BJ98" s="49"/>
      <c r="BK98" s="50"/>
      <c r="BM98" s="49"/>
      <c r="BN98" s="49"/>
      <c r="BO98" s="49"/>
      <c r="BP98" s="49"/>
      <c r="BQ98" s="49"/>
      <c r="BR98" s="49"/>
      <c r="BS98" s="49"/>
      <c r="BT98" s="50"/>
      <c r="BV98" s="49"/>
      <c r="BW98" s="49"/>
      <c r="BX98" s="49"/>
      <c r="BY98" s="49"/>
      <c r="BZ98" s="49"/>
      <c r="CA98" s="49"/>
      <c r="CB98" s="49"/>
      <c r="CC98" s="50"/>
    </row>
    <row r="99" spans="1:81">
      <c r="A99" s="29" t="s">
        <v>95</v>
      </c>
      <c r="B99" s="5">
        <v>0</v>
      </c>
      <c r="C99" s="5"/>
      <c r="D99" s="5"/>
      <c r="E99" s="5"/>
      <c r="F99" s="5"/>
      <c r="G99" s="5"/>
      <c r="H99" s="5"/>
      <c r="I99" s="5">
        <f>SUM(B99:H99)</f>
        <v>0</v>
      </c>
      <c r="J99" s="7"/>
      <c r="K99" s="5">
        <v>0</v>
      </c>
      <c r="L99" s="5"/>
      <c r="M99" s="5"/>
      <c r="N99" s="5"/>
      <c r="O99" s="5"/>
      <c r="P99" s="5"/>
      <c r="Q99" s="5"/>
      <c r="R99" s="5">
        <f>SUM(K99:Q99)</f>
        <v>0</v>
      </c>
      <c r="T99" s="5">
        <v>0</v>
      </c>
      <c r="U99" s="5"/>
      <c r="V99" s="5"/>
      <c r="W99" s="5"/>
      <c r="X99" s="5"/>
      <c r="Y99" s="5"/>
      <c r="Z99" s="5"/>
      <c r="AA99" s="5">
        <f>SUM(T99:Z99)</f>
        <v>0</v>
      </c>
      <c r="AC99" s="5">
        <v>0</v>
      </c>
      <c r="AD99" s="5"/>
      <c r="AE99" s="5"/>
      <c r="AF99" s="5"/>
      <c r="AG99" s="5"/>
      <c r="AH99" s="5"/>
      <c r="AI99" s="5"/>
      <c r="AJ99" s="5">
        <f>SUM(AC99:AI99)</f>
        <v>0</v>
      </c>
      <c r="AL99" s="5">
        <v>0</v>
      </c>
      <c r="AM99" s="5"/>
      <c r="AN99" s="5"/>
      <c r="AO99" s="5"/>
      <c r="AP99" s="5"/>
      <c r="AQ99" s="5"/>
      <c r="AR99" s="5"/>
      <c r="AS99" s="5">
        <f>SUM(AL99:AR99)</f>
        <v>0</v>
      </c>
      <c r="AU99" s="5">
        <v>0</v>
      </c>
      <c r="AV99" s="5"/>
      <c r="AW99" s="5"/>
      <c r="AX99" s="5"/>
      <c r="AY99" s="5"/>
      <c r="AZ99" s="5"/>
      <c r="BA99" s="5"/>
      <c r="BB99" s="5">
        <f>SUM(AU99:BA99)</f>
        <v>0</v>
      </c>
      <c r="BD99" s="5">
        <v>0</v>
      </c>
      <c r="BE99" s="5"/>
      <c r="BF99" s="5"/>
      <c r="BG99" s="5"/>
      <c r="BH99" s="5"/>
      <c r="BI99" s="5"/>
      <c r="BJ99" s="5"/>
      <c r="BK99" s="5">
        <f>SUM(BD99:BJ99)</f>
        <v>0</v>
      </c>
      <c r="BM99" s="5">
        <v>0</v>
      </c>
      <c r="BN99" s="5"/>
      <c r="BO99" s="5"/>
      <c r="BP99" s="5"/>
      <c r="BQ99" s="5"/>
      <c r="BR99" s="5"/>
      <c r="BS99" s="5"/>
      <c r="BT99" s="5">
        <f>SUM(BM99:BS99)</f>
        <v>0</v>
      </c>
      <c r="BV99" s="5">
        <f t="shared" ref="BV99:CA102" si="215">B99+K99+T99+AC99+AL99+AU99+BD99+BM99</f>
        <v>0</v>
      </c>
      <c r="BW99" s="5">
        <f t="shared" si="215"/>
        <v>0</v>
      </c>
      <c r="BX99" s="5">
        <f t="shared" si="215"/>
        <v>0</v>
      </c>
      <c r="BY99" s="5">
        <f t="shared" si="215"/>
        <v>0</v>
      </c>
      <c r="BZ99" s="5">
        <f t="shared" si="215"/>
        <v>0</v>
      </c>
      <c r="CA99" s="5">
        <f t="shared" si="215"/>
        <v>0</v>
      </c>
      <c r="CB99" s="5"/>
      <c r="CC99" s="5">
        <f>SUM(BV99:CB99)</f>
        <v>0</v>
      </c>
    </row>
    <row r="100" spans="1:81">
      <c r="A100" s="29" t="s">
        <v>96</v>
      </c>
      <c r="B100" s="11">
        <v>0</v>
      </c>
      <c r="C100" s="11">
        <v>0</v>
      </c>
      <c r="D100" s="11">
        <v>0</v>
      </c>
      <c r="E100" s="11"/>
      <c r="F100" s="11">
        <f t="shared" ref="F100:H100" si="216">F168</f>
        <v>0</v>
      </c>
      <c r="G100" s="11">
        <f t="shared" si="216"/>
        <v>0</v>
      </c>
      <c r="H100" s="11">
        <f t="shared" si="216"/>
        <v>0</v>
      </c>
      <c r="I100" s="5">
        <f t="shared" ref="I100:I102" si="217">SUM(B100:H100)</f>
        <v>0</v>
      </c>
      <c r="J100" s="7"/>
      <c r="K100" s="11">
        <v>0</v>
      </c>
      <c r="L100" s="11">
        <v>0</v>
      </c>
      <c r="M100" s="11">
        <v>0</v>
      </c>
      <c r="N100" s="11"/>
      <c r="O100" s="11">
        <f t="shared" ref="O100:Q100" si="218">O168</f>
        <v>0</v>
      </c>
      <c r="P100" s="11">
        <f t="shared" si="218"/>
        <v>0</v>
      </c>
      <c r="Q100" s="11">
        <f t="shared" si="218"/>
        <v>0</v>
      </c>
      <c r="R100" s="5">
        <f t="shared" ref="R100:R102" si="219">SUM(K100:Q100)</f>
        <v>0</v>
      </c>
      <c r="T100" s="11">
        <v>0</v>
      </c>
      <c r="U100" s="11">
        <v>0</v>
      </c>
      <c r="V100" s="11">
        <v>0</v>
      </c>
      <c r="W100" s="11"/>
      <c r="X100" s="11">
        <f t="shared" ref="X100:Z100" si="220">X168</f>
        <v>0</v>
      </c>
      <c r="Y100" s="11">
        <f t="shared" si="220"/>
        <v>0</v>
      </c>
      <c r="Z100" s="11">
        <f t="shared" si="220"/>
        <v>0</v>
      </c>
      <c r="AA100" s="5">
        <f t="shared" ref="AA100:AA102" si="221">SUM(T100:Z100)</f>
        <v>0</v>
      </c>
      <c r="AC100" s="11">
        <v>0</v>
      </c>
      <c r="AD100" s="11">
        <v>0</v>
      </c>
      <c r="AE100" s="11">
        <v>0</v>
      </c>
      <c r="AF100" s="11"/>
      <c r="AG100" s="11">
        <f t="shared" ref="AG100:AI100" si="222">AG168</f>
        <v>0</v>
      </c>
      <c r="AH100" s="11">
        <f t="shared" si="222"/>
        <v>0</v>
      </c>
      <c r="AI100" s="11">
        <f t="shared" si="222"/>
        <v>0</v>
      </c>
      <c r="AJ100" s="5">
        <f t="shared" ref="AJ100:AJ102" si="223">SUM(AC100:AI100)</f>
        <v>0</v>
      </c>
      <c r="AL100" s="11">
        <v>0</v>
      </c>
      <c r="AM100" s="11">
        <v>0</v>
      </c>
      <c r="AN100" s="11">
        <v>0</v>
      </c>
      <c r="AO100" s="11"/>
      <c r="AP100" s="11">
        <f t="shared" ref="AP100:AR100" si="224">AP168</f>
        <v>0</v>
      </c>
      <c r="AQ100" s="11">
        <f t="shared" si="224"/>
        <v>0</v>
      </c>
      <c r="AR100" s="11">
        <f t="shared" si="224"/>
        <v>0</v>
      </c>
      <c r="AS100" s="5">
        <f t="shared" ref="AS100:AS102" si="225">SUM(AL100:AR100)</f>
        <v>0</v>
      </c>
      <c r="AU100" s="11">
        <v>0</v>
      </c>
      <c r="AV100" s="11">
        <v>0</v>
      </c>
      <c r="AW100" s="11">
        <v>0</v>
      </c>
      <c r="AX100" s="11"/>
      <c r="AY100" s="11">
        <f t="shared" ref="AY100:BA100" si="226">AY168</f>
        <v>0</v>
      </c>
      <c r="AZ100" s="11">
        <f t="shared" si="226"/>
        <v>0</v>
      </c>
      <c r="BA100" s="11">
        <f t="shared" si="226"/>
        <v>0</v>
      </c>
      <c r="BB100" s="5">
        <f t="shared" ref="BB100:BB102" si="227">SUM(AU100:BA100)</f>
        <v>0</v>
      </c>
      <c r="BD100" s="11">
        <v>0</v>
      </c>
      <c r="BE100" s="11">
        <v>0</v>
      </c>
      <c r="BF100" s="11">
        <v>0</v>
      </c>
      <c r="BG100" s="11"/>
      <c r="BH100" s="11">
        <f t="shared" ref="BH100:BJ100" si="228">BH168</f>
        <v>0</v>
      </c>
      <c r="BI100" s="11">
        <f t="shared" si="228"/>
        <v>0</v>
      </c>
      <c r="BJ100" s="11">
        <f t="shared" si="228"/>
        <v>0</v>
      </c>
      <c r="BK100" s="5">
        <f t="shared" ref="BK100:BK102" si="229">SUM(BD100:BJ100)</f>
        <v>0</v>
      </c>
      <c r="BM100" s="11">
        <v>0</v>
      </c>
      <c r="BN100" s="11">
        <v>0</v>
      </c>
      <c r="BO100" s="11">
        <v>0</v>
      </c>
      <c r="BP100" s="11"/>
      <c r="BQ100" s="11">
        <f t="shared" ref="BQ100:BS100" si="230">BQ168</f>
        <v>0</v>
      </c>
      <c r="BR100" s="11">
        <f t="shared" si="230"/>
        <v>0</v>
      </c>
      <c r="BS100" s="11">
        <f t="shared" si="230"/>
        <v>0</v>
      </c>
      <c r="BT100" s="5">
        <f t="shared" ref="BT100:BT102" si="231">SUM(BM100:BS100)</f>
        <v>0</v>
      </c>
      <c r="BV100" s="5">
        <f t="shared" si="215"/>
        <v>0</v>
      </c>
      <c r="BW100" s="5">
        <f t="shared" si="215"/>
        <v>0</v>
      </c>
      <c r="BX100" s="5">
        <f t="shared" si="215"/>
        <v>0</v>
      </c>
      <c r="BY100" s="5">
        <f t="shared" si="215"/>
        <v>0</v>
      </c>
      <c r="BZ100" s="5">
        <f t="shared" si="215"/>
        <v>0</v>
      </c>
      <c r="CA100" s="5">
        <f t="shared" si="215"/>
        <v>0</v>
      </c>
      <c r="CB100" s="11">
        <f t="shared" ref="CB100" si="232">CB168</f>
        <v>0</v>
      </c>
      <c r="CC100" s="5">
        <f t="shared" ref="CC100:CC102" si="233">SUM(BV100:CB100)</f>
        <v>0</v>
      </c>
    </row>
    <row r="101" spans="1:81">
      <c r="A101" s="29" t="s">
        <v>264</v>
      </c>
      <c r="B101" s="35"/>
      <c r="C101" s="35"/>
      <c r="D101" s="35"/>
      <c r="E101" s="35"/>
      <c r="F101" s="35"/>
      <c r="G101" s="35"/>
      <c r="H101" s="35"/>
      <c r="I101" s="5">
        <f t="shared" si="217"/>
        <v>0</v>
      </c>
      <c r="J101" s="7"/>
      <c r="K101" s="35"/>
      <c r="L101" s="35"/>
      <c r="M101" s="35"/>
      <c r="N101" s="35"/>
      <c r="O101" s="35"/>
      <c r="P101" s="35"/>
      <c r="Q101" s="35"/>
      <c r="R101" s="5">
        <f t="shared" si="219"/>
        <v>0</v>
      </c>
      <c r="T101" s="35"/>
      <c r="U101" s="35"/>
      <c r="V101" s="35"/>
      <c r="W101" s="35"/>
      <c r="X101" s="35"/>
      <c r="Y101" s="35"/>
      <c r="Z101" s="35"/>
      <c r="AA101" s="5">
        <f t="shared" si="221"/>
        <v>0</v>
      </c>
      <c r="AC101" s="35"/>
      <c r="AD101" s="35"/>
      <c r="AE101" s="35"/>
      <c r="AF101" s="35">
        <v>150000</v>
      </c>
      <c r="AG101" s="35"/>
      <c r="AH101" s="35"/>
      <c r="AI101" s="35"/>
      <c r="AJ101" s="5">
        <f t="shared" si="223"/>
        <v>150000</v>
      </c>
      <c r="AL101" s="35"/>
      <c r="AM101" s="35"/>
      <c r="AN101" s="35"/>
      <c r="AO101" s="35">
        <v>0</v>
      </c>
      <c r="AP101" s="35"/>
      <c r="AQ101" s="35"/>
      <c r="AR101" s="35"/>
      <c r="AS101" s="5">
        <f t="shared" si="225"/>
        <v>0</v>
      </c>
      <c r="AU101" s="35"/>
      <c r="AV101" s="35"/>
      <c r="AW101" s="35"/>
      <c r="AX101" s="35"/>
      <c r="AY101" s="35"/>
      <c r="AZ101" s="35"/>
      <c r="BA101" s="35"/>
      <c r="BB101" s="5">
        <f t="shared" si="227"/>
        <v>0</v>
      </c>
      <c r="BD101" s="35"/>
      <c r="BE101" s="35"/>
      <c r="BF101" s="35"/>
      <c r="BG101" s="35"/>
      <c r="BH101" s="35"/>
      <c r="BI101" s="35"/>
      <c r="BJ101" s="35"/>
      <c r="BK101" s="5">
        <f t="shared" si="229"/>
        <v>0</v>
      </c>
      <c r="BM101" s="35"/>
      <c r="BN101" s="35"/>
      <c r="BO101" s="35"/>
      <c r="BP101" s="35"/>
      <c r="BQ101" s="35"/>
      <c r="BR101" s="35"/>
      <c r="BS101" s="35"/>
      <c r="BT101" s="5">
        <f t="shared" si="231"/>
        <v>0</v>
      </c>
      <c r="BV101" s="5">
        <f t="shared" si="215"/>
        <v>0</v>
      </c>
      <c r="BW101" s="5">
        <f t="shared" si="215"/>
        <v>0</v>
      </c>
      <c r="BX101" s="5">
        <f t="shared" si="215"/>
        <v>0</v>
      </c>
      <c r="BY101" s="5">
        <f t="shared" si="215"/>
        <v>150000</v>
      </c>
      <c r="BZ101" s="5">
        <f t="shared" si="215"/>
        <v>0</v>
      </c>
      <c r="CA101" s="5">
        <f t="shared" si="215"/>
        <v>0</v>
      </c>
      <c r="CB101" s="35"/>
      <c r="CC101" s="5">
        <f t="shared" si="233"/>
        <v>150000</v>
      </c>
    </row>
    <row r="102" spans="1:81">
      <c r="A102" s="29"/>
      <c r="B102" s="35"/>
      <c r="C102" s="35"/>
      <c r="D102" s="35"/>
      <c r="E102" s="35"/>
      <c r="F102" s="35"/>
      <c r="G102" s="35"/>
      <c r="H102" s="35"/>
      <c r="I102" s="5">
        <f t="shared" si="217"/>
        <v>0</v>
      </c>
      <c r="J102" s="7"/>
      <c r="K102" s="35"/>
      <c r="L102" s="35"/>
      <c r="M102" s="35"/>
      <c r="N102" s="35"/>
      <c r="O102" s="35"/>
      <c r="P102" s="35"/>
      <c r="Q102" s="35"/>
      <c r="R102" s="5">
        <f t="shared" si="219"/>
        <v>0</v>
      </c>
      <c r="T102" s="35"/>
      <c r="U102" s="35"/>
      <c r="V102" s="35"/>
      <c r="W102" s="35"/>
      <c r="X102" s="35"/>
      <c r="Y102" s="35"/>
      <c r="Z102" s="35"/>
      <c r="AA102" s="5">
        <f t="shared" si="221"/>
        <v>0</v>
      </c>
      <c r="AC102" s="35"/>
      <c r="AD102" s="35"/>
      <c r="AE102" s="35"/>
      <c r="AF102" s="35"/>
      <c r="AG102" s="35"/>
      <c r="AH102" s="35"/>
      <c r="AI102" s="35"/>
      <c r="AJ102" s="5">
        <f t="shared" si="223"/>
        <v>0</v>
      </c>
      <c r="AL102" s="35"/>
      <c r="AM102" s="35"/>
      <c r="AN102" s="35"/>
      <c r="AO102" s="35"/>
      <c r="AP102" s="35"/>
      <c r="AQ102" s="35"/>
      <c r="AR102" s="35"/>
      <c r="AS102" s="5">
        <f t="shared" si="225"/>
        <v>0</v>
      </c>
      <c r="AU102" s="35"/>
      <c r="AV102" s="35"/>
      <c r="AW102" s="35"/>
      <c r="AX102" s="35"/>
      <c r="AY102" s="35"/>
      <c r="AZ102" s="35"/>
      <c r="BA102" s="35"/>
      <c r="BB102" s="5">
        <f t="shared" si="227"/>
        <v>0</v>
      </c>
      <c r="BD102" s="35"/>
      <c r="BE102" s="35"/>
      <c r="BF102" s="35"/>
      <c r="BG102" s="35"/>
      <c r="BH102" s="35"/>
      <c r="BI102" s="35"/>
      <c r="BJ102" s="35"/>
      <c r="BK102" s="5">
        <f t="shared" si="229"/>
        <v>0</v>
      </c>
      <c r="BM102" s="35"/>
      <c r="BN102" s="35"/>
      <c r="BO102" s="35"/>
      <c r="BP102" s="35"/>
      <c r="BQ102" s="35"/>
      <c r="BR102" s="35"/>
      <c r="BS102" s="35"/>
      <c r="BT102" s="5">
        <f t="shared" si="231"/>
        <v>0</v>
      </c>
      <c r="BV102" s="5">
        <f t="shared" si="215"/>
        <v>0</v>
      </c>
      <c r="BW102" s="5">
        <f t="shared" si="215"/>
        <v>0</v>
      </c>
      <c r="BX102" s="5">
        <f t="shared" si="215"/>
        <v>0</v>
      </c>
      <c r="BY102" s="5">
        <f t="shared" si="215"/>
        <v>0</v>
      </c>
      <c r="BZ102" s="5">
        <f t="shared" si="215"/>
        <v>0</v>
      </c>
      <c r="CA102" s="5">
        <f t="shared" si="215"/>
        <v>0</v>
      </c>
      <c r="CB102" s="35"/>
      <c r="CC102" s="5">
        <f t="shared" si="233"/>
        <v>0</v>
      </c>
    </row>
    <row r="103" spans="1:81" ht="15">
      <c r="A103" s="54" t="s">
        <v>97</v>
      </c>
      <c r="B103" s="55">
        <f>SUM(B99:B102)</f>
        <v>0</v>
      </c>
      <c r="C103" s="55">
        <f t="shared" ref="C103:I103" si="234">SUM(C99:C102)</f>
        <v>0</v>
      </c>
      <c r="D103" s="55">
        <f t="shared" si="234"/>
        <v>0</v>
      </c>
      <c r="E103" s="55">
        <f t="shared" si="234"/>
        <v>0</v>
      </c>
      <c r="F103" s="55">
        <f t="shared" si="234"/>
        <v>0</v>
      </c>
      <c r="G103" s="55">
        <f t="shared" si="234"/>
        <v>0</v>
      </c>
      <c r="H103" s="55">
        <f t="shared" si="234"/>
        <v>0</v>
      </c>
      <c r="I103" s="55">
        <f t="shared" si="234"/>
        <v>0</v>
      </c>
      <c r="J103" s="7"/>
      <c r="K103" s="55">
        <f>SUM(K99:K102)</f>
        <v>0</v>
      </c>
      <c r="L103" s="55">
        <f t="shared" ref="L103:R103" si="235">SUM(L99:L102)</f>
        <v>0</v>
      </c>
      <c r="M103" s="55">
        <f t="shared" si="235"/>
        <v>0</v>
      </c>
      <c r="N103" s="55">
        <f t="shared" si="235"/>
        <v>0</v>
      </c>
      <c r="O103" s="55">
        <f t="shared" si="235"/>
        <v>0</v>
      </c>
      <c r="P103" s="55">
        <f t="shared" si="235"/>
        <v>0</v>
      </c>
      <c r="Q103" s="55">
        <f t="shared" si="235"/>
        <v>0</v>
      </c>
      <c r="R103" s="55">
        <f t="shared" si="235"/>
        <v>0</v>
      </c>
      <c r="T103" s="55">
        <f>SUM(T99:T102)</f>
        <v>0</v>
      </c>
      <c r="U103" s="55">
        <f t="shared" ref="U103:AA103" si="236">SUM(U99:U102)</f>
        <v>0</v>
      </c>
      <c r="V103" s="55">
        <f t="shared" si="236"/>
        <v>0</v>
      </c>
      <c r="W103" s="55">
        <f t="shared" si="236"/>
        <v>0</v>
      </c>
      <c r="X103" s="55">
        <f t="shared" si="236"/>
        <v>0</v>
      </c>
      <c r="Y103" s="55">
        <f t="shared" si="236"/>
        <v>0</v>
      </c>
      <c r="Z103" s="55">
        <f t="shared" si="236"/>
        <v>0</v>
      </c>
      <c r="AA103" s="55">
        <f t="shared" si="236"/>
        <v>0</v>
      </c>
      <c r="AC103" s="55">
        <f>SUM(AC99:AC102)</f>
        <v>0</v>
      </c>
      <c r="AD103" s="55">
        <f t="shared" ref="AD103:AJ103" si="237">SUM(AD99:AD102)</f>
        <v>0</v>
      </c>
      <c r="AE103" s="55">
        <f t="shared" si="237"/>
        <v>0</v>
      </c>
      <c r="AF103" s="55">
        <f t="shared" si="237"/>
        <v>150000</v>
      </c>
      <c r="AG103" s="55">
        <f t="shared" si="237"/>
        <v>0</v>
      </c>
      <c r="AH103" s="55">
        <f t="shared" si="237"/>
        <v>0</v>
      </c>
      <c r="AI103" s="55">
        <f t="shared" si="237"/>
        <v>0</v>
      </c>
      <c r="AJ103" s="55">
        <f t="shared" si="237"/>
        <v>150000</v>
      </c>
      <c r="AL103" s="55">
        <f>SUM(AL99:AL102)</f>
        <v>0</v>
      </c>
      <c r="AM103" s="55">
        <f t="shared" ref="AM103:AS103" si="238">SUM(AM99:AM102)</f>
        <v>0</v>
      </c>
      <c r="AN103" s="55">
        <f t="shared" si="238"/>
        <v>0</v>
      </c>
      <c r="AO103" s="55">
        <f t="shared" si="238"/>
        <v>0</v>
      </c>
      <c r="AP103" s="55">
        <f t="shared" si="238"/>
        <v>0</v>
      </c>
      <c r="AQ103" s="55">
        <f t="shared" si="238"/>
        <v>0</v>
      </c>
      <c r="AR103" s="55">
        <f t="shared" si="238"/>
        <v>0</v>
      </c>
      <c r="AS103" s="55">
        <f t="shared" si="238"/>
        <v>0</v>
      </c>
      <c r="AU103" s="55">
        <f>SUM(AU99:AU102)</f>
        <v>0</v>
      </c>
      <c r="AV103" s="55">
        <f t="shared" ref="AV103:BB103" si="239">SUM(AV99:AV102)</f>
        <v>0</v>
      </c>
      <c r="AW103" s="55">
        <f t="shared" si="239"/>
        <v>0</v>
      </c>
      <c r="AX103" s="55">
        <f t="shared" si="239"/>
        <v>0</v>
      </c>
      <c r="AY103" s="55">
        <f t="shared" si="239"/>
        <v>0</v>
      </c>
      <c r="AZ103" s="55">
        <f t="shared" si="239"/>
        <v>0</v>
      </c>
      <c r="BA103" s="55">
        <f t="shared" si="239"/>
        <v>0</v>
      </c>
      <c r="BB103" s="55">
        <f t="shared" si="239"/>
        <v>0</v>
      </c>
      <c r="BD103" s="55">
        <f>SUM(BD99:BD102)</f>
        <v>0</v>
      </c>
      <c r="BE103" s="55">
        <f t="shared" ref="BE103:BK103" si="240">SUM(BE99:BE102)</f>
        <v>0</v>
      </c>
      <c r="BF103" s="55">
        <f t="shared" si="240"/>
        <v>0</v>
      </c>
      <c r="BG103" s="55">
        <f t="shared" si="240"/>
        <v>0</v>
      </c>
      <c r="BH103" s="55">
        <f t="shared" si="240"/>
        <v>0</v>
      </c>
      <c r="BI103" s="55">
        <f t="shared" si="240"/>
        <v>0</v>
      </c>
      <c r="BJ103" s="55">
        <f t="shared" si="240"/>
        <v>0</v>
      </c>
      <c r="BK103" s="55">
        <f t="shared" si="240"/>
        <v>0</v>
      </c>
      <c r="BM103" s="55">
        <f>SUM(BM99:BM102)</f>
        <v>0</v>
      </c>
      <c r="BN103" s="55">
        <f t="shared" ref="BN103:BT103" si="241">SUM(BN99:BN102)</f>
        <v>0</v>
      </c>
      <c r="BO103" s="55">
        <f t="shared" si="241"/>
        <v>0</v>
      </c>
      <c r="BP103" s="55">
        <f t="shared" si="241"/>
        <v>0</v>
      </c>
      <c r="BQ103" s="55">
        <f t="shared" si="241"/>
        <v>0</v>
      </c>
      <c r="BR103" s="55">
        <f t="shared" si="241"/>
        <v>0</v>
      </c>
      <c r="BS103" s="55">
        <f t="shared" si="241"/>
        <v>0</v>
      </c>
      <c r="BT103" s="55">
        <f t="shared" si="241"/>
        <v>0</v>
      </c>
      <c r="BV103" s="55">
        <f>SUM(BV99:BV102)</f>
        <v>0</v>
      </c>
      <c r="BW103" s="55">
        <f t="shared" ref="BW103:CC103" si="242">SUM(BW99:BW102)</f>
        <v>0</v>
      </c>
      <c r="BX103" s="55">
        <f t="shared" si="242"/>
        <v>0</v>
      </c>
      <c r="BY103" s="55">
        <f t="shared" si="242"/>
        <v>150000</v>
      </c>
      <c r="BZ103" s="55">
        <f t="shared" si="242"/>
        <v>0</v>
      </c>
      <c r="CA103" s="55">
        <f t="shared" si="242"/>
        <v>0</v>
      </c>
      <c r="CB103" s="55">
        <f t="shared" si="242"/>
        <v>0</v>
      </c>
      <c r="CC103" s="55">
        <f t="shared" si="242"/>
        <v>150000</v>
      </c>
    </row>
    <row r="104" spans="1:81" ht="15" thickBot="1">
      <c r="A104" s="29"/>
      <c r="B104" s="42"/>
      <c r="C104" s="42"/>
      <c r="D104" s="42"/>
      <c r="E104" s="42"/>
      <c r="F104" s="42"/>
      <c r="G104" s="42"/>
      <c r="H104" s="42"/>
      <c r="I104" s="42"/>
      <c r="J104" s="7"/>
      <c r="K104" s="42"/>
      <c r="L104" s="42"/>
      <c r="M104" s="42"/>
      <c r="N104" s="42"/>
      <c r="O104" s="42"/>
      <c r="P104" s="42"/>
      <c r="Q104" s="42"/>
      <c r="R104" s="42"/>
      <c r="T104" s="42"/>
      <c r="U104" s="42"/>
      <c r="V104" s="42"/>
      <c r="W104" s="42"/>
      <c r="X104" s="42"/>
      <c r="Y104" s="42"/>
      <c r="Z104" s="42"/>
      <c r="AA104" s="42"/>
      <c r="AC104" s="42"/>
      <c r="AD104" s="42"/>
      <c r="AE104" s="42"/>
      <c r="AF104" s="42"/>
      <c r="AG104" s="42"/>
      <c r="AH104" s="42"/>
      <c r="AI104" s="42"/>
      <c r="AJ104" s="42"/>
      <c r="AL104" s="42"/>
      <c r="AM104" s="42"/>
      <c r="AN104" s="42"/>
      <c r="AO104" s="42"/>
      <c r="AP104" s="42"/>
      <c r="AQ104" s="42"/>
      <c r="AR104" s="42"/>
      <c r="AS104" s="42"/>
      <c r="AU104" s="42"/>
      <c r="AV104" s="42"/>
      <c r="AW104" s="42"/>
      <c r="AX104" s="42"/>
      <c r="AY104" s="42"/>
      <c r="AZ104" s="42"/>
      <c r="BA104" s="42"/>
      <c r="BB104" s="42"/>
      <c r="BD104" s="42"/>
      <c r="BE104" s="42"/>
      <c r="BF104" s="42"/>
      <c r="BG104" s="42"/>
      <c r="BH104" s="42"/>
      <c r="BI104" s="42"/>
      <c r="BJ104" s="42"/>
      <c r="BK104" s="42"/>
      <c r="BM104" s="42"/>
      <c r="BN104" s="42"/>
      <c r="BO104" s="42"/>
      <c r="BP104" s="42"/>
      <c r="BQ104" s="42"/>
      <c r="BR104" s="42"/>
      <c r="BS104" s="42"/>
      <c r="BT104" s="42"/>
      <c r="BV104" s="42"/>
      <c r="BW104" s="42"/>
      <c r="BX104" s="42"/>
      <c r="BY104" s="42"/>
      <c r="BZ104" s="42"/>
      <c r="CA104" s="42"/>
      <c r="CB104" s="42"/>
      <c r="CC104" s="42"/>
    </row>
    <row r="105" spans="1:81" ht="15.75" thickBot="1">
      <c r="A105" s="60" t="s">
        <v>98</v>
      </c>
      <c r="B105" s="61" t="str">
        <f t="shared" ref="B105:I105" si="243">B1</f>
        <v>Operating</v>
      </c>
      <c r="C105" s="61" t="str">
        <f t="shared" si="243"/>
        <v>SPED</v>
      </c>
      <c r="D105" s="61" t="str">
        <f t="shared" si="243"/>
        <v>NSLP</v>
      </c>
      <c r="E105" s="61" t="str">
        <f t="shared" si="243"/>
        <v>Other</v>
      </c>
      <c r="F105" s="61" t="str">
        <f t="shared" si="243"/>
        <v>Title I</v>
      </c>
      <c r="G105" s="61" t="str">
        <f t="shared" si="243"/>
        <v>SGF</v>
      </c>
      <c r="H105" s="61" t="str">
        <f t="shared" si="243"/>
        <v>Title III</v>
      </c>
      <c r="I105" s="61" t="str">
        <f t="shared" si="243"/>
        <v>Horizon</v>
      </c>
      <c r="J105" s="7"/>
      <c r="K105" s="61" t="str">
        <f t="shared" ref="K105:R105" si="244">K1</f>
        <v>Operating</v>
      </c>
      <c r="L105" s="61" t="str">
        <f t="shared" si="244"/>
        <v>SPED</v>
      </c>
      <c r="M105" s="61" t="str">
        <f t="shared" si="244"/>
        <v>NSLP</v>
      </c>
      <c r="N105" s="61" t="str">
        <f t="shared" si="244"/>
        <v>Other</v>
      </c>
      <c r="O105" s="61" t="str">
        <f t="shared" si="244"/>
        <v>Title I</v>
      </c>
      <c r="P105" s="61" t="str">
        <f t="shared" si="244"/>
        <v>SGF</v>
      </c>
      <c r="Q105" s="61" t="str">
        <f t="shared" si="244"/>
        <v>Title III</v>
      </c>
      <c r="R105" s="61" t="str">
        <f t="shared" si="244"/>
        <v>St. Rose</v>
      </c>
      <c r="T105" s="61" t="str">
        <f t="shared" ref="T105:AA105" si="245">T1</f>
        <v>Operating</v>
      </c>
      <c r="U105" s="61" t="str">
        <f t="shared" si="245"/>
        <v>SPED</v>
      </c>
      <c r="V105" s="61" t="str">
        <f t="shared" si="245"/>
        <v>NSLP</v>
      </c>
      <c r="W105" s="61" t="str">
        <f t="shared" si="245"/>
        <v>Other</v>
      </c>
      <c r="X105" s="61" t="str">
        <f t="shared" si="245"/>
        <v>Title I</v>
      </c>
      <c r="Y105" s="61" t="str">
        <f t="shared" si="245"/>
        <v>SGF</v>
      </c>
      <c r="Z105" s="61" t="str">
        <f t="shared" si="245"/>
        <v>Title III</v>
      </c>
      <c r="AA105" s="61" t="str">
        <f t="shared" si="245"/>
        <v>Inspirada</v>
      </c>
      <c r="AC105" s="61" t="str">
        <f t="shared" ref="AC105:AJ105" si="246">AC1</f>
        <v>Operating</v>
      </c>
      <c r="AD105" s="61" t="str">
        <f t="shared" si="246"/>
        <v>SPED</v>
      </c>
      <c r="AE105" s="61" t="str">
        <f t="shared" si="246"/>
        <v>NSLP</v>
      </c>
      <c r="AF105" s="61" t="str">
        <f t="shared" si="246"/>
        <v>Other</v>
      </c>
      <c r="AG105" s="61" t="str">
        <f t="shared" si="246"/>
        <v>Title I</v>
      </c>
      <c r="AH105" s="61" t="str">
        <f t="shared" si="246"/>
        <v>SGF</v>
      </c>
      <c r="AI105" s="61" t="str">
        <f t="shared" si="246"/>
        <v>Title III</v>
      </c>
      <c r="AJ105" s="61" t="str">
        <f t="shared" si="246"/>
        <v>Cadence</v>
      </c>
      <c r="AL105" s="61" t="str">
        <f t="shared" ref="AL105:AS105" si="247">AL1</f>
        <v>Operating</v>
      </c>
      <c r="AM105" s="61" t="str">
        <f t="shared" si="247"/>
        <v>SPED</v>
      </c>
      <c r="AN105" s="61" t="str">
        <f t="shared" si="247"/>
        <v>NSLP</v>
      </c>
      <c r="AO105" s="61" t="str">
        <f t="shared" si="247"/>
        <v>Other</v>
      </c>
      <c r="AP105" s="61" t="str">
        <f t="shared" si="247"/>
        <v>Title I</v>
      </c>
      <c r="AQ105" s="61" t="str">
        <f t="shared" si="247"/>
        <v>SGF</v>
      </c>
      <c r="AR105" s="61" t="str">
        <f t="shared" si="247"/>
        <v>Title III</v>
      </c>
      <c r="AS105" s="61" t="str">
        <f t="shared" si="247"/>
        <v>Sloan</v>
      </c>
      <c r="AU105" s="61" t="str">
        <f t="shared" ref="AU105:BB105" si="248">AU1</f>
        <v>Operating</v>
      </c>
      <c r="AV105" s="61" t="str">
        <f t="shared" si="248"/>
        <v>SPED</v>
      </c>
      <c r="AW105" s="61" t="str">
        <f t="shared" si="248"/>
        <v>NSLP</v>
      </c>
      <c r="AX105" s="61" t="str">
        <f t="shared" si="248"/>
        <v>Other</v>
      </c>
      <c r="AY105" s="61" t="str">
        <f t="shared" si="248"/>
        <v>Title I</v>
      </c>
      <c r="AZ105" s="61" t="str">
        <f t="shared" si="248"/>
        <v>SGF</v>
      </c>
      <c r="BA105" s="61" t="str">
        <f t="shared" si="248"/>
        <v>Title III</v>
      </c>
      <c r="BB105" s="61" t="str">
        <f t="shared" si="248"/>
        <v>Virtual</v>
      </c>
      <c r="BD105" s="61" t="str">
        <f t="shared" ref="BD105:BK105" si="249">BD1</f>
        <v>Operating</v>
      </c>
      <c r="BE105" s="61" t="str">
        <f t="shared" si="249"/>
        <v>SPED</v>
      </c>
      <c r="BF105" s="61" t="str">
        <f t="shared" si="249"/>
        <v>NSLP</v>
      </c>
      <c r="BG105" s="61" t="str">
        <f t="shared" si="249"/>
        <v>Other</v>
      </c>
      <c r="BH105" s="61" t="str">
        <f t="shared" si="249"/>
        <v>Title I</v>
      </c>
      <c r="BI105" s="61" t="str">
        <f t="shared" si="249"/>
        <v>SGF</v>
      </c>
      <c r="BJ105" s="61" t="str">
        <f t="shared" si="249"/>
        <v>Title III</v>
      </c>
      <c r="BK105" s="61" t="str">
        <f t="shared" si="249"/>
        <v>Springs</v>
      </c>
      <c r="BM105" s="61" t="str">
        <f t="shared" ref="BM105:BT105" si="250">BM1</f>
        <v>Operating</v>
      </c>
      <c r="BN105" s="61" t="str">
        <f t="shared" si="250"/>
        <v>SPED</v>
      </c>
      <c r="BO105" s="61" t="str">
        <f t="shared" si="250"/>
        <v>NSLP</v>
      </c>
      <c r="BP105" s="61" t="str">
        <f t="shared" si="250"/>
        <v>Other</v>
      </c>
      <c r="BQ105" s="61" t="str">
        <f t="shared" si="250"/>
        <v>Title I</v>
      </c>
      <c r="BR105" s="61" t="str">
        <f t="shared" si="250"/>
        <v>SGF</v>
      </c>
      <c r="BS105" s="61" t="str">
        <f t="shared" si="250"/>
        <v>Title III</v>
      </c>
      <c r="BT105" s="61" t="str">
        <f t="shared" si="250"/>
        <v>Exec. Office</v>
      </c>
      <c r="BV105" s="61" t="str">
        <f t="shared" ref="BV105:CC105" si="251">BV1</f>
        <v>Operating</v>
      </c>
      <c r="BW105" s="61" t="str">
        <f t="shared" si="251"/>
        <v>SPED</v>
      </c>
      <c r="BX105" s="61" t="str">
        <f t="shared" si="251"/>
        <v>NSLP</v>
      </c>
      <c r="BY105" s="61" t="str">
        <f t="shared" si="251"/>
        <v>Other</v>
      </c>
      <c r="BZ105" s="61" t="str">
        <f t="shared" si="251"/>
        <v>Title I</v>
      </c>
      <c r="CA105" s="61" t="str">
        <f t="shared" si="251"/>
        <v>SGF</v>
      </c>
      <c r="CB105" s="61" t="str">
        <f t="shared" si="251"/>
        <v>Title III</v>
      </c>
      <c r="CC105" s="61" t="str">
        <f t="shared" si="251"/>
        <v>Systemwide</v>
      </c>
    </row>
    <row r="106" spans="1:81" ht="15">
      <c r="A106" s="48" t="s">
        <v>99</v>
      </c>
      <c r="B106" s="49"/>
      <c r="C106" s="49"/>
      <c r="D106" s="49"/>
      <c r="E106" s="49"/>
      <c r="F106" s="49"/>
      <c r="G106" s="49"/>
      <c r="H106" s="49"/>
      <c r="I106" s="50"/>
      <c r="J106" s="7"/>
      <c r="K106" s="49"/>
      <c r="L106" s="49"/>
      <c r="M106" s="49"/>
      <c r="N106" s="49"/>
      <c r="O106" s="49"/>
      <c r="P106" s="49"/>
      <c r="Q106" s="49"/>
      <c r="R106" s="50"/>
      <c r="T106" s="49"/>
      <c r="U106" s="49"/>
      <c r="V106" s="49"/>
      <c r="W106" s="49"/>
      <c r="X106" s="49"/>
      <c r="Y106" s="49"/>
      <c r="Z106" s="49"/>
      <c r="AA106" s="50"/>
      <c r="AC106" s="49"/>
      <c r="AD106" s="49"/>
      <c r="AE106" s="49"/>
      <c r="AF106" s="49"/>
      <c r="AG106" s="49"/>
      <c r="AH106" s="49"/>
      <c r="AI106" s="49"/>
      <c r="AJ106" s="50"/>
      <c r="AL106" s="49"/>
      <c r="AM106" s="49"/>
      <c r="AN106" s="49"/>
      <c r="AO106" s="49"/>
      <c r="AP106" s="49"/>
      <c r="AQ106" s="49"/>
      <c r="AR106" s="49"/>
      <c r="AS106" s="50"/>
      <c r="AU106" s="49"/>
      <c r="AV106" s="49"/>
      <c r="AW106" s="49"/>
      <c r="AX106" s="49"/>
      <c r="AY106" s="49"/>
      <c r="AZ106" s="49"/>
      <c r="BA106" s="49"/>
      <c r="BB106" s="50"/>
      <c r="BD106" s="49"/>
      <c r="BE106" s="49"/>
      <c r="BF106" s="49"/>
      <c r="BG106" s="49"/>
      <c r="BH106" s="49"/>
      <c r="BI106" s="49"/>
      <c r="BJ106" s="49"/>
      <c r="BK106" s="50"/>
      <c r="BM106" s="49"/>
      <c r="BN106" s="49"/>
      <c r="BO106" s="49"/>
      <c r="BP106" s="49"/>
      <c r="BQ106" s="49"/>
      <c r="BR106" s="49"/>
      <c r="BS106" s="49"/>
      <c r="BT106" s="50"/>
      <c r="BV106" s="49"/>
      <c r="BW106" s="49"/>
      <c r="BX106" s="49"/>
      <c r="BY106" s="49"/>
      <c r="BZ106" s="49"/>
      <c r="CA106" s="49"/>
      <c r="CB106" s="49"/>
      <c r="CC106" s="50"/>
    </row>
    <row r="107" spans="1:81">
      <c r="A107" s="29" t="s">
        <v>40</v>
      </c>
      <c r="B107" s="62">
        <f>151616*1.03</f>
        <v>156164.48000000001</v>
      </c>
      <c r="C107" s="11"/>
      <c r="D107" s="5"/>
      <c r="E107" s="5"/>
      <c r="F107" s="5"/>
      <c r="G107" s="5"/>
      <c r="H107" s="5"/>
      <c r="I107" s="5">
        <f t="shared" ref="I107:I120" si="252">SUM(B107:H107)</f>
        <v>156164.48000000001</v>
      </c>
      <c r="K107" s="62">
        <f>147661*1.03</f>
        <v>152090.83000000002</v>
      </c>
      <c r="L107" s="11"/>
      <c r="M107" s="5"/>
      <c r="N107" s="5"/>
      <c r="O107" s="5"/>
      <c r="P107" s="5"/>
      <c r="Q107" s="5"/>
      <c r="R107" s="5">
        <f t="shared" ref="R107:R120" si="253">SUM(K107:Q107)</f>
        <v>152090.83000000002</v>
      </c>
      <c r="T107" s="11">
        <f>206900*1.03</f>
        <v>213107</v>
      </c>
      <c r="U107" s="5"/>
      <c r="V107" s="5"/>
      <c r="W107" s="5"/>
      <c r="X107" s="5"/>
      <c r="Y107" s="5"/>
      <c r="Z107" s="5"/>
      <c r="AA107" s="5">
        <f t="shared" ref="AA107:AA120" si="254">SUM(T107:Z107)</f>
        <v>213107</v>
      </c>
      <c r="AC107" s="62">
        <f>159000*1.03</f>
        <v>163770</v>
      </c>
      <c r="AD107" s="11"/>
      <c r="AE107" s="5"/>
      <c r="AF107" s="5"/>
      <c r="AG107" s="5"/>
      <c r="AH107" s="5"/>
      <c r="AI107" s="5"/>
      <c r="AJ107" s="5">
        <f t="shared" ref="AJ107:AJ120" si="255">SUM(AC107:AI107)</f>
        <v>163770</v>
      </c>
      <c r="AL107" s="62">
        <f>166923*1.03</f>
        <v>171930.69</v>
      </c>
      <c r="AM107" s="11"/>
      <c r="AN107" s="5"/>
      <c r="AO107" s="5"/>
      <c r="AP107" s="5"/>
      <c r="AQ107" s="5"/>
      <c r="AR107" s="5"/>
      <c r="AS107" s="5">
        <f t="shared" ref="AS107:AS120" si="256">SUM(AL107:AR107)</f>
        <v>171930.69</v>
      </c>
      <c r="AU107" s="62"/>
      <c r="AV107" s="11"/>
      <c r="AW107" s="5"/>
      <c r="AX107" s="5"/>
      <c r="AY107" s="5"/>
      <c r="AZ107" s="5"/>
      <c r="BA107" s="5"/>
      <c r="BB107" s="5">
        <f t="shared" ref="BB107:BB120" si="257">SUM(AU107:BA107)</f>
        <v>0</v>
      </c>
      <c r="BD107" s="62">
        <v>0</v>
      </c>
      <c r="BE107" s="11"/>
      <c r="BF107" s="5"/>
      <c r="BG107" s="5"/>
      <c r="BH107" s="5"/>
      <c r="BI107" s="5"/>
      <c r="BJ107" s="5"/>
      <c r="BK107" s="5">
        <f t="shared" ref="BK107:BK120" si="258">SUM(BD107:BJ107)</f>
        <v>0</v>
      </c>
      <c r="BM107" s="62">
        <v>0</v>
      </c>
      <c r="BN107" s="11"/>
      <c r="BO107" s="5"/>
      <c r="BP107" s="5"/>
      <c r="BQ107" s="5"/>
      <c r="BR107" s="5"/>
      <c r="BS107" s="5"/>
      <c r="BT107" s="5">
        <f t="shared" ref="BT107:BT120" si="259">SUM(BM107:BS107)</f>
        <v>0</v>
      </c>
      <c r="BV107" s="5">
        <f t="shared" ref="BV107:CA120" si="260">B107+K107+T107+AC107+AL107+AU107+BD107+BM107</f>
        <v>857063</v>
      </c>
      <c r="BW107" s="5">
        <f t="shared" si="260"/>
        <v>0</v>
      </c>
      <c r="BX107" s="5">
        <f t="shared" si="260"/>
        <v>0</v>
      </c>
      <c r="BY107" s="5">
        <f t="shared" si="260"/>
        <v>0</v>
      </c>
      <c r="BZ107" s="5">
        <f t="shared" si="260"/>
        <v>0</v>
      </c>
      <c r="CA107" s="5">
        <f t="shared" si="260"/>
        <v>0</v>
      </c>
      <c r="CB107" s="5"/>
      <c r="CC107" s="5">
        <f t="shared" ref="CC107:CC120" si="261">SUM(BV107:CB107)</f>
        <v>857063</v>
      </c>
    </row>
    <row r="108" spans="1:81">
      <c r="A108" s="29" t="s">
        <v>100</v>
      </c>
      <c r="B108" s="62">
        <f>(90000+90000+80500)*1.2*1.03</f>
        <v>321978</v>
      </c>
      <c r="C108" s="11"/>
      <c r="D108" s="5"/>
      <c r="E108" s="5"/>
      <c r="F108" s="5"/>
      <c r="G108" s="5"/>
      <c r="H108" s="5"/>
      <c r="I108" s="5">
        <f t="shared" si="252"/>
        <v>321978</v>
      </c>
      <c r="K108" s="5">
        <f>(90000+90000+90000)*1.2*1.03</f>
        <v>333720</v>
      </c>
      <c r="L108" s="11"/>
      <c r="M108" s="5"/>
      <c r="N108" s="5"/>
      <c r="O108" s="5"/>
      <c r="P108" s="5"/>
      <c r="Q108" s="5"/>
      <c r="R108" s="5">
        <f t="shared" si="253"/>
        <v>333720</v>
      </c>
      <c r="T108" s="5">
        <f>(110000+90000+85000)*1.2*1.03</f>
        <v>352260</v>
      </c>
      <c r="U108" s="5"/>
      <c r="V108" s="5"/>
      <c r="W108" s="5"/>
      <c r="X108" s="5"/>
      <c r="Y108" s="5"/>
      <c r="Z108" s="5"/>
      <c r="AA108" s="5">
        <f t="shared" si="254"/>
        <v>352260</v>
      </c>
      <c r="AC108" s="5">
        <f>(87000+110000+87000+90000+90000)*1.2*1.03</f>
        <v>573504</v>
      </c>
      <c r="AD108" s="11"/>
      <c r="AE108" s="5"/>
      <c r="AF108" s="5"/>
      <c r="AG108" s="5"/>
      <c r="AH108" s="5"/>
      <c r="AI108" s="5"/>
      <c r="AJ108" s="5">
        <f t="shared" si="255"/>
        <v>573504</v>
      </c>
      <c r="AL108" s="5">
        <f>(115000+90000+90500+90000)*1.2*1.03</f>
        <v>476478</v>
      </c>
      <c r="AM108" s="11"/>
      <c r="AN108" s="5"/>
      <c r="AO108" s="5"/>
      <c r="AP108" s="5"/>
      <c r="AQ108" s="5"/>
      <c r="AR108" s="5"/>
      <c r="AS108" s="5">
        <f t="shared" si="256"/>
        <v>476478</v>
      </c>
      <c r="AU108" s="62"/>
      <c r="AV108" s="11"/>
      <c r="AW108" s="5"/>
      <c r="AX108" s="5"/>
      <c r="AY108" s="5"/>
      <c r="AZ108" s="5"/>
      <c r="BA108" s="5"/>
      <c r="BB108" s="5">
        <f t="shared" si="257"/>
        <v>0</v>
      </c>
      <c r="BD108" s="5">
        <f>115000*1.03</f>
        <v>118450</v>
      </c>
      <c r="BE108" s="11"/>
      <c r="BF108" s="5"/>
      <c r="BG108" s="5"/>
      <c r="BH108" s="5"/>
      <c r="BI108" s="5"/>
      <c r="BJ108" s="5"/>
      <c r="BK108" s="5">
        <f t="shared" si="258"/>
        <v>118450</v>
      </c>
      <c r="BM108" s="62">
        <v>0</v>
      </c>
      <c r="BN108" s="11"/>
      <c r="BO108" s="5"/>
      <c r="BP108" s="5"/>
      <c r="BQ108" s="5"/>
      <c r="BR108" s="5"/>
      <c r="BS108" s="5"/>
      <c r="BT108" s="5">
        <f t="shared" si="259"/>
        <v>0</v>
      </c>
      <c r="BV108" s="5">
        <f t="shared" si="260"/>
        <v>2176390</v>
      </c>
      <c r="BW108" s="5">
        <f t="shared" si="260"/>
        <v>0</v>
      </c>
      <c r="BX108" s="5">
        <f t="shared" si="260"/>
        <v>0</v>
      </c>
      <c r="BY108" s="5">
        <f t="shared" si="260"/>
        <v>0</v>
      </c>
      <c r="BZ108" s="5">
        <f t="shared" si="260"/>
        <v>0</v>
      </c>
      <c r="CA108" s="5">
        <f t="shared" si="260"/>
        <v>0</v>
      </c>
      <c r="CB108" s="5"/>
      <c r="CC108" s="5">
        <f t="shared" si="261"/>
        <v>2176390</v>
      </c>
    </row>
    <row r="109" spans="1:81">
      <c r="A109" s="29" t="s">
        <v>42</v>
      </c>
      <c r="B109" s="62">
        <v>0</v>
      </c>
      <c r="C109" s="11"/>
      <c r="D109" s="5"/>
      <c r="E109" s="5"/>
      <c r="F109" s="5"/>
      <c r="G109" s="5"/>
      <c r="H109" s="5"/>
      <c r="I109" s="5">
        <f t="shared" si="252"/>
        <v>0</v>
      </c>
      <c r="K109" s="62">
        <v>0</v>
      </c>
      <c r="L109" s="11"/>
      <c r="M109" s="5"/>
      <c r="N109" s="5"/>
      <c r="O109" s="5"/>
      <c r="P109" s="5"/>
      <c r="Q109" s="5"/>
      <c r="R109" s="5">
        <f t="shared" si="253"/>
        <v>0</v>
      </c>
      <c r="T109" s="5">
        <v>0</v>
      </c>
      <c r="U109" s="5"/>
      <c r="V109" s="5"/>
      <c r="W109" s="5"/>
      <c r="X109" s="5"/>
      <c r="Y109" s="5"/>
      <c r="Z109" s="5"/>
      <c r="AA109" s="5">
        <f t="shared" si="254"/>
        <v>0</v>
      </c>
      <c r="AC109" s="62">
        <v>0</v>
      </c>
      <c r="AD109" s="11"/>
      <c r="AE109" s="5"/>
      <c r="AF109" s="5"/>
      <c r="AG109" s="5"/>
      <c r="AH109" s="5"/>
      <c r="AI109" s="5"/>
      <c r="AJ109" s="5">
        <f t="shared" si="255"/>
        <v>0</v>
      </c>
      <c r="AL109" s="62">
        <v>0</v>
      </c>
      <c r="AM109" s="11"/>
      <c r="AN109" s="5"/>
      <c r="AO109" s="5"/>
      <c r="AP109" s="5"/>
      <c r="AQ109" s="5"/>
      <c r="AR109" s="5"/>
      <c r="AS109" s="5">
        <f t="shared" si="256"/>
        <v>0</v>
      </c>
      <c r="AU109" s="62"/>
      <c r="AV109" s="11"/>
      <c r="AW109" s="5"/>
      <c r="AX109" s="5"/>
      <c r="AY109" s="5"/>
      <c r="AZ109" s="5"/>
      <c r="BA109" s="5"/>
      <c r="BB109" s="5">
        <f t="shared" si="257"/>
        <v>0</v>
      </c>
      <c r="BD109" s="62">
        <f>70000*1.03</f>
        <v>72100</v>
      </c>
      <c r="BE109" s="11"/>
      <c r="BF109" s="5"/>
      <c r="BG109" s="5">
        <v>0</v>
      </c>
      <c r="BH109" s="5"/>
      <c r="BI109" s="5"/>
      <c r="BJ109" s="5"/>
      <c r="BK109" s="5">
        <f t="shared" si="258"/>
        <v>72100</v>
      </c>
      <c r="BM109" s="62">
        <v>0</v>
      </c>
      <c r="BN109" s="11"/>
      <c r="BO109" s="5"/>
      <c r="BP109" s="5"/>
      <c r="BQ109" s="5"/>
      <c r="BR109" s="5"/>
      <c r="BS109" s="5"/>
      <c r="BT109" s="5">
        <f t="shared" si="259"/>
        <v>0</v>
      </c>
      <c r="BV109" s="5">
        <f t="shared" si="260"/>
        <v>72100</v>
      </c>
      <c r="BW109" s="5">
        <f t="shared" si="260"/>
        <v>0</v>
      </c>
      <c r="BX109" s="5">
        <f t="shared" si="260"/>
        <v>0</v>
      </c>
      <c r="BY109" s="5">
        <f t="shared" si="260"/>
        <v>0</v>
      </c>
      <c r="BZ109" s="5">
        <f t="shared" si="260"/>
        <v>0</v>
      </c>
      <c r="CA109" s="5">
        <f t="shared" si="260"/>
        <v>0</v>
      </c>
      <c r="CB109" s="5"/>
      <c r="CC109" s="5">
        <f t="shared" si="261"/>
        <v>72100</v>
      </c>
    </row>
    <row r="110" spans="1:81">
      <c r="A110" s="32" t="s">
        <v>43</v>
      </c>
      <c r="B110" s="62"/>
      <c r="C110" s="11"/>
      <c r="D110" s="5"/>
      <c r="E110" s="5"/>
      <c r="F110" s="11"/>
      <c r="G110" s="5"/>
      <c r="H110" s="5"/>
      <c r="I110" s="5">
        <f t="shared" si="252"/>
        <v>0</v>
      </c>
      <c r="K110" s="62"/>
      <c r="L110" s="11"/>
      <c r="M110" s="5"/>
      <c r="N110" s="5"/>
      <c r="O110" s="5"/>
      <c r="P110" s="5"/>
      <c r="Q110" s="5"/>
      <c r="R110" s="5">
        <f t="shared" si="253"/>
        <v>0</v>
      </c>
      <c r="T110" s="5">
        <v>0</v>
      </c>
      <c r="U110" s="5"/>
      <c r="V110" s="5"/>
      <c r="W110" s="5"/>
      <c r="X110" s="5"/>
      <c r="Y110" s="5"/>
      <c r="Z110" s="5"/>
      <c r="AA110" s="5">
        <f t="shared" si="254"/>
        <v>0</v>
      </c>
      <c r="AC110" s="62">
        <f>(78000*1.03)*AC42</f>
        <v>241020</v>
      </c>
      <c r="AD110" s="11"/>
      <c r="AE110" s="5"/>
      <c r="AF110" s="5"/>
      <c r="AG110" s="5"/>
      <c r="AH110" s="5"/>
      <c r="AI110" s="5"/>
      <c r="AJ110" s="5">
        <f t="shared" si="255"/>
        <v>241020</v>
      </c>
      <c r="AL110" s="62">
        <f>(60000*AL42)*1.2*1.03</f>
        <v>222480</v>
      </c>
      <c r="AM110" s="11"/>
      <c r="AN110" s="5"/>
      <c r="AO110" s="5"/>
      <c r="AP110" s="5"/>
      <c r="AQ110" s="5"/>
      <c r="AR110" s="5"/>
      <c r="AS110" s="5">
        <f t="shared" si="256"/>
        <v>222480</v>
      </c>
      <c r="AU110" s="62"/>
      <c r="AV110" s="11"/>
      <c r="AW110" s="5"/>
      <c r="AX110" s="5"/>
      <c r="AY110" s="5"/>
      <c r="AZ110" s="5"/>
      <c r="BA110" s="5"/>
      <c r="BB110" s="5">
        <f t="shared" si="257"/>
        <v>0</v>
      </c>
      <c r="BD110" s="62"/>
      <c r="BE110" s="11"/>
      <c r="BF110" s="5"/>
      <c r="BG110" s="5"/>
      <c r="BH110" s="5"/>
      <c r="BI110" s="5"/>
      <c r="BJ110" s="5"/>
      <c r="BK110" s="5">
        <f t="shared" si="258"/>
        <v>0</v>
      </c>
      <c r="BM110" s="62"/>
      <c r="BN110" s="11"/>
      <c r="BO110" s="5"/>
      <c r="BP110" s="5"/>
      <c r="BQ110" s="5"/>
      <c r="BR110" s="5"/>
      <c r="BS110" s="5"/>
      <c r="BT110" s="5">
        <f t="shared" si="259"/>
        <v>0</v>
      </c>
      <c r="BV110" s="5">
        <f t="shared" si="260"/>
        <v>463500</v>
      </c>
      <c r="BW110" s="5">
        <f t="shared" si="260"/>
        <v>0</v>
      </c>
      <c r="BX110" s="5">
        <f t="shared" si="260"/>
        <v>0</v>
      </c>
      <c r="BY110" s="5">
        <f t="shared" si="260"/>
        <v>0</v>
      </c>
      <c r="BZ110" s="5">
        <f t="shared" si="260"/>
        <v>0</v>
      </c>
      <c r="CA110" s="5">
        <f t="shared" si="260"/>
        <v>0</v>
      </c>
      <c r="CB110" s="5"/>
      <c r="CC110" s="5">
        <f t="shared" si="261"/>
        <v>463500</v>
      </c>
    </row>
    <row r="111" spans="1:81">
      <c r="A111" s="32" t="s">
        <v>44</v>
      </c>
      <c r="B111" s="5">
        <f>80500*1.03</f>
        <v>82915</v>
      </c>
      <c r="C111" s="11"/>
      <c r="D111" s="5"/>
      <c r="E111" s="5"/>
      <c r="F111" s="11"/>
      <c r="G111" s="5"/>
      <c r="H111" s="5"/>
      <c r="I111" s="5">
        <f t="shared" si="252"/>
        <v>82915</v>
      </c>
      <c r="K111" s="5">
        <f>80000*1.03</f>
        <v>82400</v>
      </c>
      <c r="L111" s="11"/>
      <c r="M111" s="5"/>
      <c r="N111" s="5"/>
      <c r="O111" s="5"/>
      <c r="P111" s="5"/>
      <c r="Q111" s="5"/>
      <c r="R111" s="5">
        <f t="shared" si="253"/>
        <v>82400</v>
      </c>
      <c r="T111" s="11">
        <f>80000*1.03</f>
        <v>82400</v>
      </c>
      <c r="U111" s="5"/>
      <c r="V111" s="5"/>
      <c r="W111" s="5"/>
      <c r="X111" s="5"/>
      <c r="Y111" s="5"/>
      <c r="Z111" s="5"/>
      <c r="AA111" s="5">
        <f t="shared" si="254"/>
        <v>82400</v>
      </c>
      <c r="AC111" s="11">
        <f>(65000+65000)*1.2*1.03</f>
        <v>160680</v>
      </c>
      <c r="AD111" s="11"/>
      <c r="AE111" s="5"/>
      <c r="AF111" s="5"/>
      <c r="AG111" s="5"/>
      <c r="AH111" s="5"/>
      <c r="AI111" s="5"/>
      <c r="AJ111" s="5">
        <f t="shared" si="255"/>
        <v>160680</v>
      </c>
      <c r="AL111" s="5">
        <f>(76000+60000)*1.2*1.03</f>
        <v>168096</v>
      </c>
      <c r="AM111" s="11"/>
      <c r="AN111" s="5"/>
      <c r="AO111" s="5"/>
      <c r="AP111" s="5"/>
      <c r="AQ111" s="5"/>
      <c r="AR111" s="5"/>
      <c r="AS111" s="5">
        <f t="shared" si="256"/>
        <v>168096</v>
      </c>
      <c r="AU111" s="5">
        <f>85000*1.03</f>
        <v>87550</v>
      </c>
      <c r="AV111" s="11"/>
      <c r="AW111" s="5"/>
      <c r="AX111" s="5"/>
      <c r="AY111" s="5"/>
      <c r="AZ111" s="5"/>
      <c r="BA111" s="5"/>
      <c r="BB111" s="5">
        <f t="shared" si="257"/>
        <v>87550</v>
      </c>
      <c r="BD111" s="5">
        <v>0</v>
      </c>
      <c r="BE111" s="11"/>
      <c r="BF111" s="5"/>
      <c r="BG111" s="5"/>
      <c r="BH111" s="5"/>
      <c r="BI111" s="5"/>
      <c r="BJ111" s="5"/>
      <c r="BK111" s="5">
        <f t="shared" si="258"/>
        <v>0</v>
      </c>
      <c r="BM111" s="5">
        <f>90000*1.03</f>
        <v>92700</v>
      </c>
      <c r="BN111" s="11"/>
      <c r="BO111" s="5"/>
      <c r="BP111" s="5"/>
      <c r="BQ111" s="5"/>
      <c r="BR111" s="5"/>
      <c r="BS111" s="5"/>
      <c r="BT111" s="5">
        <f t="shared" si="259"/>
        <v>92700</v>
      </c>
      <c r="BV111" s="5">
        <f t="shared" si="260"/>
        <v>756741</v>
      </c>
      <c r="BW111" s="5">
        <f t="shared" si="260"/>
        <v>0</v>
      </c>
      <c r="BX111" s="5">
        <f t="shared" si="260"/>
        <v>0</v>
      </c>
      <c r="BY111" s="5">
        <f t="shared" si="260"/>
        <v>0</v>
      </c>
      <c r="BZ111" s="5">
        <f t="shared" si="260"/>
        <v>0</v>
      </c>
      <c r="CA111" s="5">
        <f t="shared" si="260"/>
        <v>0</v>
      </c>
      <c r="CB111" s="5"/>
      <c r="CC111" s="5">
        <f t="shared" si="261"/>
        <v>756741</v>
      </c>
    </row>
    <row r="112" spans="1:81">
      <c r="A112" s="29" t="s">
        <v>101</v>
      </c>
      <c r="B112" s="5">
        <v>0</v>
      </c>
      <c r="C112" s="11"/>
      <c r="D112" s="5"/>
      <c r="E112" s="5"/>
      <c r="F112" s="11"/>
      <c r="G112" s="5"/>
      <c r="H112" s="5"/>
      <c r="I112" s="5">
        <f t="shared" si="252"/>
        <v>0</v>
      </c>
      <c r="K112" s="5">
        <f>80000*1.03</f>
        <v>82400</v>
      </c>
      <c r="L112" s="11"/>
      <c r="M112" s="5"/>
      <c r="N112" s="5"/>
      <c r="O112" s="5"/>
      <c r="P112" s="5"/>
      <c r="Q112" s="5"/>
      <c r="R112" s="5">
        <f t="shared" si="253"/>
        <v>82400</v>
      </c>
      <c r="T112" s="11">
        <f>80000*1.03</f>
        <v>82400</v>
      </c>
      <c r="U112" s="5"/>
      <c r="V112" s="5"/>
      <c r="W112" s="5"/>
      <c r="X112" s="5"/>
      <c r="Y112" s="5"/>
      <c r="Z112" s="5"/>
      <c r="AA112" s="5">
        <f t="shared" si="254"/>
        <v>82400</v>
      </c>
      <c r="AC112" s="11">
        <f>(65000*AC44)*1.2*1.03</f>
        <v>321360</v>
      </c>
      <c r="AD112" s="11"/>
      <c r="AE112" s="5"/>
      <c r="AF112" s="5"/>
      <c r="AG112" s="5"/>
      <c r="AH112" s="5"/>
      <c r="AI112" s="5"/>
      <c r="AJ112" s="5">
        <f t="shared" si="255"/>
        <v>321360</v>
      </c>
      <c r="AL112" s="11">
        <f>(64000*AL44)*1.2*1.03</f>
        <v>237312</v>
      </c>
      <c r="AM112" s="11"/>
      <c r="AN112" s="5"/>
      <c r="AO112" s="5"/>
      <c r="AP112" s="5"/>
      <c r="AQ112" s="5"/>
      <c r="AR112" s="5"/>
      <c r="AS112" s="5">
        <f t="shared" si="256"/>
        <v>237312</v>
      </c>
      <c r="AU112" s="5"/>
      <c r="AV112" s="11"/>
      <c r="AW112" s="5"/>
      <c r="AX112" s="5"/>
      <c r="AY112" s="5"/>
      <c r="AZ112" s="5"/>
      <c r="BA112" s="5"/>
      <c r="BB112" s="5">
        <f t="shared" si="257"/>
        <v>0</v>
      </c>
      <c r="BD112" s="5">
        <v>0</v>
      </c>
      <c r="BE112" s="11"/>
      <c r="BF112" s="5"/>
      <c r="BG112" s="5"/>
      <c r="BH112" s="5"/>
      <c r="BI112" s="5"/>
      <c r="BJ112" s="5"/>
      <c r="BK112" s="5">
        <f t="shared" si="258"/>
        <v>0</v>
      </c>
      <c r="BM112" s="5">
        <v>0</v>
      </c>
      <c r="BN112" s="11"/>
      <c r="BO112" s="5"/>
      <c r="BP112" s="5"/>
      <c r="BQ112" s="5"/>
      <c r="BR112" s="5"/>
      <c r="BS112" s="5"/>
      <c r="BT112" s="5">
        <f t="shared" si="259"/>
        <v>0</v>
      </c>
      <c r="BV112" s="5">
        <f t="shared" si="260"/>
        <v>723472</v>
      </c>
      <c r="BW112" s="5">
        <f t="shared" si="260"/>
        <v>0</v>
      </c>
      <c r="BX112" s="5">
        <f t="shared" si="260"/>
        <v>0</v>
      </c>
      <c r="BY112" s="5">
        <f t="shared" si="260"/>
        <v>0</v>
      </c>
      <c r="BZ112" s="5">
        <f t="shared" si="260"/>
        <v>0</v>
      </c>
      <c r="CA112" s="5">
        <f t="shared" si="260"/>
        <v>0</v>
      </c>
      <c r="CB112" s="5"/>
      <c r="CC112" s="5">
        <f t="shared" si="261"/>
        <v>723472</v>
      </c>
    </row>
    <row r="113" spans="1:81">
      <c r="A113" s="29" t="s">
        <v>102</v>
      </c>
      <c r="B113" s="11"/>
      <c r="C113" s="11"/>
      <c r="D113" s="5"/>
      <c r="E113" s="5"/>
      <c r="F113" s="5"/>
      <c r="G113" s="5"/>
      <c r="H113" s="5"/>
      <c r="I113" s="5">
        <f t="shared" si="252"/>
        <v>0</v>
      </c>
      <c r="K113" s="11">
        <v>0</v>
      </c>
      <c r="L113" s="11"/>
      <c r="M113" s="5"/>
      <c r="N113" s="5"/>
      <c r="O113" s="5"/>
      <c r="P113" s="5"/>
      <c r="Q113" s="5"/>
      <c r="R113" s="5">
        <f t="shared" si="253"/>
        <v>0</v>
      </c>
      <c r="T113" s="5"/>
      <c r="U113" s="5"/>
      <c r="V113" s="5"/>
      <c r="W113" s="5"/>
      <c r="X113" s="5"/>
      <c r="Y113" s="5"/>
      <c r="Z113" s="5"/>
      <c r="AA113" s="5">
        <f t="shared" si="254"/>
        <v>0</v>
      </c>
      <c r="AC113" s="11">
        <f>55000*1.2*1.03</f>
        <v>67980</v>
      </c>
      <c r="AD113" s="11"/>
      <c r="AE113" s="5"/>
      <c r="AF113" s="5"/>
      <c r="AG113" s="5"/>
      <c r="AH113" s="5"/>
      <c r="AI113" s="5"/>
      <c r="AJ113" s="5">
        <f t="shared" si="255"/>
        <v>67980</v>
      </c>
      <c r="AL113" s="11"/>
      <c r="AM113" s="11"/>
      <c r="AN113" s="5"/>
      <c r="AO113" s="5"/>
      <c r="AP113" s="5"/>
      <c r="AQ113" s="5"/>
      <c r="AR113" s="5"/>
      <c r="AS113" s="5">
        <f t="shared" si="256"/>
        <v>0</v>
      </c>
      <c r="AU113" s="11"/>
      <c r="AV113" s="11"/>
      <c r="AW113" s="5"/>
      <c r="AX113" s="5"/>
      <c r="AY113" s="5"/>
      <c r="AZ113" s="5"/>
      <c r="BA113" s="5"/>
      <c r="BB113" s="5">
        <f t="shared" si="257"/>
        <v>0</v>
      </c>
      <c r="BD113" s="11">
        <v>0</v>
      </c>
      <c r="BE113" s="11"/>
      <c r="BF113" s="5"/>
      <c r="BG113" s="5"/>
      <c r="BH113" s="5"/>
      <c r="BI113" s="5"/>
      <c r="BJ113" s="5"/>
      <c r="BK113" s="5">
        <f t="shared" si="258"/>
        <v>0</v>
      </c>
      <c r="BM113" s="11"/>
      <c r="BN113" s="11"/>
      <c r="BO113" s="5"/>
      <c r="BP113" s="5"/>
      <c r="BQ113" s="5"/>
      <c r="BR113" s="5"/>
      <c r="BS113" s="5"/>
      <c r="BT113" s="5">
        <f t="shared" si="259"/>
        <v>0</v>
      </c>
      <c r="BV113" s="5">
        <f t="shared" si="260"/>
        <v>67980</v>
      </c>
      <c r="BW113" s="5">
        <f t="shared" si="260"/>
        <v>0</v>
      </c>
      <c r="BX113" s="5">
        <f t="shared" si="260"/>
        <v>0</v>
      </c>
      <c r="BY113" s="5">
        <f t="shared" si="260"/>
        <v>0</v>
      </c>
      <c r="BZ113" s="5">
        <f t="shared" si="260"/>
        <v>0</v>
      </c>
      <c r="CA113" s="5">
        <f t="shared" si="260"/>
        <v>0</v>
      </c>
      <c r="CB113" s="5"/>
      <c r="CC113" s="5">
        <f t="shared" si="261"/>
        <v>67980</v>
      </c>
    </row>
    <row r="114" spans="1:81">
      <c r="A114" s="29" t="s">
        <v>103</v>
      </c>
      <c r="B114" s="11">
        <f>60050*(B36-B35)</f>
        <v>2462050</v>
      </c>
      <c r="C114" s="11"/>
      <c r="D114" s="5"/>
      <c r="E114" s="5"/>
      <c r="F114" s="5"/>
      <c r="G114" s="5"/>
      <c r="H114" s="5"/>
      <c r="I114" s="5">
        <f t="shared" si="252"/>
        <v>2462050</v>
      </c>
      <c r="K114" s="11">
        <f>60500*(K36-K35)</f>
        <v>2601500</v>
      </c>
      <c r="L114" s="11"/>
      <c r="M114" s="5"/>
      <c r="N114" s="5"/>
      <c r="O114" s="5"/>
      <c r="P114" s="5"/>
      <c r="Q114" s="5"/>
      <c r="R114" s="5">
        <f t="shared" si="253"/>
        <v>2601500</v>
      </c>
      <c r="T114" s="5">
        <f>60500*(T36-T35)</f>
        <v>3267000</v>
      </c>
      <c r="U114" s="5"/>
      <c r="V114" s="5"/>
      <c r="W114" s="5"/>
      <c r="X114" s="5"/>
      <c r="Y114" s="5"/>
      <c r="Z114" s="5"/>
      <c r="AA114" s="5">
        <f t="shared" si="254"/>
        <v>3267000</v>
      </c>
      <c r="AC114" s="11">
        <f>63500*(AC36-AC35)</f>
        <v>6032500</v>
      </c>
      <c r="AD114" s="11"/>
      <c r="AE114" s="5"/>
      <c r="AF114" s="5"/>
      <c r="AG114" s="5"/>
      <c r="AH114" s="5"/>
      <c r="AI114" s="5"/>
      <c r="AJ114" s="5">
        <f t="shared" si="255"/>
        <v>6032500</v>
      </c>
      <c r="AL114" s="11">
        <f>62000*(AL36-AL35)+(500*30)</f>
        <v>5843000</v>
      </c>
      <c r="AM114" s="11"/>
      <c r="AN114" s="5"/>
      <c r="AO114" s="5"/>
      <c r="AP114" s="5"/>
      <c r="AQ114" s="5"/>
      <c r="AR114" s="5"/>
      <c r="AS114" s="5">
        <f t="shared" si="256"/>
        <v>5843000</v>
      </c>
      <c r="AU114" s="11">
        <f>60000*(AU36-AU35)</f>
        <v>0</v>
      </c>
      <c r="AV114" s="11"/>
      <c r="AW114" s="5"/>
      <c r="AX114" s="5"/>
      <c r="AY114" s="5"/>
      <c r="AZ114" s="5"/>
      <c r="BA114" s="5"/>
      <c r="BB114" s="5">
        <f t="shared" si="257"/>
        <v>0</v>
      </c>
      <c r="BD114" s="11">
        <f>62000*(BD36-BD35)</f>
        <v>806000</v>
      </c>
      <c r="BE114" s="11"/>
      <c r="BF114" s="5"/>
      <c r="BG114" s="5"/>
      <c r="BH114" s="5"/>
      <c r="BI114" s="5"/>
      <c r="BJ114" s="5"/>
      <c r="BK114" s="5">
        <f t="shared" si="258"/>
        <v>806000</v>
      </c>
      <c r="BM114" s="11">
        <v>80500</v>
      </c>
      <c r="BN114" s="11"/>
      <c r="BO114" s="5"/>
      <c r="BP114" s="5"/>
      <c r="BQ114" s="5"/>
      <c r="BR114" s="5"/>
      <c r="BS114" s="5"/>
      <c r="BT114" s="5">
        <f t="shared" si="259"/>
        <v>80500</v>
      </c>
      <c r="BV114" s="5">
        <f t="shared" si="260"/>
        <v>21092550</v>
      </c>
      <c r="BW114" s="5">
        <f t="shared" si="260"/>
        <v>0</v>
      </c>
      <c r="BX114" s="5">
        <f t="shared" si="260"/>
        <v>0</v>
      </c>
      <c r="BY114" s="5">
        <f t="shared" si="260"/>
        <v>0</v>
      </c>
      <c r="BZ114" s="5">
        <f t="shared" si="260"/>
        <v>0</v>
      </c>
      <c r="CA114" s="5">
        <f t="shared" si="260"/>
        <v>0</v>
      </c>
      <c r="CB114" s="5"/>
      <c r="CC114" s="5">
        <f t="shared" si="261"/>
        <v>21092550</v>
      </c>
    </row>
    <row r="115" spans="1:81">
      <c r="A115" s="29" t="s">
        <v>30</v>
      </c>
      <c r="B115" s="11"/>
      <c r="C115" s="11">
        <f>60050*C36</f>
        <v>300250</v>
      </c>
      <c r="D115" s="5"/>
      <c r="E115" s="5"/>
      <c r="F115" s="5"/>
      <c r="G115" s="5"/>
      <c r="H115" s="5"/>
      <c r="I115" s="5">
        <f t="shared" si="252"/>
        <v>300250</v>
      </c>
      <c r="K115" s="11"/>
      <c r="L115" s="11">
        <f>60500*L36</f>
        <v>242000</v>
      </c>
      <c r="M115" s="5"/>
      <c r="N115" s="5"/>
      <c r="O115" s="5"/>
      <c r="P115" s="5"/>
      <c r="Q115" s="5"/>
      <c r="R115" s="5">
        <f t="shared" si="253"/>
        <v>242000</v>
      </c>
      <c r="T115" s="5"/>
      <c r="U115" s="5">
        <f>60500*U36</f>
        <v>302500</v>
      </c>
      <c r="V115" s="5"/>
      <c r="W115" s="5"/>
      <c r="X115" s="5"/>
      <c r="Y115" s="5"/>
      <c r="Z115" s="5"/>
      <c r="AA115" s="5">
        <f t="shared" si="254"/>
        <v>302500</v>
      </c>
      <c r="AC115" s="11"/>
      <c r="AD115" s="11">
        <f>63500*AD36</f>
        <v>825500</v>
      </c>
      <c r="AE115" s="5"/>
      <c r="AF115" s="5"/>
      <c r="AG115" s="5"/>
      <c r="AH115" s="5"/>
      <c r="AI115" s="5"/>
      <c r="AJ115" s="5">
        <f t="shared" si="255"/>
        <v>825500</v>
      </c>
      <c r="AL115" s="11"/>
      <c r="AM115" s="11">
        <f>62000*AM36</f>
        <v>744000</v>
      </c>
      <c r="AN115" s="5"/>
      <c r="AO115" s="5"/>
      <c r="AP115" s="5"/>
      <c r="AQ115" s="5"/>
      <c r="AR115" s="5"/>
      <c r="AS115" s="5">
        <f t="shared" si="256"/>
        <v>744000</v>
      </c>
      <c r="AU115" s="11"/>
      <c r="AV115" s="11">
        <f>78425*1.03</f>
        <v>80777.75</v>
      </c>
      <c r="AW115" s="5"/>
      <c r="AX115" s="5"/>
      <c r="AY115" s="5"/>
      <c r="AZ115" s="5"/>
      <c r="BA115" s="5"/>
      <c r="BB115" s="5">
        <f t="shared" si="257"/>
        <v>80777.75</v>
      </c>
      <c r="BD115" s="11"/>
      <c r="BE115" s="11">
        <f>62000*BE36</f>
        <v>62000</v>
      </c>
      <c r="BF115" s="5"/>
      <c r="BG115" s="5"/>
      <c r="BH115" s="5"/>
      <c r="BI115" s="5"/>
      <c r="BJ115" s="5"/>
      <c r="BK115" s="5">
        <f t="shared" si="258"/>
        <v>62000</v>
      </c>
      <c r="BM115" s="11"/>
      <c r="BN115" s="11">
        <f>60000*BN36</f>
        <v>0</v>
      </c>
      <c r="BO115" s="5"/>
      <c r="BP115" s="5"/>
      <c r="BQ115" s="5"/>
      <c r="BR115" s="5"/>
      <c r="BS115" s="5"/>
      <c r="BT115" s="5">
        <f t="shared" si="259"/>
        <v>0</v>
      </c>
      <c r="BV115" s="5">
        <f t="shared" si="260"/>
        <v>0</v>
      </c>
      <c r="BW115" s="5">
        <f t="shared" si="260"/>
        <v>2557027.75</v>
      </c>
      <c r="BX115" s="5">
        <f t="shared" si="260"/>
        <v>0</v>
      </c>
      <c r="BY115" s="5">
        <f t="shared" si="260"/>
        <v>0</v>
      </c>
      <c r="BZ115" s="5">
        <f t="shared" si="260"/>
        <v>0</v>
      </c>
      <c r="CA115" s="5">
        <f t="shared" si="260"/>
        <v>0</v>
      </c>
      <c r="CB115" s="5"/>
      <c r="CC115" s="5">
        <f t="shared" si="261"/>
        <v>2557027.75</v>
      </c>
    </row>
    <row r="116" spans="1:81">
      <c r="A116" s="29" t="s">
        <v>104</v>
      </c>
      <c r="B116" s="11">
        <f>(51000+42000)*1.2*1.03+(21*8*190)</f>
        <v>146868</v>
      </c>
      <c r="C116" s="11"/>
      <c r="D116" s="5"/>
      <c r="E116" s="5"/>
      <c r="F116" s="5"/>
      <c r="G116" s="5"/>
      <c r="H116" s="5"/>
      <c r="I116" s="5">
        <f t="shared" si="252"/>
        <v>146868</v>
      </c>
      <c r="K116" s="11">
        <f>(51000+53000)*1.2*1.03</f>
        <v>128544</v>
      </c>
      <c r="L116" s="11"/>
      <c r="M116" s="5"/>
      <c r="N116" s="5"/>
      <c r="O116" s="5"/>
      <c r="P116" s="5"/>
      <c r="Q116" s="5"/>
      <c r="R116" s="5">
        <f t="shared" si="253"/>
        <v>128544</v>
      </c>
      <c r="T116" s="11">
        <f>((51910+41000))*1.2*1.03</f>
        <v>114836.76000000001</v>
      </c>
      <c r="U116" s="5"/>
      <c r="V116" s="5"/>
      <c r="W116" s="5"/>
      <c r="X116" s="5"/>
      <c r="Y116" s="5"/>
      <c r="Z116" s="5"/>
      <c r="AA116" s="5">
        <f t="shared" si="254"/>
        <v>114836.76000000001</v>
      </c>
      <c r="AC116" s="11">
        <f>(50000*4)*1.2*1.03</f>
        <v>247200</v>
      </c>
      <c r="AD116" s="11"/>
      <c r="AE116" s="5"/>
      <c r="AF116" s="5"/>
      <c r="AG116" s="5"/>
      <c r="AH116" s="5"/>
      <c r="AI116" s="5"/>
      <c r="AJ116" s="5">
        <f t="shared" si="255"/>
        <v>247200</v>
      </c>
      <c r="AL116" s="11">
        <f>((50000*2))+((47000*2))*1.2*1.03</f>
        <v>216184</v>
      </c>
      <c r="AM116" s="11"/>
      <c r="AN116" s="5"/>
      <c r="AO116" s="5"/>
      <c r="AP116" s="5"/>
      <c r="AQ116" s="5"/>
      <c r="AR116" s="5"/>
      <c r="AS116" s="5">
        <f t="shared" si="256"/>
        <v>216184</v>
      </c>
      <c r="AU116" s="11">
        <v>0</v>
      </c>
      <c r="AV116" s="11"/>
      <c r="AW116" s="5"/>
      <c r="AX116" s="5"/>
      <c r="AY116" s="5"/>
      <c r="AZ116" s="5"/>
      <c r="BA116" s="5"/>
      <c r="BB116" s="5">
        <f t="shared" si="257"/>
        <v>0</v>
      </c>
      <c r="BD116" s="11">
        <f>50000*1.03</f>
        <v>51500</v>
      </c>
      <c r="BE116" s="11"/>
      <c r="BF116" s="5"/>
      <c r="BG116" s="5"/>
      <c r="BH116" s="5"/>
      <c r="BI116" s="5"/>
      <c r="BJ116" s="5"/>
      <c r="BK116" s="5">
        <f t="shared" si="258"/>
        <v>51500</v>
      </c>
      <c r="BM116" s="11">
        <f>90000*1.03</f>
        <v>92700</v>
      </c>
      <c r="BN116" s="11"/>
      <c r="BO116" s="5"/>
      <c r="BP116" s="5"/>
      <c r="BQ116" s="5"/>
      <c r="BR116" s="5"/>
      <c r="BS116" s="5"/>
      <c r="BT116" s="5">
        <f t="shared" si="259"/>
        <v>92700</v>
      </c>
      <c r="BV116" s="5">
        <f t="shared" si="260"/>
        <v>997832.76</v>
      </c>
      <c r="BW116" s="5">
        <f t="shared" si="260"/>
        <v>0</v>
      </c>
      <c r="BX116" s="5">
        <f t="shared" si="260"/>
        <v>0</v>
      </c>
      <c r="BY116" s="5">
        <f t="shared" si="260"/>
        <v>0</v>
      </c>
      <c r="BZ116" s="5">
        <f t="shared" si="260"/>
        <v>0</v>
      </c>
      <c r="CA116" s="5">
        <f t="shared" si="260"/>
        <v>0</v>
      </c>
      <c r="CB116" s="5"/>
      <c r="CC116" s="5">
        <f t="shared" si="261"/>
        <v>997832.76</v>
      </c>
    </row>
    <row r="117" spans="1:81">
      <c r="A117" s="29" t="s">
        <v>105</v>
      </c>
      <c r="B117" s="11">
        <f>(20*8*190)*(B48+B49)</f>
        <v>91200</v>
      </c>
      <c r="C117" s="11"/>
      <c r="D117" s="5"/>
      <c r="E117" s="5"/>
      <c r="F117" s="5"/>
      <c r="G117" s="5"/>
      <c r="H117" s="5"/>
      <c r="I117" s="5">
        <f t="shared" si="252"/>
        <v>91200</v>
      </c>
      <c r="K117" s="11">
        <f>(20*8*190)*(K48+K49)</f>
        <v>91200</v>
      </c>
      <c r="L117" s="11"/>
      <c r="M117" s="5"/>
      <c r="N117" s="5"/>
      <c r="O117" s="5"/>
      <c r="P117" s="5"/>
      <c r="Q117" s="5"/>
      <c r="R117" s="5">
        <f t="shared" si="253"/>
        <v>91200</v>
      </c>
      <c r="T117" s="11">
        <f>(20*8*185)*(T48+T49)</f>
        <v>88800</v>
      </c>
      <c r="U117" s="5"/>
      <c r="V117" s="5"/>
      <c r="W117" s="5"/>
      <c r="X117" s="5"/>
      <c r="Y117" s="5"/>
      <c r="Z117" s="5"/>
      <c r="AA117" s="5">
        <f t="shared" si="254"/>
        <v>88800</v>
      </c>
      <c r="AC117" s="11">
        <f>(21*8*190)*(AC48+AC49)</f>
        <v>255360</v>
      </c>
      <c r="AD117" s="11"/>
      <c r="AE117" s="5"/>
      <c r="AF117" s="5"/>
      <c r="AG117" s="5"/>
      <c r="AH117" s="5"/>
      <c r="AI117" s="5"/>
      <c r="AJ117" s="5">
        <f t="shared" si="255"/>
        <v>255360</v>
      </c>
      <c r="AL117" s="11">
        <f>(20*8*190)*(AL48+AL49)</f>
        <v>182400</v>
      </c>
      <c r="AM117" s="11"/>
      <c r="AN117" s="5"/>
      <c r="AO117" s="5"/>
      <c r="AP117" s="5"/>
      <c r="AQ117" s="5"/>
      <c r="AR117" s="5"/>
      <c r="AS117" s="5">
        <f t="shared" si="256"/>
        <v>182400</v>
      </c>
      <c r="AU117" s="11">
        <f>(23*8*190)*(AU48+AU49)</f>
        <v>0</v>
      </c>
      <c r="AV117" s="11"/>
      <c r="AW117" s="5"/>
      <c r="AX117" s="5"/>
      <c r="AY117" s="5"/>
      <c r="AZ117" s="5"/>
      <c r="BA117" s="5"/>
      <c r="BB117" s="5">
        <f t="shared" si="257"/>
        <v>0</v>
      </c>
      <c r="BD117" s="11">
        <f>(21*8*190)*(BD48+BD49)</f>
        <v>31920</v>
      </c>
      <c r="BE117" s="11"/>
      <c r="BF117" s="5"/>
      <c r="BG117" s="5"/>
      <c r="BH117" s="5"/>
      <c r="BI117" s="5"/>
      <c r="BJ117" s="5"/>
      <c r="BK117" s="5">
        <f t="shared" si="258"/>
        <v>31920</v>
      </c>
      <c r="BM117" s="11">
        <f>(23*8*190)*(BM48+BM49)</f>
        <v>0</v>
      </c>
      <c r="BN117" s="11"/>
      <c r="BO117" s="5"/>
      <c r="BP117" s="5"/>
      <c r="BQ117" s="5"/>
      <c r="BR117" s="5"/>
      <c r="BS117" s="5"/>
      <c r="BT117" s="5">
        <f t="shared" si="259"/>
        <v>0</v>
      </c>
      <c r="BV117" s="5">
        <f t="shared" si="260"/>
        <v>740880</v>
      </c>
      <c r="BW117" s="5">
        <f t="shared" si="260"/>
        <v>0</v>
      </c>
      <c r="BX117" s="5">
        <f t="shared" si="260"/>
        <v>0</v>
      </c>
      <c r="BY117" s="5">
        <f t="shared" si="260"/>
        <v>0</v>
      </c>
      <c r="BZ117" s="5">
        <f t="shared" si="260"/>
        <v>0</v>
      </c>
      <c r="CA117" s="5">
        <f t="shared" si="260"/>
        <v>0</v>
      </c>
      <c r="CB117" s="5"/>
      <c r="CC117" s="5">
        <f t="shared" si="261"/>
        <v>740880</v>
      </c>
    </row>
    <row r="118" spans="1:81">
      <c r="A118" s="29" t="s">
        <v>106</v>
      </c>
      <c r="B118" s="11">
        <f>(20*7.55*180)*B50</f>
        <v>108720</v>
      </c>
      <c r="C118" s="11">
        <f>(20*8*180)*C50</f>
        <v>115200</v>
      </c>
      <c r="D118" s="11">
        <f>(20*8*180)*D50</f>
        <v>28800</v>
      </c>
      <c r="E118" s="11">
        <f t="shared" ref="E118" si="262">(19*8*180)*E50</f>
        <v>0</v>
      </c>
      <c r="F118" s="5"/>
      <c r="G118" s="5"/>
      <c r="H118" s="5"/>
      <c r="I118" s="5">
        <f t="shared" si="252"/>
        <v>252720</v>
      </c>
      <c r="K118" s="11">
        <f>(20*7.5*180)*K50</f>
        <v>189000</v>
      </c>
      <c r="L118" s="11">
        <f>(20*7.5*180)*L50</f>
        <v>108000</v>
      </c>
      <c r="M118" s="11">
        <f>(20*7.5*180)*M50</f>
        <v>27000</v>
      </c>
      <c r="N118" s="11">
        <f t="shared" ref="N118" si="263">(19*8*180)*N50</f>
        <v>0</v>
      </c>
      <c r="O118" s="5">
        <f>(14*8*180)*O50</f>
        <v>0</v>
      </c>
      <c r="P118" s="5"/>
      <c r="Q118" s="5"/>
      <c r="R118" s="5">
        <f t="shared" si="253"/>
        <v>324000</v>
      </c>
      <c r="T118" s="5">
        <f>(20*8*180)*T50</f>
        <v>144000</v>
      </c>
      <c r="U118" s="5">
        <f>(20*8*180)*U50</f>
        <v>144000</v>
      </c>
      <c r="V118" s="5">
        <f>(20*8*180)*V50</f>
        <v>28800</v>
      </c>
      <c r="W118" s="5">
        <f t="shared" ref="W118:Z118" si="264">(19*8*180)*W50</f>
        <v>0</v>
      </c>
      <c r="X118" s="5">
        <f t="shared" si="264"/>
        <v>0</v>
      </c>
      <c r="Y118" s="5">
        <f t="shared" si="264"/>
        <v>0</v>
      </c>
      <c r="Z118" s="5">
        <f t="shared" si="264"/>
        <v>0</v>
      </c>
      <c r="AA118" s="5">
        <f t="shared" si="254"/>
        <v>316800</v>
      </c>
      <c r="AC118" s="11">
        <f>(21*7.92*180)*AC50</f>
        <v>329313.59999999998</v>
      </c>
      <c r="AD118" s="11">
        <f>(21*8*180)*AD50</f>
        <v>393120</v>
      </c>
      <c r="AE118" s="11">
        <f>(21*6*180)*AE50</f>
        <v>68040</v>
      </c>
      <c r="AF118" s="11">
        <f t="shared" ref="AF118" si="265">(19*8*180)*AF50</f>
        <v>0</v>
      </c>
      <c r="AG118" s="5">
        <f>(14*8*180)*AG50</f>
        <v>0</v>
      </c>
      <c r="AH118" s="5"/>
      <c r="AI118" s="5"/>
      <c r="AJ118" s="5">
        <f t="shared" si="255"/>
        <v>790473.6</v>
      </c>
      <c r="AL118" s="11">
        <f>(20*8*180)*AL50</f>
        <v>144000</v>
      </c>
      <c r="AM118" s="11">
        <f>(20*8*180)*AM50</f>
        <v>345600</v>
      </c>
      <c r="AN118" s="11">
        <f>(20*6*180)*AN50</f>
        <v>64800</v>
      </c>
      <c r="AO118" s="11">
        <f t="shared" ref="AO118" si="266">(20*8*180)*AO50</f>
        <v>0</v>
      </c>
      <c r="AP118" s="5">
        <f>(14*8*180)*AP50</f>
        <v>0</v>
      </c>
      <c r="AQ118" s="5"/>
      <c r="AR118" s="5"/>
      <c r="AS118" s="5">
        <f t="shared" si="256"/>
        <v>554400</v>
      </c>
      <c r="AU118" s="11">
        <f>(21*7.5*180)*AU50</f>
        <v>56700</v>
      </c>
      <c r="AV118" s="11">
        <f>(21*7.5*180)*AV50</f>
        <v>28350</v>
      </c>
      <c r="AW118" s="11">
        <f t="shared" ref="AW118:AY118" si="267">(19*8*180)*AW50</f>
        <v>0</v>
      </c>
      <c r="AX118" s="11">
        <f t="shared" si="267"/>
        <v>0</v>
      </c>
      <c r="AY118" s="11">
        <f t="shared" si="267"/>
        <v>0</v>
      </c>
      <c r="AZ118" s="5"/>
      <c r="BA118" s="5"/>
      <c r="BB118" s="5">
        <f t="shared" si="257"/>
        <v>85050</v>
      </c>
      <c r="BD118" s="11">
        <f>(21*8*180)*BD50</f>
        <v>60480</v>
      </c>
      <c r="BE118" s="11">
        <f t="shared" ref="BE118:BJ118" si="268">(20*8*180)*BE50</f>
        <v>0</v>
      </c>
      <c r="BF118" s="11">
        <f t="shared" si="268"/>
        <v>0</v>
      </c>
      <c r="BG118" s="11">
        <f t="shared" si="268"/>
        <v>0</v>
      </c>
      <c r="BH118" s="11">
        <f>(20*8*180)*BH50</f>
        <v>0</v>
      </c>
      <c r="BI118" s="11">
        <f t="shared" si="268"/>
        <v>0</v>
      </c>
      <c r="BJ118" s="11">
        <f t="shared" si="268"/>
        <v>0</v>
      </c>
      <c r="BK118" s="5">
        <f t="shared" si="258"/>
        <v>60480</v>
      </c>
      <c r="BM118" s="11">
        <f>26*3*185</f>
        <v>14430</v>
      </c>
      <c r="BN118" s="11">
        <f t="shared" ref="BN118:BO118" si="269">(18*8*180)*BN50</f>
        <v>0</v>
      </c>
      <c r="BO118" s="11">
        <f t="shared" si="269"/>
        <v>0</v>
      </c>
      <c r="BP118" s="5"/>
      <c r="BQ118" s="5">
        <f>(14*8*180)*BQ50</f>
        <v>0</v>
      </c>
      <c r="BR118" s="5"/>
      <c r="BS118" s="5"/>
      <c r="BT118" s="5">
        <f t="shared" si="259"/>
        <v>14430</v>
      </c>
      <c r="BV118" s="5">
        <f t="shared" si="260"/>
        <v>1046643.6</v>
      </c>
      <c r="BW118" s="5">
        <f t="shared" si="260"/>
        <v>1134270</v>
      </c>
      <c r="BX118" s="5">
        <f t="shared" si="260"/>
        <v>217440</v>
      </c>
      <c r="BY118" s="5">
        <f t="shared" si="260"/>
        <v>0</v>
      </c>
      <c r="BZ118" s="5">
        <f t="shared" si="260"/>
        <v>0</v>
      </c>
      <c r="CA118" s="5">
        <f t="shared" si="260"/>
        <v>0</v>
      </c>
      <c r="CB118" s="5"/>
      <c r="CC118" s="5">
        <f t="shared" si="261"/>
        <v>2398353.6</v>
      </c>
    </row>
    <row r="119" spans="1:81">
      <c r="A119" s="29" t="s">
        <v>107</v>
      </c>
      <c r="B119" s="11">
        <f>(26*8*240)+(22*8*240)</f>
        <v>92160</v>
      </c>
      <c r="C119" s="11"/>
      <c r="D119" s="5"/>
      <c r="E119" s="5"/>
      <c r="F119" s="5"/>
      <c r="G119" s="5"/>
      <c r="H119" s="5"/>
      <c r="I119" s="5">
        <f t="shared" si="252"/>
        <v>92160</v>
      </c>
      <c r="K119" s="11">
        <f>(22*8*240)*(K51)</f>
        <v>126720</v>
      </c>
      <c r="L119" s="11"/>
      <c r="M119" s="5"/>
      <c r="N119" s="5"/>
      <c r="O119" s="5"/>
      <c r="P119" s="5"/>
      <c r="Q119" s="5"/>
      <c r="R119" s="5">
        <f t="shared" si="253"/>
        <v>126720</v>
      </c>
      <c r="T119" s="11">
        <f>(23*8*240)*T51</f>
        <v>132480</v>
      </c>
      <c r="U119" s="5"/>
      <c r="V119" s="5"/>
      <c r="W119" s="5"/>
      <c r="X119" s="5"/>
      <c r="Y119" s="5"/>
      <c r="Z119" s="5"/>
      <c r="AA119" s="5">
        <f t="shared" si="254"/>
        <v>132480</v>
      </c>
      <c r="AC119" s="11">
        <f>((22*8*240)*AC51-1)+(60000*1.03)</f>
        <v>357479</v>
      </c>
      <c r="AD119" s="11"/>
      <c r="AE119" s="5"/>
      <c r="AF119" s="5"/>
      <c r="AG119" s="5"/>
      <c r="AH119" s="5"/>
      <c r="AI119" s="5"/>
      <c r="AJ119" s="5">
        <f t="shared" si="255"/>
        <v>357479</v>
      </c>
      <c r="AL119" s="11">
        <f>(21*8*240)*AL51</f>
        <v>322560</v>
      </c>
      <c r="AM119" s="11"/>
      <c r="AN119" s="5"/>
      <c r="AO119" s="5"/>
      <c r="AP119" s="5"/>
      <c r="AQ119" s="5"/>
      <c r="AR119" s="5"/>
      <c r="AS119" s="5">
        <f t="shared" si="256"/>
        <v>322560</v>
      </c>
      <c r="AU119" s="11">
        <f>(21*8*240)*AU51</f>
        <v>0</v>
      </c>
      <c r="AV119" s="11"/>
      <c r="AW119" s="5"/>
      <c r="AX119" s="5"/>
      <c r="AY119" s="5"/>
      <c r="AZ119" s="5"/>
      <c r="BA119" s="5"/>
      <c r="BB119" s="5">
        <f t="shared" si="257"/>
        <v>0</v>
      </c>
      <c r="BD119" s="11">
        <f>55000*1.03</f>
        <v>56650</v>
      </c>
      <c r="BE119" s="11"/>
      <c r="BF119" s="5"/>
      <c r="BG119" s="5"/>
      <c r="BH119" s="5"/>
      <c r="BI119" s="5"/>
      <c r="BJ119" s="5"/>
      <c r="BK119" s="5">
        <f t="shared" si="258"/>
        <v>56650</v>
      </c>
      <c r="BM119" s="11">
        <f>(21*8*240)*BM51</f>
        <v>0</v>
      </c>
      <c r="BN119" s="11"/>
      <c r="BO119" s="5"/>
      <c r="BP119" s="5"/>
      <c r="BQ119" s="5"/>
      <c r="BR119" s="5"/>
      <c r="BS119" s="5"/>
      <c r="BT119" s="5">
        <f t="shared" si="259"/>
        <v>0</v>
      </c>
      <c r="BV119" s="5">
        <f t="shared" si="260"/>
        <v>1088049</v>
      </c>
      <c r="BW119" s="5">
        <f t="shared" si="260"/>
        <v>0</v>
      </c>
      <c r="BX119" s="5">
        <f t="shared" si="260"/>
        <v>0</v>
      </c>
      <c r="BY119" s="5">
        <f t="shared" si="260"/>
        <v>0</v>
      </c>
      <c r="BZ119" s="5">
        <f t="shared" si="260"/>
        <v>0</v>
      </c>
      <c r="CA119" s="5">
        <f t="shared" si="260"/>
        <v>0</v>
      </c>
      <c r="CB119" s="5"/>
      <c r="CC119" s="5">
        <f t="shared" si="261"/>
        <v>1088049</v>
      </c>
    </row>
    <row r="120" spans="1:81">
      <c r="A120" s="29" t="s">
        <v>53</v>
      </c>
      <c r="B120" s="11"/>
      <c r="C120" s="11"/>
      <c r="D120" s="5">
        <f>23.25*8*180</f>
        <v>33480</v>
      </c>
      <c r="E120" s="5"/>
      <c r="F120" s="5"/>
      <c r="G120" s="5"/>
      <c r="H120" s="5"/>
      <c r="I120" s="5">
        <f t="shared" si="252"/>
        <v>33480</v>
      </c>
      <c r="K120" s="11"/>
      <c r="L120" s="11"/>
      <c r="M120" s="5">
        <f>32000*1.25*1.03</f>
        <v>41200</v>
      </c>
      <c r="N120" s="5"/>
      <c r="O120" s="5"/>
      <c r="P120" s="5"/>
      <c r="Q120" s="5"/>
      <c r="R120" s="5">
        <f t="shared" si="253"/>
        <v>41200</v>
      </c>
      <c r="T120" s="5"/>
      <c r="U120" s="5"/>
      <c r="V120" s="5">
        <f>(23*8*180)*V52</f>
        <v>33120</v>
      </c>
      <c r="W120" s="5"/>
      <c r="X120" s="5"/>
      <c r="Y120" s="5"/>
      <c r="Z120" s="5"/>
      <c r="AA120" s="5">
        <f t="shared" si="254"/>
        <v>33120</v>
      </c>
      <c r="AC120" s="11"/>
      <c r="AD120" s="11"/>
      <c r="AE120" s="11">
        <f>(22*8*180)*AE52</f>
        <v>95040</v>
      </c>
      <c r="AF120" s="5"/>
      <c r="AG120" s="5"/>
      <c r="AH120" s="5"/>
      <c r="AI120" s="5"/>
      <c r="AJ120" s="5">
        <f t="shared" si="255"/>
        <v>95040</v>
      </c>
      <c r="AL120" s="11"/>
      <c r="AM120" s="11"/>
      <c r="AN120" s="11">
        <f>(21*8*180)*AN52</f>
        <v>30240</v>
      </c>
      <c r="AO120" s="5"/>
      <c r="AP120" s="5"/>
      <c r="AQ120" s="5"/>
      <c r="AR120" s="5"/>
      <c r="AS120" s="5">
        <f t="shared" si="256"/>
        <v>30240</v>
      </c>
      <c r="AU120" s="11"/>
      <c r="AV120" s="11"/>
      <c r="AW120" s="5">
        <v>0</v>
      </c>
      <c r="AX120" s="5"/>
      <c r="AY120" s="5"/>
      <c r="AZ120" s="5"/>
      <c r="BA120" s="5"/>
      <c r="BB120" s="5">
        <f t="shared" si="257"/>
        <v>0</v>
      </c>
      <c r="BD120" s="11"/>
      <c r="BE120" s="11"/>
      <c r="BF120" s="5">
        <f>20*8*180*BF52</f>
        <v>28800</v>
      </c>
      <c r="BG120" s="5"/>
      <c r="BH120" s="5"/>
      <c r="BI120" s="5"/>
      <c r="BJ120" s="5"/>
      <c r="BK120" s="5">
        <f t="shared" si="258"/>
        <v>28800</v>
      </c>
      <c r="BM120" s="11"/>
      <c r="BN120" s="11"/>
      <c r="BO120" s="5">
        <f>26*4*175</f>
        <v>18200</v>
      </c>
      <c r="BP120" s="5"/>
      <c r="BQ120" s="5"/>
      <c r="BR120" s="5"/>
      <c r="BS120" s="5"/>
      <c r="BT120" s="5">
        <f t="shared" si="259"/>
        <v>18200</v>
      </c>
      <c r="BV120" s="5">
        <f t="shared" si="260"/>
        <v>0</v>
      </c>
      <c r="BW120" s="5">
        <f t="shared" si="260"/>
        <v>0</v>
      </c>
      <c r="BX120" s="5">
        <f t="shared" si="260"/>
        <v>280080</v>
      </c>
      <c r="BY120" s="5">
        <f t="shared" si="260"/>
        <v>0</v>
      </c>
      <c r="BZ120" s="5">
        <f t="shared" si="260"/>
        <v>0</v>
      </c>
      <c r="CA120" s="5">
        <f t="shared" si="260"/>
        <v>0</v>
      </c>
      <c r="CB120" s="5"/>
      <c r="CC120" s="5">
        <f t="shared" si="261"/>
        <v>280080</v>
      </c>
    </row>
    <row r="121" spans="1:81" ht="15">
      <c r="A121" s="64" t="s">
        <v>108</v>
      </c>
      <c r="B121" s="65">
        <f>SUM(B107:B120)</f>
        <v>3462055.48</v>
      </c>
      <c r="C121" s="65">
        <f t="shared" ref="C121:I121" si="270">SUM(C107:C120)</f>
        <v>415450</v>
      </c>
      <c r="D121" s="65">
        <f t="shared" si="270"/>
        <v>62280</v>
      </c>
      <c r="E121" s="65">
        <f t="shared" si="270"/>
        <v>0</v>
      </c>
      <c r="F121" s="65">
        <f t="shared" si="270"/>
        <v>0</v>
      </c>
      <c r="G121" s="65">
        <f t="shared" si="270"/>
        <v>0</v>
      </c>
      <c r="H121" s="65">
        <f t="shared" si="270"/>
        <v>0</v>
      </c>
      <c r="I121" s="65">
        <f t="shared" si="270"/>
        <v>3939785.48</v>
      </c>
      <c r="J121" s="7"/>
      <c r="K121" s="65">
        <f>SUM(K107:K120)</f>
        <v>3787574.83</v>
      </c>
      <c r="L121" s="65">
        <f t="shared" ref="L121:R121" si="271">SUM(L107:L120)</f>
        <v>350000</v>
      </c>
      <c r="M121" s="65">
        <f t="shared" si="271"/>
        <v>68200</v>
      </c>
      <c r="N121" s="65"/>
      <c r="O121" s="65">
        <f t="shared" si="271"/>
        <v>0</v>
      </c>
      <c r="P121" s="65">
        <f t="shared" si="271"/>
        <v>0</v>
      </c>
      <c r="Q121" s="65">
        <f t="shared" si="271"/>
        <v>0</v>
      </c>
      <c r="R121" s="65">
        <f t="shared" si="271"/>
        <v>4205774.83</v>
      </c>
      <c r="T121" s="65">
        <f>SUM(T107:T120)</f>
        <v>4477283.76</v>
      </c>
      <c r="U121" s="65">
        <f t="shared" ref="U121:AA121" si="272">SUM(U107:U120)</f>
        <v>446500</v>
      </c>
      <c r="V121" s="65">
        <f t="shared" si="272"/>
        <v>61920</v>
      </c>
      <c r="W121" s="65"/>
      <c r="X121" s="65">
        <f t="shared" si="272"/>
        <v>0</v>
      </c>
      <c r="Y121" s="65">
        <f t="shared" si="272"/>
        <v>0</v>
      </c>
      <c r="Z121" s="65">
        <f t="shared" si="272"/>
        <v>0</v>
      </c>
      <c r="AA121" s="65">
        <f t="shared" si="272"/>
        <v>4985703.76</v>
      </c>
      <c r="AC121" s="65">
        <f>SUM(AC107:AC120)</f>
        <v>8750166.5999999996</v>
      </c>
      <c r="AD121" s="65">
        <f t="shared" ref="AD121:AJ121" si="273">SUM(AD107:AD120)</f>
        <v>1218620</v>
      </c>
      <c r="AE121" s="65">
        <f t="shared" si="273"/>
        <v>163080</v>
      </c>
      <c r="AF121" s="65">
        <f t="shared" si="273"/>
        <v>0</v>
      </c>
      <c r="AG121" s="65">
        <f t="shared" si="273"/>
        <v>0</v>
      </c>
      <c r="AH121" s="65">
        <f t="shared" si="273"/>
        <v>0</v>
      </c>
      <c r="AI121" s="65">
        <f t="shared" si="273"/>
        <v>0</v>
      </c>
      <c r="AJ121" s="65">
        <f t="shared" si="273"/>
        <v>10131866.6</v>
      </c>
      <c r="AL121" s="65">
        <f>SUM(AL107:AL120)</f>
        <v>7984440.6899999995</v>
      </c>
      <c r="AM121" s="65">
        <f t="shared" ref="AM121:AS121" si="274">SUM(AM107:AM120)</f>
        <v>1089600</v>
      </c>
      <c r="AN121" s="65">
        <f t="shared" si="274"/>
        <v>95040</v>
      </c>
      <c r="AO121" s="65"/>
      <c r="AP121" s="65">
        <f t="shared" si="274"/>
        <v>0</v>
      </c>
      <c r="AQ121" s="65">
        <f t="shared" si="274"/>
        <v>0</v>
      </c>
      <c r="AR121" s="65">
        <f t="shared" si="274"/>
        <v>0</v>
      </c>
      <c r="AS121" s="65">
        <f t="shared" si="274"/>
        <v>9169080.6899999995</v>
      </c>
      <c r="AU121" s="65">
        <f>SUM(AU107:AU120)</f>
        <v>144250</v>
      </c>
      <c r="AV121" s="65">
        <f t="shared" ref="AV121:BB121" si="275">SUM(AV107:AV120)</f>
        <v>109127.75</v>
      </c>
      <c r="AW121" s="65">
        <f t="shared" si="275"/>
        <v>0</v>
      </c>
      <c r="AX121" s="65">
        <f t="shared" si="275"/>
        <v>0</v>
      </c>
      <c r="AY121" s="65">
        <f t="shared" si="275"/>
        <v>0</v>
      </c>
      <c r="AZ121" s="65">
        <f t="shared" si="275"/>
        <v>0</v>
      </c>
      <c r="BA121" s="65">
        <f t="shared" si="275"/>
        <v>0</v>
      </c>
      <c r="BB121" s="65">
        <f t="shared" si="275"/>
        <v>253377.75</v>
      </c>
      <c r="BD121" s="65">
        <f>SUM(BD107:BD120)</f>
        <v>1197100</v>
      </c>
      <c r="BE121" s="65">
        <f t="shared" ref="BE121:BK121" si="276">SUM(BE107:BE120)</f>
        <v>62000</v>
      </c>
      <c r="BF121" s="65">
        <f t="shared" si="276"/>
        <v>28800</v>
      </c>
      <c r="BG121" s="65">
        <f t="shared" si="276"/>
        <v>0</v>
      </c>
      <c r="BH121" s="65">
        <f t="shared" si="276"/>
        <v>0</v>
      </c>
      <c r="BI121" s="65">
        <f t="shared" si="276"/>
        <v>0</v>
      </c>
      <c r="BJ121" s="65">
        <f t="shared" si="276"/>
        <v>0</v>
      </c>
      <c r="BK121" s="65">
        <f t="shared" si="276"/>
        <v>1287900</v>
      </c>
      <c r="BM121" s="65">
        <f>SUM(BM107:BM120)</f>
        <v>280330</v>
      </c>
      <c r="BN121" s="65">
        <f t="shared" ref="BN121:BT121" si="277">SUM(BN107:BN120)</f>
        <v>0</v>
      </c>
      <c r="BO121" s="65">
        <f t="shared" si="277"/>
        <v>18200</v>
      </c>
      <c r="BP121" s="65">
        <f t="shared" si="277"/>
        <v>0</v>
      </c>
      <c r="BQ121" s="65">
        <f t="shared" si="277"/>
        <v>0</v>
      </c>
      <c r="BR121" s="65">
        <f t="shared" si="277"/>
        <v>0</v>
      </c>
      <c r="BS121" s="65">
        <f t="shared" si="277"/>
        <v>0</v>
      </c>
      <c r="BT121" s="65">
        <f t="shared" si="277"/>
        <v>298530</v>
      </c>
      <c r="BV121" s="65">
        <f>SUM(BV107:BV120)</f>
        <v>30083201.360000003</v>
      </c>
      <c r="BW121" s="65">
        <f t="shared" ref="BW121:CC121" si="278">SUM(BW107:BW120)</f>
        <v>3691297.75</v>
      </c>
      <c r="BX121" s="65">
        <f t="shared" si="278"/>
        <v>497520</v>
      </c>
      <c r="BY121" s="65">
        <f t="shared" si="278"/>
        <v>0</v>
      </c>
      <c r="BZ121" s="65">
        <f t="shared" si="278"/>
        <v>0</v>
      </c>
      <c r="CA121" s="65">
        <f t="shared" si="278"/>
        <v>0</v>
      </c>
      <c r="CB121" s="65">
        <f t="shared" si="278"/>
        <v>0</v>
      </c>
      <c r="CC121" s="65">
        <f t="shared" si="278"/>
        <v>34272019.109999999</v>
      </c>
    </row>
    <row r="122" spans="1:81" ht="15">
      <c r="A122" s="66" t="s">
        <v>109</v>
      </c>
      <c r="B122" s="49"/>
      <c r="C122" s="49"/>
      <c r="D122" s="49"/>
      <c r="E122" s="49"/>
      <c r="F122" s="49"/>
      <c r="G122" s="49"/>
      <c r="H122" s="49"/>
      <c r="I122" s="50"/>
      <c r="J122" s="7"/>
      <c r="K122" s="49"/>
      <c r="L122" s="49"/>
      <c r="M122" s="49"/>
      <c r="N122" s="49"/>
      <c r="O122" s="49"/>
      <c r="P122" s="49"/>
      <c r="Q122" s="49"/>
      <c r="R122" s="50"/>
      <c r="T122" s="49"/>
      <c r="U122" s="49"/>
      <c r="V122" s="49"/>
      <c r="W122" s="49"/>
      <c r="X122" s="49"/>
      <c r="Y122" s="49"/>
      <c r="Z122" s="49"/>
      <c r="AA122" s="50"/>
      <c r="AC122" s="49"/>
      <c r="AD122" s="49"/>
      <c r="AE122" s="49"/>
      <c r="AF122" s="49"/>
      <c r="AG122" s="49"/>
      <c r="AH122" s="49"/>
      <c r="AI122" s="49"/>
      <c r="AJ122" s="50"/>
      <c r="AL122" s="49"/>
      <c r="AM122" s="49"/>
      <c r="AN122" s="49"/>
      <c r="AO122" s="49"/>
      <c r="AP122" s="49"/>
      <c r="AQ122" s="49"/>
      <c r="AR122" s="49"/>
      <c r="AS122" s="50"/>
      <c r="AU122" s="49"/>
      <c r="AV122" s="49"/>
      <c r="AW122" s="49"/>
      <c r="AX122" s="49"/>
      <c r="AY122" s="49"/>
      <c r="AZ122" s="49"/>
      <c r="BA122" s="49"/>
      <c r="BB122" s="50"/>
      <c r="BD122" s="49"/>
      <c r="BE122" s="49"/>
      <c r="BF122" s="49"/>
      <c r="BG122" s="49"/>
      <c r="BH122" s="49"/>
      <c r="BI122" s="49"/>
      <c r="BJ122" s="49"/>
      <c r="BK122" s="50"/>
      <c r="BM122" s="49"/>
      <c r="BN122" s="49"/>
      <c r="BO122" s="49"/>
      <c r="BP122" s="49"/>
      <c r="BQ122" s="49"/>
      <c r="BR122" s="49"/>
      <c r="BS122" s="49"/>
      <c r="BT122" s="50"/>
      <c r="BV122" s="49"/>
      <c r="BW122" s="49"/>
      <c r="BX122" s="49"/>
      <c r="BY122" s="49"/>
      <c r="BZ122" s="49"/>
      <c r="CA122" s="49"/>
      <c r="CB122" s="49"/>
      <c r="CC122" s="50"/>
    </row>
    <row r="123" spans="1:81">
      <c r="A123" s="29" t="s">
        <v>55</v>
      </c>
      <c r="B123" s="11">
        <v>0</v>
      </c>
      <c r="C123" s="62">
        <f>75000*1.03</f>
        <v>77250</v>
      </c>
      <c r="D123" s="11"/>
      <c r="E123" s="11"/>
      <c r="F123" s="5"/>
      <c r="G123" s="5"/>
      <c r="H123" s="5"/>
      <c r="I123" s="5">
        <f t="shared" ref="I123:I128" si="279">SUM(B123:H123)</f>
        <v>77250</v>
      </c>
      <c r="K123" s="11">
        <v>0</v>
      </c>
      <c r="L123" s="62">
        <f>80000*1.03</f>
        <v>82400</v>
      </c>
      <c r="M123" s="11"/>
      <c r="N123" s="11"/>
      <c r="O123" s="5"/>
      <c r="P123" s="5"/>
      <c r="Q123" s="5"/>
      <c r="R123" s="5">
        <f t="shared" ref="R123:R128" si="280">SUM(K123:Q123)</f>
        <v>82400</v>
      </c>
      <c r="T123" s="11"/>
      <c r="U123" s="62">
        <f>46000*1.25*1.03</f>
        <v>59225</v>
      </c>
      <c r="V123" s="11"/>
      <c r="W123" s="11"/>
      <c r="X123" s="5"/>
      <c r="Y123" s="5"/>
      <c r="Z123" s="5"/>
      <c r="AA123" s="5">
        <f t="shared" ref="AA123:AA128" si="281">SUM(T123:Z123)</f>
        <v>59225</v>
      </c>
      <c r="AC123" s="11">
        <v>0</v>
      </c>
      <c r="AD123" s="62">
        <f>90000*1.03</f>
        <v>92700</v>
      </c>
      <c r="AE123" s="11"/>
      <c r="AF123" s="11"/>
      <c r="AG123" s="5"/>
      <c r="AH123" s="5"/>
      <c r="AI123" s="5"/>
      <c r="AJ123" s="5">
        <f t="shared" ref="AJ123:AJ128" si="282">SUM(AC123:AI123)</f>
        <v>92700</v>
      </c>
      <c r="AL123" s="11">
        <v>0</v>
      </c>
      <c r="AM123" s="62"/>
      <c r="AN123" s="11"/>
      <c r="AO123" s="11"/>
      <c r="AP123" s="5"/>
      <c r="AQ123" s="5"/>
      <c r="AR123" s="5"/>
      <c r="AS123" s="5">
        <f t="shared" ref="AS123:AS128" si="283">SUM(AL123:AR123)</f>
        <v>0</v>
      </c>
      <c r="AU123" s="11">
        <v>0</v>
      </c>
      <c r="AV123" s="62">
        <v>0</v>
      </c>
      <c r="AW123" s="11"/>
      <c r="AX123" s="11"/>
      <c r="AY123" s="5"/>
      <c r="AZ123" s="5"/>
      <c r="BA123" s="5"/>
      <c r="BB123" s="5">
        <f t="shared" ref="BB123:BB128" si="284">SUM(AU123:BA123)</f>
        <v>0</v>
      </c>
      <c r="BD123" s="11">
        <v>0</v>
      </c>
      <c r="BE123" s="62">
        <v>0</v>
      </c>
      <c r="BF123" s="11"/>
      <c r="BG123" s="11"/>
      <c r="BH123" s="5"/>
      <c r="BI123" s="5"/>
      <c r="BJ123" s="5"/>
      <c r="BK123" s="5">
        <f t="shared" ref="BK123:BK128" si="285">SUM(BD123:BJ123)</f>
        <v>0</v>
      </c>
      <c r="BM123" s="11">
        <v>0</v>
      </c>
      <c r="BN123" s="62">
        <v>0</v>
      </c>
      <c r="BO123" s="11"/>
      <c r="BP123" s="11"/>
      <c r="BQ123" s="5"/>
      <c r="BR123" s="5"/>
      <c r="BS123" s="5"/>
      <c r="BT123" s="5">
        <f t="shared" ref="BT123:BT128" si="286">SUM(BM123:BS123)</f>
        <v>0</v>
      </c>
      <c r="BV123" s="5">
        <f t="shared" ref="BV123:CA130" si="287">B123+K123+T123+AC123+AL123+AU123+BD123+BM123</f>
        <v>0</v>
      </c>
      <c r="BW123" s="5">
        <f t="shared" si="287"/>
        <v>311575</v>
      </c>
      <c r="BX123" s="5">
        <f t="shared" si="287"/>
        <v>0</v>
      </c>
      <c r="BY123" s="5">
        <f t="shared" si="287"/>
        <v>0</v>
      </c>
      <c r="BZ123" s="5">
        <f t="shared" si="287"/>
        <v>0</v>
      </c>
      <c r="CA123" s="5">
        <f t="shared" si="287"/>
        <v>0</v>
      </c>
      <c r="CB123" s="5"/>
      <c r="CC123" s="5">
        <f t="shared" ref="CC123:CC128" si="288">SUM(BV123:CB123)</f>
        <v>311575</v>
      </c>
    </row>
    <row r="124" spans="1:81">
      <c r="A124" s="29" t="s">
        <v>56</v>
      </c>
      <c r="B124" s="11">
        <v>0</v>
      </c>
      <c r="C124" s="62">
        <v>0</v>
      </c>
      <c r="D124" s="11"/>
      <c r="E124" s="11"/>
      <c r="F124" s="5"/>
      <c r="G124" s="5"/>
      <c r="H124" s="5"/>
      <c r="I124" s="5">
        <f t="shared" si="279"/>
        <v>0</v>
      </c>
      <c r="K124" s="11">
        <v>0</v>
      </c>
      <c r="L124" s="62">
        <v>0</v>
      </c>
      <c r="M124" s="11"/>
      <c r="N124" s="11"/>
      <c r="O124" s="5"/>
      <c r="P124" s="5"/>
      <c r="Q124" s="5"/>
      <c r="R124" s="5">
        <f t="shared" si="280"/>
        <v>0</v>
      </c>
      <c r="T124" s="11"/>
      <c r="U124" s="62">
        <f>42600*1.25*1.03</f>
        <v>54847.5</v>
      </c>
      <c r="V124" s="11"/>
      <c r="W124" s="11"/>
      <c r="X124" s="5"/>
      <c r="Y124" s="5"/>
      <c r="Z124" s="5"/>
      <c r="AA124" s="5">
        <f t="shared" si="281"/>
        <v>54847.5</v>
      </c>
      <c r="AC124" s="11">
        <v>0</v>
      </c>
      <c r="AD124" s="62">
        <f>62000*1.03</f>
        <v>63860</v>
      </c>
      <c r="AE124" s="11"/>
      <c r="AF124" s="11"/>
      <c r="AG124" s="5"/>
      <c r="AH124" s="5"/>
      <c r="AI124" s="5"/>
      <c r="AJ124" s="5">
        <f t="shared" si="282"/>
        <v>63860</v>
      </c>
      <c r="AL124" s="11">
        <v>0</v>
      </c>
      <c r="AM124" s="62">
        <v>0</v>
      </c>
      <c r="AN124" s="11"/>
      <c r="AO124" s="11"/>
      <c r="AP124" s="5"/>
      <c r="AQ124" s="5"/>
      <c r="AR124" s="5"/>
      <c r="AS124" s="5">
        <f t="shared" si="283"/>
        <v>0</v>
      </c>
      <c r="AU124" s="11">
        <v>0</v>
      </c>
      <c r="AV124" s="62">
        <v>0</v>
      </c>
      <c r="AW124" s="11"/>
      <c r="AX124" s="11"/>
      <c r="AY124" s="5"/>
      <c r="AZ124" s="5"/>
      <c r="BA124" s="5"/>
      <c r="BB124" s="5">
        <f t="shared" si="284"/>
        <v>0</v>
      </c>
      <c r="BD124" s="11">
        <v>0</v>
      </c>
      <c r="BE124" s="62">
        <v>0</v>
      </c>
      <c r="BF124" s="11"/>
      <c r="BG124" s="11"/>
      <c r="BH124" s="5"/>
      <c r="BI124" s="5"/>
      <c r="BJ124" s="5"/>
      <c r="BK124" s="5">
        <f t="shared" si="285"/>
        <v>0</v>
      </c>
      <c r="BM124" s="11">
        <v>0</v>
      </c>
      <c r="BN124" s="62">
        <v>0</v>
      </c>
      <c r="BO124" s="11"/>
      <c r="BP124" s="11"/>
      <c r="BQ124" s="5"/>
      <c r="BR124" s="5"/>
      <c r="BS124" s="5"/>
      <c r="BT124" s="5">
        <f t="shared" si="286"/>
        <v>0</v>
      </c>
      <c r="BV124" s="5">
        <f t="shared" si="287"/>
        <v>0</v>
      </c>
      <c r="BW124" s="5">
        <f t="shared" si="287"/>
        <v>118707.5</v>
      </c>
      <c r="BX124" s="5">
        <f t="shared" si="287"/>
        <v>0</v>
      </c>
      <c r="BY124" s="5">
        <f t="shared" si="287"/>
        <v>0</v>
      </c>
      <c r="BZ124" s="5">
        <f t="shared" si="287"/>
        <v>0</v>
      </c>
      <c r="CA124" s="5">
        <f t="shared" si="287"/>
        <v>0</v>
      </c>
      <c r="CB124" s="5"/>
      <c r="CC124" s="5">
        <f t="shared" si="288"/>
        <v>118707.5</v>
      </c>
    </row>
    <row r="125" spans="1:81">
      <c r="A125" s="29" t="s">
        <v>57</v>
      </c>
      <c r="B125" s="11">
        <v>0</v>
      </c>
      <c r="C125" s="11">
        <v>0</v>
      </c>
      <c r="D125" s="11"/>
      <c r="E125" s="11"/>
      <c r="F125" s="5"/>
      <c r="G125" s="5"/>
      <c r="H125" s="5"/>
      <c r="I125" s="5">
        <f t="shared" si="279"/>
        <v>0</v>
      </c>
      <c r="K125" s="11">
        <v>0</v>
      </c>
      <c r="L125" s="11">
        <f>35000*1.25*1.03</f>
        <v>45062.5</v>
      </c>
      <c r="M125" s="11"/>
      <c r="N125" s="11"/>
      <c r="O125" s="5"/>
      <c r="P125" s="5"/>
      <c r="Q125" s="5"/>
      <c r="R125" s="5">
        <f t="shared" si="280"/>
        <v>45062.5</v>
      </c>
      <c r="T125" s="11"/>
      <c r="U125" s="11">
        <f>35000*1.25*1.03</f>
        <v>45062.5</v>
      </c>
      <c r="V125" s="11"/>
      <c r="W125" s="11"/>
      <c r="X125" s="5"/>
      <c r="Y125" s="5"/>
      <c r="Z125" s="5"/>
      <c r="AA125" s="5">
        <f t="shared" si="281"/>
        <v>45062.5</v>
      </c>
      <c r="AC125" s="11">
        <v>0</v>
      </c>
      <c r="AD125" s="11">
        <f>80000*1.2*1.03</f>
        <v>98880</v>
      </c>
      <c r="AE125" s="11"/>
      <c r="AF125" s="11"/>
      <c r="AG125" s="5"/>
      <c r="AH125" s="5"/>
      <c r="AI125" s="5"/>
      <c r="AJ125" s="5">
        <f t="shared" si="282"/>
        <v>98880</v>
      </c>
      <c r="AL125" s="11">
        <v>0</v>
      </c>
      <c r="AM125" s="11">
        <f>90000*1.03</f>
        <v>92700</v>
      </c>
      <c r="AN125" s="11"/>
      <c r="AO125" s="11"/>
      <c r="AP125" s="5"/>
      <c r="AQ125" s="5"/>
      <c r="AR125" s="5"/>
      <c r="AS125" s="5">
        <f t="shared" si="283"/>
        <v>92700</v>
      </c>
      <c r="AU125" s="11">
        <v>0</v>
      </c>
      <c r="AV125" s="11">
        <v>0</v>
      </c>
      <c r="AW125" s="11"/>
      <c r="AX125" s="11"/>
      <c r="AY125" s="5"/>
      <c r="AZ125" s="5"/>
      <c r="BA125" s="5"/>
      <c r="BB125" s="5">
        <f t="shared" si="284"/>
        <v>0</v>
      </c>
      <c r="BD125" s="11">
        <v>0</v>
      </c>
      <c r="BE125" s="11">
        <v>0</v>
      </c>
      <c r="BF125" s="11"/>
      <c r="BG125" s="11"/>
      <c r="BH125" s="5"/>
      <c r="BI125" s="5"/>
      <c r="BJ125" s="5"/>
      <c r="BK125" s="5">
        <f t="shared" si="285"/>
        <v>0</v>
      </c>
      <c r="BM125" s="11">
        <v>0</v>
      </c>
      <c r="BN125" s="11">
        <v>0</v>
      </c>
      <c r="BO125" s="11"/>
      <c r="BP125" s="11"/>
      <c r="BQ125" s="5"/>
      <c r="BR125" s="5"/>
      <c r="BS125" s="5"/>
      <c r="BT125" s="5">
        <f t="shared" si="286"/>
        <v>0</v>
      </c>
      <c r="BV125" s="5">
        <f t="shared" si="287"/>
        <v>0</v>
      </c>
      <c r="BW125" s="5">
        <f t="shared" si="287"/>
        <v>281705</v>
      </c>
      <c r="BX125" s="5">
        <f t="shared" si="287"/>
        <v>0</v>
      </c>
      <c r="BY125" s="5">
        <f t="shared" si="287"/>
        <v>0</v>
      </c>
      <c r="BZ125" s="5">
        <f t="shared" si="287"/>
        <v>0</v>
      </c>
      <c r="CA125" s="5">
        <f t="shared" si="287"/>
        <v>0</v>
      </c>
      <c r="CB125" s="5"/>
      <c r="CC125" s="5">
        <f t="shared" si="288"/>
        <v>281705</v>
      </c>
    </row>
    <row r="126" spans="1:81">
      <c r="A126" s="29" t="s">
        <v>110</v>
      </c>
      <c r="B126" s="11">
        <v>0</v>
      </c>
      <c r="C126" s="11"/>
      <c r="D126" s="11"/>
      <c r="E126" s="11"/>
      <c r="F126" s="5"/>
      <c r="G126" s="5"/>
      <c r="H126" s="5"/>
      <c r="I126" s="26">
        <f t="shared" si="279"/>
        <v>0</v>
      </c>
      <c r="K126" s="11">
        <v>0</v>
      </c>
      <c r="L126" s="11"/>
      <c r="M126" s="11"/>
      <c r="N126" s="11"/>
      <c r="O126" s="5"/>
      <c r="P126" s="5"/>
      <c r="Q126" s="5"/>
      <c r="R126" s="26">
        <f t="shared" si="280"/>
        <v>0</v>
      </c>
      <c r="T126" s="11"/>
      <c r="U126" s="11">
        <f>20000*1.25*1.03</f>
        <v>25750</v>
      </c>
      <c r="V126" s="11"/>
      <c r="W126" s="11"/>
      <c r="X126" s="5"/>
      <c r="Y126" s="5"/>
      <c r="Z126" s="5"/>
      <c r="AA126" s="5">
        <f t="shared" si="281"/>
        <v>25750</v>
      </c>
      <c r="AC126" s="11">
        <v>0</v>
      </c>
      <c r="AD126" s="11"/>
      <c r="AE126" s="11"/>
      <c r="AF126" s="11"/>
      <c r="AG126" s="5"/>
      <c r="AH126" s="5"/>
      <c r="AI126" s="5"/>
      <c r="AJ126" s="26">
        <f t="shared" si="282"/>
        <v>0</v>
      </c>
      <c r="AL126" s="11">
        <v>0</v>
      </c>
      <c r="AM126" s="11">
        <f>40000*1.2*1.03</f>
        <v>49440</v>
      </c>
      <c r="AN126" s="11"/>
      <c r="AO126" s="11"/>
      <c r="AP126" s="5"/>
      <c r="AQ126" s="5"/>
      <c r="AR126" s="5"/>
      <c r="AS126" s="5">
        <f t="shared" si="283"/>
        <v>49440</v>
      </c>
      <c r="AU126" s="11">
        <v>0</v>
      </c>
      <c r="AV126" s="11"/>
      <c r="AW126" s="11"/>
      <c r="AX126" s="11"/>
      <c r="AY126" s="5"/>
      <c r="AZ126" s="5"/>
      <c r="BA126" s="5"/>
      <c r="BB126" s="26">
        <f t="shared" si="284"/>
        <v>0</v>
      </c>
      <c r="BD126" s="11">
        <v>0</v>
      </c>
      <c r="BE126" s="11">
        <v>0</v>
      </c>
      <c r="BF126" s="11"/>
      <c r="BG126" s="11"/>
      <c r="BH126" s="5"/>
      <c r="BI126" s="5"/>
      <c r="BJ126" s="5"/>
      <c r="BK126" s="26">
        <f t="shared" si="285"/>
        <v>0</v>
      </c>
      <c r="BM126" s="11">
        <v>0</v>
      </c>
      <c r="BN126" s="11"/>
      <c r="BO126" s="11"/>
      <c r="BP126" s="11"/>
      <c r="BQ126" s="5"/>
      <c r="BR126" s="5"/>
      <c r="BS126" s="5"/>
      <c r="BT126" s="26">
        <f t="shared" si="286"/>
        <v>0</v>
      </c>
      <c r="BV126" s="5">
        <f t="shared" si="287"/>
        <v>0</v>
      </c>
      <c r="BW126" s="5">
        <f t="shared" si="287"/>
        <v>75190</v>
      </c>
      <c r="BX126" s="5">
        <f t="shared" si="287"/>
        <v>0</v>
      </c>
      <c r="BY126" s="5">
        <f t="shared" si="287"/>
        <v>0</v>
      </c>
      <c r="BZ126" s="5">
        <f t="shared" si="287"/>
        <v>0</v>
      </c>
      <c r="CA126" s="5">
        <f t="shared" si="287"/>
        <v>0</v>
      </c>
      <c r="CB126" s="5"/>
      <c r="CC126" s="26">
        <f t="shared" si="288"/>
        <v>75190</v>
      </c>
    </row>
    <row r="127" spans="1:81">
      <c r="A127" s="29" t="s">
        <v>59</v>
      </c>
      <c r="B127" s="11">
        <v>0</v>
      </c>
      <c r="C127" s="11"/>
      <c r="D127" s="11"/>
      <c r="E127" s="11"/>
      <c r="F127" s="5"/>
      <c r="G127" s="5"/>
      <c r="H127" s="5"/>
      <c r="I127" s="5">
        <f t="shared" si="279"/>
        <v>0</v>
      </c>
      <c r="K127" s="11">
        <v>0</v>
      </c>
      <c r="L127" s="11">
        <f>32000*1.03</f>
        <v>32960</v>
      </c>
      <c r="M127" s="11"/>
      <c r="N127" s="11"/>
      <c r="O127" s="5"/>
      <c r="P127" s="5"/>
      <c r="Q127" s="5"/>
      <c r="R127" s="5">
        <f t="shared" si="280"/>
        <v>32960</v>
      </c>
      <c r="T127" s="11"/>
      <c r="U127" s="11">
        <f>32000*1.03</f>
        <v>32960</v>
      </c>
      <c r="V127" s="11"/>
      <c r="W127" s="11"/>
      <c r="X127" s="5"/>
      <c r="Y127" s="5"/>
      <c r="Z127" s="5"/>
      <c r="AA127" s="5">
        <f t="shared" si="281"/>
        <v>32960</v>
      </c>
      <c r="AC127" s="11">
        <v>0</v>
      </c>
      <c r="AD127" s="11">
        <f>61000*1.2*1.03</f>
        <v>75396</v>
      </c>
      <c r="AE127" s="11"/>
      <c r="AF127" s="11"/>
      <c r="AG127" s="5"/>
      <c r="AH127" s="5"/>
      <c r="AI127" s="5"/>
      <c r="AJ127" s="5">
        <f t="shared" si="282"/>
        <v>75396</v>
      </c>
      <c r="AL127" s="11">
        <v>0</v>
      </c>
      <c r="AM127" s="11">
        <f>68000*1.2*1.03</f>
        <v>84048</v>
      </c>
      <c r="AN127" s="11"/>
      <c r="AO127" s="11"/>
      <c r="AP127" s="5"/>
      <c r="AQ127" s="5"/>
      <c r="AR127" s="5"/>
      <c r="AS127" s="5">
        <f t="shared" si="283"/>
        <v>84048</v>
      </c>
      <c r="AU127" s="11">
        <v>0</v>
      </c>
      <c r="AV127" s="11"/>
      <c r="AW127" s="11"/>
      <c r="AX127" s="11"/>
      <c r="AY127" s="5"/>
      <c r="AZ127" s="5"/>
      <c r="BA127" s="5"/>
      <c r="BB127" s="5">
        <f t="shared" si="284"/>
        <v>0</v>
      </c>
      <c r="BD127" s="11">
        <v>0</v>
      </c>
      <c r="BE127" s="11">
        <v>0</v>
      </c>
      <c r="BF127" s="11"/>
      <c r="BG127" s="11"/>
      <c r="BH127" s="5"/>
      <c r="BI127" s="5"/>
      <c r="BJ127" s="5"/>
      <c r="BK127" s="5">
        <f t="shared" si="285"/>
        <v>0</v>
      </c>
      <c r="BM127" s="11">
        <v>0</v>
      </c>
      <c r="BN127" s="11"/>
      <c r="BO127" s="11"/>
      <c r="BP127" s="11"/>
      <c r="BQ127" s="5"/>
      <c r="BR127" s="5"/>
      <c r="BS127" s="5"/>
      <c r="BT127" s="5">
        <f t="shared" si="286"/>
        <v>0</v>
      </c>
      <c r="BV127" s="5">
        <f t="shared" si="287"/>
        <v>0</v>
      </c>
      <c r="BW127" s="5">
        <f t="shared" si="287"/>
        <v>225364</v>
      </c>
      <c r="BX127" s="5">
        <f t="shared" si="287"/>
        <v>0</v>
      </c>
      <c r="BY127" s="5">
        <f t="shared" si="287"/>
        <v>0</v>
      </c>
      <c r="BZ127" s="5">
        <f t="shared" si="287"/>
        <v>0</v>
      </c>
      <c r="CA127" s="5">
        <f t="shared" si="287"/>
        <v>0</v>
      </c>
      <c r="CB127" s="5"/>
      <c r="CC127" s="5">
        <f t="shared" si="288"/>
        <v>225364</v>
      </c>
    </row>
    <row r="128" spans="1:81">
      <c r="A128" s="29" t="s">
        <v>111</v>
      </c>
      <c r="B128" s="62">
        <v>0</v>
      </c>
      <c r="C128" s="11"/>
      <c r="D128" s="11"/>
      <c r="E128" s="11"/>
      <c r="F128" s="5"/>
      <c r="G128" s="5"/>
      <c r="H128" s="5"/>
      <c r="I128" s="5">
        <f t="shared" si="279"/>
        <v>0</v>
      </c>
      <c r="K128" s="62">
        <f>62000*1.03</f>
        <v>63860</v>
      </c>
      <c r="L128" s="11"/>
      <c r="M128" s="11">
        <v>0</v>
      </c>
      <c r="N128" s="11"/>
      <c r="O128" s="5"/>
      <c r="P128" s="5"/>
      <c r="Q128" s="5"/>
      <c r="R128" s="5">
        <f t="shared" si="280"/>
        <v>63860</v>
      </c>
      <c r="T128" s="62">
        <f>64000+64000</f>
        <v>128000</v>
      </c>
      <c r="U128" s="11"/>
      <c r="V128" s="11"/>
      <c r="W128" s="11"/>
      <c r="X128" s="5"/>
      <c r="Y128" s="5"/>
      <c r="Z128" s="5"/>
      <c r="AA128" s="5">
        <f t="shared" si="281"/>
        <v>128000</v>
      </c>
      <c r="AC128" s="62">
        <f>62000*1.03</f>
        <v>63860</v>
      </c>
      <c r="AD128" s="11"/>
      <c r="AE128" s="11"/>
      <c r="AF128" s="11"/>
      <c r="AG128" s="5"/>
      <c r="AH128" s="5"/>
      <c r="AI128" s="5"/>
      <c r="AJ128" s="5">
        <f t="shared" si="282"/>
        <v>63860</v>
      </c>
      <c r="AL128" s="62">
        <f>64000*2</f>
        <v>128000</v>
      </c>
      <c r="AM128" s="11"/>
      <c r="AN128" s="11"/>
      <c r="AO128" s="11"/>
      <c r="AP128" s="5"/>
      <c r="AQ128" s="5"/>
      <c r="AR128" s="5"/>
      <c r="AS128" s="5">
        <f t="shared" si="283"/>
        <v>128000</v>
      </c>
      <c r="AU128" s="62">
        <v>0</v>
      </c>
      <c r="AV128" s="11"/>
      <c r="AW128" s="11"/>
      <c r="AX128" s="11"/>
      <c r="AY128" s="5"/>
      <c r="AZ128" s="5"/>
      <c r="BA128" s="5"/>
      <c r="BB128" s="5">
        <f t="shared" si="284"/>
        <v>0</v>
      </c>
      <c r="BD128" s="62">
        <v>0</v>
      </c>
      <c r="BE128" s="11"/>
      <c r="BF128" s="11"/>
      <c r="BG128" s="11"/>
      <c r="BH128" s="5"/>
      <c r="BI128" s="5"/>
      <c r="BJ128" s="5"/>
      <c r="BK128" s="5">
        <f t="shared" si="285"/>
        <v>0</v>
      </c>
      <c r="BM128" s="62">
        <v>0</v>
      </c>
      <c r="BN128" s="11"/>
      <c r="BO128" s="11"/>
      <c r="BP128" s="11"/>
      <c r="BQ128" s="5"/>
      <c r="BR128" s="5"/>
      <c r="BS128" s="5"/>
      <c r="BT128" s="5">
        <f t="shared" si="286"/>
        <v>0</v>
      </c>
      <c r="BV128" s="5">
        <f t="shared" si="287"/>
        <v>383720</v>
      </c>
      <c r="BW128" s="5">
        <f t="shared" si="287"/>
        <v>0</v>
      </c>
      <c r="BX128" s="5">
        <f t="shared" si="287"/>
        <v>0</v>
      </c>
      <c r="BY128" s="5">
        <f t="shared" si="287"/>
        <v>0</v>
      </c>
      <c r="BZ128" s="5">
        <f t="shared" si="287"/>
        <v>0</v>
      </c>
      <c r="CA128" s="5">
        <f t="shared" si="287"/>
        <v>0</v>
      </c>
      <c r="CB128" s="5"/>
      <c r="CC128" s="5">
        <f t="shared" si="288"/>
        <v>383720</v>
      </c>
    </row>
    <row r="129" spans="1:83">
      <c r="A129" s="29" t="s">
        <v>112</v>
      </c>
      <c r="B129" s="11">
        <f>(12.5*6*185)*B52</f>
        <v>0</v>
      </c>
      <c r="C129" s="11">
        <f>(12.5*6*185)*C52</f>
        <v>0</v>
      </c>
      <c r="D129" s="62">
        <v>0</v>
      </c>
      <c r="E129" s="62"/>
      <c r="F129" s="5"/>
      <c r="G129" s="5"/>
      <c r="H129" s="5"/>
      <c r="I129" s="5">
        <f>SUM(B129:H129)</f>
        <v>0</v>
      </c>
      <c r="K129" s="11">
        <f>(12.5*6*185)*K52</f>
        <v>0</v>
      </c>
      <c r="L129" s="11">
        <f>(12.5*6*185)*L52</f>
        <v>0</v>
      </c>
      <c r="M129" s="62"/>
      <c r="N129" s="62"/>
      <c r="O129" s="5"/>
      <c r="P129" s="5"/>
      <c r="Q129" s="5"/>
      <c r="R129" s="5">
        <f>SUM(K129:Q129)</f>
        <v>0</v>
      </c>
      <c r="T129" s="11">
        <f>50000*1.2*1.03</f>
        <v>61800</v>
      </c>
      <c r="U129" s="11"/>
      <c r="V129" s="62"/>
      <c r="W129" s="62"/>
      <c r="X129" s="5"/>
      <c r="Y129" s="5"/>
      <c r="Z129" s="5"/>
      <c r="AA129" s="5">
        <f>SUM(T129:Z129)</f>
        <v>61800</v>
      </c>
      <c r="AC129" s="11">
        <f>55000*1.03</f>
        <v>56650</v>
      </c>
      <c r="AD129" s="11">
        <f>(12.5*6*185)*AD52</f>
        <v>0</v>
      </c>
      <c r="AE129" s="62">
        <v>0</v>
      </c>
      <c r="AF129" s="62"/>
      <c r="AG129" s="5"/>
      <c r="AH129" s="5"/>
      <c r="AI129" s="5"/>
      <c r="AJ129" s="5">
        <f>SUM(AC129:AI129)</f>
        <v>56650</v>
      </c>
      <c r="AL129" s="11">
        <f>62000+50000</f>
        <v>112000</v>
      </c>
      <c r="AM129" s="11">
        <f>(12.5*6*185)*AM52</f>
        <v>0</v>
      </c>
      <c r="AN129" s="62">
        <v>0</v>
      </c>
      <c r="AO129" s="62"/>
      <c r="AP129" s="5"/>
      <c r="AQ129" s="5"/>
      <c r="AR129" s="5"/>
      <c r="AS129" s="5">
        <f>SUM(AL129:AR129)</f>
        <v>112000</v>
      </c>
      <c r="AU129" s="11">
        <f>(12.5*6*185)*AU52</f>
        <v>0</v>
      </c>
      <c r="AV129" s="11">
        <f>(12.5*6*185)*AV52</f>
        <v>0</v>
      </c>
      <c r="AW129" s="62">
        <v>0</v>
      </c>
      <c r="AX129" s="62"/>
      <c r="AY129" s="5"/>
      <c r="AZ129" s="5"/>
      <c r="BA129" s="5"/>
      <c r="BB129" s="5">
        <f>SUM(AU129:BA129)</f>
        <v>0</v>
      </c>
      <c r="BD129" s="11">
        <f>(12.5*6*185)*BD52</f>
        <v>0</v>
      </c>
      <c r="BE129" s="11">
        <f>(12.5*6*185)*BE52</f>
        <v>0</v>
      </c>
      <c r="BF129" s="62">
        <v>0</v>
      </c>
      <c r="BG129" s="62"/>
      <c r="BH129" s="5"/>
      <c r="BI129" s="5"/>
      <c r="BJ129" s="5"/>
      <c r="BK129" s="5">
        <f>SUM(BD129:BJ129)</f>
        <v>0</v>
      </c>
      <c r="BM129" s="11">
        <f>(12.5*6*185)*BM52</f>
        <v>0</v>
      </c>
      <c r="BN129" s="11">
        <f>(12.5*6*185)*BN52</f>
        <v>0</v>
      </c>
      <c r="BO129" s="62">
        <v>0</v>
      </c>
      <c r="BP129" s="62"/>
      <c r="BQ129" s="5"/>
      <c r="BR129" s="5"/>
      <c r="BS129" s="5"/>
      <c r="BT129" s="5">
        <f>SUM(BM129:BS129)</f>
        <v>0</v>
      </c>
      <c r="BV129" s="5">
        <f t="shared" si="287"/>
        <v>230450</v>
      </c>
      <c r="BW129" s="5">
        <f t="shared" si="287"/>
        <v>0</v>
      </c>
      <c r="BX129" s="5">
        <f t="shared" si="287"/>
        <v>0</v>
      </c>
      <c r="BY129" s="5">
        <f t="shared" si="287"/>
        <v>0</v>
      </c>
      <c r="BZ129" s="5">
        <f t="shared" si="287"/>
        <v>0</v>
      </c>
      <c r="CA129" s="5">
        <f t="shared" si="287"/>
        <v>0</v>
      </c>
      <c r="CB129" s="5"/>
      <c r="CC129" s="5">
        <f>SUM(BV129:CB129)</f>
        <v>230450</v>
      </c>
    </row>
    <row r="130" spans="1:83">
      <c r="A130" s="29" t="s">
        <v>60</v>
      </c>
      <c r="B130" s="67">
        <f>175*180*B59</f>
        <v>31500</v>
      </c>
      <c r="C130" s="67">
        <f t="shared" ref="C130:H130" si="289">170*180*C59</f>
        <v>0</v>
      </c>
      <c r="D130" s="67">
        <f t="shared" si="289"/>
        <v>0</v>
      </c>
      <c r="E130" s="67">
        <f t="shared" si="289"/>
        <v>0</v>
      </c>
      <c r="F130" s="67">
        <f t="shared" si="289"/>
        <v>0</v>
      </c>
      <c r="G130" s="67">
        <f t="shared" si="289"/>
        <v>0</v>
      </c>
      <c r="H130" s="67">
        <f t="shared" si="289"/>
        <v>0</v>
      </c>
      <c r="I130" s="5">
        <f>SUM(B130:H130)</f>
        <v>31500</v>
      </c>
      <c r="K130" s="67">
        <f>175*180*K59</f>
        <v>31500</v>
      </c>
      <c r="L130" s="67">
        <f t="shared" ref="L130:Q130" si="290">170*180*L59</f>
        <v>0</v>
      </c>
      <c r="M130" s="67">
        <f t="shared" si="290"/>
        <v>0</v>
      </c>
      <c r="N130" s="67">
        <f t="shared" si="290"/>
        <v>0</v>
      </c>
      <c r="O130" s="67">
        <f t="shared" si="290"/>
        <v>0</v>
      </c>
      <c r="P130" s="67">
        <f t="shared" si="290"/>
        <v>0</v>
      </c>
      <c r="Q130" s="67">
        <f t="shared" si="290"/>
        <v>0</v>
      </c>
      <c r="R130" s="5">
        <f>SUM(K130:Q130)</f>
        <v>31500</v>
      </c>
      <c r="T130" s="35">
        <f>175*180*T59</f>
        <v>63000</v>
      </c>
      <c r="U130" s="35">
        <f t="shared" ref="U130:Z130" si="291">170*180*U59</f>
        <v>0</v>
      </c>
      <c r="V130" s="35">
        <f t="shared" si="291"/>
        <v>0</v>
      </c>
      <c r="W130" s="35">
        <f t="shared" si="291"/>
        <v>0</v>
      </c>
      <c r="X130" s="35">
        <f t="shared" si="291"/>
        <v>0</v>
      </c>
      <c r="Y130" s="35">
        <f t="shared" si="291"/>
        <v>0</v>
      </c>
      <c r="Z130" s="35">
        <f t="shared" si="291"/>
        <v>0</v>
      </c>
      <c r="AA130" s="5">
        <f>SUM(T130:Z130)</f>
        <v>63000</v>
      </c>
      <c r="AC130" s="67">
        <f>175*180*AC59</f>
        <v>94500</v>
      </c>
      <c r="AD130" s="67">
        <f t="shared" ref="AD130:AI130" si="292">170*180*AD59</f>
        <v>0</v>
      </c>
      <c r="AE130" s="67">
        <f t="shared" si="292"/>
        <v>0</v>
      </c>
      <c r="AF130" s="67">
        <f t="shared" si="292"/>
        <v>0</v>
      </c>
      <c r="AG130" s="67">
        <f t="shared" si="292"/>
        <v>0</v>
      </c>
      <c r="AH130" s="67">
        <f t="shared" si="292"/>
        <v>0</v>
      </c>
      <c r="AI130" s="67">
        <f t="shared" si="292"/>
        <v>0</v>
      </c>
      <c r="AJ130" s="5">
        <f>SUM(AC130:AI130)</f>
        <v>94500</v>
      </c>
      <c r="AL130" s="67">
        <f>175*180*AL59</f>
        <v>126000</v>
      </c>
      <c r="AM130" s="67">
        <f t="shared" ref="AM130:AR130" si="293">170*180*AM59</f>
        <v>0</v>
      </c>
      <c r="AN130" s="67">
        <f t="shared" si="293"/>
        <v>0</v>
      </c>
      <c r="AO130" s="67">
        <f t="shared" si="293"/>
        <v>0</v>
      </c>
      <c r="AP130" s="67">
        <f t="shared" si="293"/>
        <v>0</v>
      </c>
      <c r="AQ130" s="67">
        <f t="shared" si="293"/>
        <v>0</v>
      </c>
      <c r="AR130" s="67">
        <f t="shared" si="293"/>
        <v>0</v>
      </c>
      <c r="AS130" s="5">
        <f>SUM(AL130:AR130)</f>
        <v>126000</v>
      </c>
      <c r="AU130" s="67">
        <f>150*180*AU59</f>
        <v>0</v>
      </c>
      <c r="AV130" s="67">
        <f t="shared" ref="AV130:AX130" si="294">150*180*AV59</f>
        <v>0</v>
      </c>
      <c r="AW130" s="67">
        <f t="shared" si="294"/>
        <v>0</v>
      </c>
      <c r="AX130" s="67">
        <f t="shared" si="294"/>
        <v>0</v>
      </c>
      <c r="AY130" s="5"/>
      <c r="AZ130" s="5"/>
      <c r="BA130" s="5"/>
      <c r="BB130" s="5">
        <f>SUM(AU130:BA130)</f>
        <v>0</v>
      </c>
      <c r="BD130" s="67">
        <f>150*180*BD59</f>
        <v>0</v>
      </c>
      <c r="BE130" s="67">
        <f t="shared" ref="BE130:BG130" si="295">150*180*BE59</f>
        <v>0</v>
      </c>
      <c r="BF130" s="67">
        <f t="shared" si="295"/>
        <v>0</v>
      </c>
      <c r="BG130" s="67">
        <f t="shared" si="295"/>
        <v>0</v>
      </c>
      <c r="BH130" s="5"/>
      <c r="BI130" s="5"/>
      <c r="BJ130" s="5"/>
      <c r="BK130" s="5">
        <f>SUM(BD130:BJ130)</f>
        <v>0</v>
      </c>
      <c r="BM130" s="67">
        <f>150*180*BM59</f>
        <v>0</v>
      </c>
      <c r="BN130" s="67">
        <f t="shared" ref="BN130:BP130" si="296">150*180*BN59</f>
        <v>0</v>
      </c>
      <c r="BO130" s="67">
        <f t="shared" si="296"/>
        <v>0</v>
      </c>
      <c r="BP130" s="67">
        <f t="shared" si="296"/>
        <v>0</v>
      </c>
      <c r="BQ130" s="5"/>
      <c r="BR130" s="5"/>
      <c r="BS130" s="5"/>
      <c r="BT130" s="5">
        <f>SUM(BM130:BS130)</f>
        <v>0</v>
      </c>
      <c r="BV130" s="5">
        <f t="shared" si="287"/>
        <v>346500</v>
      </c>
      <c r="BW130" s="5">
        <f t="shared" si="287"/>
        <v>0</v>
      </c>
      <c r="BX130" s="5">
        <f t="shared" si="287"/>
        <v>0</v>
      </c>
      <c r="BY130" s="5">
        <f t="shared" si="287"/>
        <v>0</v>
      </c>
      <c r="BZ130" s="5">
        <f t="shared" si="287"/>
        <v>0</v>
      </c>
      <c r="CA130" s="5">
        <f t="shared" si="287"/>
        <v>0</v>
      </c>
      <c r="CB130" s="5"/>
      <c r="CC130" s="5">
        <f>SUM(BV130:CB130)</f>
        <v>346500</v>
      </c>
    </row>
    <row r="131" spans="1:83" ht="15">
      <c r="A131" s="68" t="s">
        <v>113</v>
      </c>
      <c r="B131" s="69">
        <f>SUM(B123:B130)</f>
        <v>31500</v>
      </c>
      <c r="C131" s="69">
        <f t="shared" ref="C131:I131" si="297">SUM(C123:C130)</f>
        <v>77250</v>
      </c>
      <c r="D131" s="69">
        <f t="shared" si="297"/>
        <v>0</v>
      </c>
      <c r="E131" s="69">
        <f t="shared" si="297"/>
        <v>0</v>
      </c>
      <c r="F131" s="69">
        <f t="shared" si="297"/>
        <v>0</v>
      </c>
      <c r="G131" s="69">
        <f t="shared" si="297"/>
        <v>0</v>
      </c>
      <c r="H131" s="69">
        <f t="shared" si="297"/>
        <v>0</v>
      </c>
      <c r="I131" s="69">
        <f t="shared" si="297"/>
        <v>108750</v>
      </c>
      <c r="J131" s="7"/>
      <c r="K131" s="69">
        <f>SUM(K123:K130)</f>
        <v>95360</v>
      </c>
      <c r="L131" s="69">
        <f t="shared" ref="L131:R131" si="298">SUM(L123:L130)</f>
        <v>160422.5</v>
      </c>
      <c r="M131" s="69">
        <f t="shared" si="298"/>
        <v>0</v>
      </c>
      <c r="N131" s="69"/>
      <c r="O131" s="69">
        <f t="shared" si="298"/>
        <v>0</v>
      </c>
      <c r="P131" s="69">
        <f t="shared" si="298"/>
        <v>0</v>
      </c>
      <c r="Q131" s="69">
        <f t="shared" si="298"/>
        <v>0</v>
      </c>
      <c r="R131" s="69">
        <f t="shared" si="298"/>
        <v>255782.5</v>
      </c>
      <c r="T131" s="69">
        <f>SUM(T123:T130)</f>
        <v>252800</v>
      </c>
      <c r="U131" s="69">
        <f t="shared" ref="U131:AA131" si="299">SUM(U123:U130)</f>
        <v>217845</v>
      </c>
      <c r="V131" s="69">
        <f t="shared" si="299"/>
        <v>0</v>
      </c>
      <c r="W131" s="69"/>
      <c r="X131" s="69">
        <f t="shared" si="299"/>
        <v>0</v>
      </c>
      <c r="Y131" s="69">
        <f t="shared" si="299"/>
        <v>0</v>
      </c>
      <c r="Z131" s="69">
        <f t="shared" si="299"/>
        <v>0</v>
      </c>
      <c r="AA131" s="69">
        <f t="shared" si="299"/>
        <v>470645</v>
      </c>
      <c r="AC131" s="69">
        <f>SUM(AC123:AC130)</f>
        <v>215010</v>
      </c>
      <c r="AD131" s="69">
        <f t="shared" ref="AD131:AJ131" si="300">SUM(AD123:AD130)</f>
        <v>330836</v>
      </c>
      <c r="AE131" s="69">
        <f t="shared" si="300"/>
        <v>0</v>
      </c>
      <c r="AF131" s="69">
        <f t="shared" si="300"/>
        <v>0</v>
      </c>
      <c r="AG131" s="69">
        <f t="shared" si="300"/>
        <v>0</v>
      </c>
      <c r="AH131" s="69">
        <f t="shared" si="300"/>
        <v>0</v>
      </c>
      <c r="AI131" s="69">
        <f t="shared" si="300"/>
        <v>0</v>
      </c>
      <c r="AJ131" s="69">
        <f t="shared" si="300"/>
        <v>545846</v>
      </c>
      <c r="AL131" s="69">
        <f>SUM(AL123:AL130)</f>
        <v>366000</v>
      </c>
      <c r="AM131" s="69">
        <f t="shared" ref="AM131:AS131" si="301">SUM(AM123:AM130)</f>
        <v>226188</v>
      </c>
      <c r="AN131" s="69">
        <f t="shared" si="301"/>
        <v>0</v>
      </c>
      <c r="AO131" s="69">
        <f t="shared" si="301"/>
        <v>0</v>
      </c>
      <c r="AP131" s="69">
        <f t="shared" si="301"/>
        <v>0</v>
      </c>
      <c r="AQ131" s="69">
        <f t="shared" si="301"/>
        <v>0</v>
      </c>
      <c r="AR131" s="69">
        <f t="shared" si="301"/>
        <v>0</v>
      </c>
      <c r="AS131" s="69">
        <f t="shared" si="301"/>
        <v>592188</v>
      </c>
      <c r="AU131" s="69">
        <f>SUM(AU123:AU130)</f>
        <v>0</v>
      </c>
      <c r="AV131" s="69">
        <f t="shared" ref="AV131:BB131" si="302">SUM(AV123:AV130)</f>
        <v>0</v>
      </c>
      <c r="AW131" s="69">
        <f t="shared" si="302"/>
        <v>0</v>
      </c>
      <c r="AX131" s="69">
        <f t="shared" si="302"/>
        <v>0</v>
      </c>
      <c r="AY131" s="69">
        <f t="shared" si="302"/>
        <v>0</v>
      </c>
      <c r="AZ131" s="69">
        <f t="shared" si="302"/>
        <v>0</v>
      </c>
      <c r="BA131" s="69">
        <f t="shared" si="302"/>
        <v>0</v>
      </c>
      <c r="BB131" s="69">
        <f t="shared" si="302"/>
        <v>0</v>
      </c>
      <c r="BD131" s="69">
        <f>SUM(BD123:BD130)</f>
        <v>0</v>
      </c>
      <c r="BE131" s="69">
        <f t="shared" ref="BE131:BK131" si="303">SUM(BE123:BE130)</f>
        <v>0</v>
      </c>
      <c r="BF131" s="69">
        <f t="shared" si="303"/>
        <v>0</v>
      </c>
      <c r="BG131" s="69">
        <f t="shared" si="303"/>
        <v>0</v>
      </c>
      <c r="BH131" s="69">
        <f t="shared" si="303"/>
        <v>0</v>
      </c>
      <c r="BI131" s="69">
        <f t="shared" si="303"/>
        <v>0</v>
      </c>
      <c r="BJ131" s="69">
        <f t="shared" si="303"/>
        <v>0</v>
      </c>
      <c r="BK131" s="69">
        <f t="shared" si="303"/>
        <v>0</v>
      </c>
      <c r="BM131" s="69">
        <f>SUM(BM123:BM130)</f>
        <v>0</v>
      </c>
      <c r="BN131" s="69">
        <f t="shared" ref="BN131:BT131" si="304">SUM(BN123:BN130)</f>
        <v>0</v>
      </c>
      <c r="BO131" s="69">
        <f t="shared" si="304"/>
        <v>0</v>
      </c>
      <c r="BP131" s="69">
        <f t="shared" si="304"/>
        <v>0</v>
      </c>
      <c r="BQ131" s="69">
        <f t="shared" si="304"/>
        <v>0</v>
      </c>
      <c r="BR131" s="69">
        <f t="shared" si="304"/>
        <v>0</v>
      </c>
      <c r="BS131" s="69">
        <f t="shared" si="304"/>
        <v>0</v>
      </c>
      <c r="BT131" s="69">
        <f t="shared" si="304"/>
        <v>0</v>
      </c>
      <c r="BV131" s="69">
        <f>SUM(BV123:BV130)</f>
        <v>960670</v>
      </c>
      <c r="BW131" s="69">
        <f t="shared" ref="BW131:CC131" si="305">SUM(BW123:BW130)</f>
        <v>1012541.5</v>
      </c>
      <c r="BX131" s="69">
        <f t="shared" si="305"/>
        <v>0</v>
      </c>
      <c r="BY131" s="69">
        <f t="shared" si="305"/>
        <v>0</v>
      </c>
      <c r="BZ131" s="69">
        <f t="shared" si="305"/>
        <v>0</v>
      </c>
      <c r="CA131" s="69">
        <f t="shared" si="305"/>
        <v>0</v>
      </c>
      <c r="CB131" s="69">
        <f t="shared" si="305"/>
        <v>0</v>
      </c>
      <c r="CC131" s="69">
        <f t="shared" si="305"/>
        <v>1973211.5</v>
      </c>
    </row>
    <row r="132" spans="1:83" ht="15">
      <c r="A132" s="70" t="s">
        <v>114</v>
      </c>
      <c r="B132" s="71">
        <f t="shared" ref="B132:H132" si="306">B121+B131</f>
        <v>3493555.48</v>
      </c>
      <c r="C132" s="71">
        <f t="shared" si="306"/>
        <v>492700</v>
      </c>
      <c r="D132" s="71">
        <f t="shared" si="306"/>
        <v>62280</v>
      </c>
      <c r="E132" s="71">
        <f t="shared" si="306"/>
        <v>0</v>
      </c>
      <c r="F132" s="71">
        <f t="shared" si="306"/>
        <v>0</v>
      </c>
      <c r="G132" s="71">
        <f t="shared" si="306"/>
        <v>0</v>
      </c>
      <c r="H132" s="71">
        <f t="shared" si="306"/>
        <v>0</v>
      </c>
      <c r="I132" s="71">
        <f>I121+I131</f>
        <v>4048535.48</v>
      </c>
      <c r="J132" s="7"/>
      <c r="K132" s="71">
        <f t="shared" ref="K132:Q132" si="307">K121+K131</f>
        <v>3882934.83</v>
      </c>
      <c r="L132" s="71">
        <f t="shared" si="307"/>
        <v>510422.5</v>
      </c>
      <c r="M132" s="71">
        <f t="shared" si="307"/>
        <v>68200</v>
      </c>
      <c r="N132" s="71"/>
      <c r="O132" s="71">
        <f t="shared" si="307"/>
        <v>0</v>
      </c>
      <c r="P132" s="71">
        <f t="shared" si="307"/>
        <v>0</v>
      </c>
      <c r="Q132" s="71">
        <f t="shared" si="307"/>
        <v>0</v>
      </c>
      <c r="R132" s="71">
        <f>R121+R131</f>
        <v>4461557.33</v>
      </c>
      <c r="T132" s="71">
        <f t="shared" ref="T132:Z132" si="308">T121+T131</f>
        <v>4730083.76</v>
      </c>
      <c r="U132" s="71">
        <f t="shared" si="308"/>
        <v>664345</v>
      </c>
      <c r="V132" s="71">
        <f t="shared" si="308"/>
        <v>61920</v>
      </c>
      <c r="W132" s="71"/>
      <c r="X132" s="71">
        <f t="shared" si="308"/>
        <v>0</v>
      </c>
      <c r="Y132" s="71">
        <f t="shared" si="308"/>
        <v>0</v>
      </c>
      <c r="Z132" s="71">
        <f t="shared" si="308"/>
        <v>0</v>
      </c>
      <c r="AA132" s="71">
        <f>AA121+AA131</f>
        <v>5456348.7599999998</v>
      </c>
      <c r="AC132" s="71">
        <f t="shared" ref="AC132:AI132" si="309">AC121+AC131</f>
        <v>8965176.5999999996</v>
      </c>
      <c r="AD132" s="71">
        <f t="shared" si="309"/>
        <v>1549456</v>
      </c>
      <c r="AE132" s="71">
        <f t="shared" si="309"/>
        <v>163080</v>
      </c>
      <c r="AF132" s="71">
        <f t="shared" si="309"/>
        <v>0</v>
      </c>
      <c r="AG132" s="71">
        <f t="shared" si="309"/>
        <v>0</v>
      </c>
      <c r="AH132" s="71">
        <f t="shared" si="309"/>
        <v>0</v>
      </c>
      <c r="AI132" s="71">
        <f t="shared" si="309"/>
        <v>0</v>
      </c>
      <c r="AJ132" s="71">
        <f>AJ121+AJ131</f>
        <v>10677712.6</v>
      </c>
      <c r="AL132" s="71">
        <f t="shared" ref="AL132:AR132" si="310">AL121+AL131</f>
        <v>8350440.6899999995</v>
      </c>
      <c r="AM132" s="71">
        <f t="shared" si="310"/>
        <v>1315788</v>
      </c>
      <c r="AN132" s="71">
        <f t="shared" si="310"/>
        <v>95040</v>
      </c>
      <c r="AO132" s="71">
        <f t="shared" si="310"/>
        <v>0</v>
      </c>
      <c r="AP132" s="71">
        <f t="shared" si="310"/>
        <v>0</v>
      </c>
      <c r="AQ132" s="71">
        <f t="shared" si="310"/>
        <v>0</v>
      </c>
      <c r="AR132" s="71">
        <f t="shared" si="310"/>
        <v>0</v>
      </c>
      <c r="AS132" s="71">
        <f>AS121+AS131</f>
        <v>9761268.6899999995</v>
      </c>
      <c r="AU132" s="71">
        <f t="shared" ref="AU132:BA132" si="311">AU121+AU131</f>
        <v>144250</v>
      </c>
      <c r="AV132" s="71">
        <f t="shared" si="311"/>
        <v>109127.75</v>
      </c>
      <c r="AW132" s="71">
        <f t="shared" si="311"/>
        <v>0</v>
      </c>
      <c r="AX132" s="71">
        <f t="shared" si="311"/>
        <v>0</v>
      </c>
      <c r="AY132" s="71">
        <f t="shared" si="311"/>
        <v>0</v>
      </c>
      <c r="AZ132" s="71">
        <f t="shared" si="311"/>
        <v>0</v>
      </c>
      <c r="BA132" s="71">
        <f t="shared" si="311"/>
        <v>0</v>
      </c>
      <c r="BB132" s="71">
        <f>BB121+BB131</f>
        <v>253377.75</v>
      </c>
      <c r="BD132" s="71">
        <f t="shared" ref="BD132:BJ132" si="312">BD121+BD131</f>
        <v>1197100</v>
      </c>
      <c r="BE132" s="71">
        <f t="shared" si="312"/>
        <v>62000</v>
      </c>
      <c r="BF132" s="71">
        <f t="shared" si="312"/>
        <v>28800</v>
      </c>
      <c r="BG132" s="71">
        <f t="shared" si="312"/>
        <v>0</v>
      </c>
      <c r="BH132" s="71">
        <f t="shared" si="312"/>
        <v>0</v>
      </c>
      <c r="BI132" s="71">
        <f t="shared" si="312"/>
        <v>0</v>
      </c>
      <c r="BJ132" s="71">
        <f t="shared" si="312"/>
        <v>0</v>
      </c>
      <c r="BK132" s="71">
        <f>BK121+BK131</f>
        <v>1287900</v>
      </c>
      <c r="BM132" s="71">
        <f t="shared" ref="BM132:BS132" si="313">BM121+BM131</f>
        <v>280330</v>
      </c>
      <c r="BN132" s="71">
        <f t="shared" si="313"/>
        <v>0</v>
      </c>
      <c r="BO132" s="71">
        <f t="shared" si="313"/>
        <v>18200</v>
      </c>
      <c r="BP132" s="71">
        <f t="shared" si="313"/>
        <v>0</v>
      </c>
      <c r="BQ132" s="71">
        <f t="shared" si="313"/>
        <v>0</v>
      </c>
      <c r="BR132" s="71">
        <f t="shared" si="313"/>
        <v>0</v>
      </c>
      <c r="BS132" s="71">
        <f t="shared" si="313"/>
        <v>0</v>
      </c>
      <c r="BT132" s="71">
        <f>BT121+BT131</f>
        <v>298530</v>
      </c>
      <c r="BV132" s="71">
        <f t="shared" ref="BV132:CB132" si="314">BV121+BV131</f>
        <v>31043871.360000003</v>
      </c>
      <c r="BW132" s="71">
        <f t="shared" si="314"/>
        <v>4703839.25</v>
      </c>
      <c r="BX132" s="71">
        <f t="shared" si="314"/>
        <v>497520</v>
      </c>
      <c r="BY132" s="71">
        <f t="shared" si="314"/>
        <v>0</v>
      </c>
      <c r="BZ132" s="71">
        <f t="shared" si="314"/>
        <v>0</v>
      </c>
      <c r="CA132" s="71">
        <f t="shared" si="314"/>
        <v>0</v>
      </c>
      <c r="CB132" s="71">
        <f t="shared" si="314"/>
        <v>0</v>
      </c>
      <c r="CC132" s="71">
        <f>CC121+CC131</f>
        <v>36245230.609999999</v>
      </c>
    </row>
    <row r="133" spans="1:83">
      <c r="A133" s="29" t="s">
        <v>115</v>
      </c>
      <c r="B133" s="52">
        <f>B132*0.335</f>
        <v>1170341.0858</v>
      </c>
      <c r="C133" s="52">
        <f t="shared" ref="C133:H133" si="315">C132*0.335</f>
        <v>165054.5</v>
      </c>
      <c r="D133" s="52">
        <f t="shared" si="315"/>
        <v>20863.800000000003</v>
      </c>
      <c r="E133" s="52">
        <f t="shared" si="315"/>
        <v>0</v>
      </c>
      <c r="F133" s="52">
        <f t="shared" si="315"/>
        <v>0</v>
      </c>
      <c r="G133" s="52">
        <f t="shared" si="315"/>
        <v>0</v>
      </c>
      <c r="H133" s="52">
        <f t="shared" si="315"/>
        <v>0</v>
      </c>
      <c r="I133" s="11">
        <f>SUM(B133:H133)</f>
        <v>1356259.3858</v>
      </c>
      <c r="J133" s="72"/>
      <c r="K133" s="52">
        <f>K132*0.335</f>
        <v>1300783.1680500002</v>
      </c>
      <c r="L133" s="52">
        <f t="shared" ref="L133:Q133" si="316">L132*0.335</f>
        <v>170991.53750000001</v>
      </c>
      <c r="M133" s="52">
        <f t="shared" si="316"/>
        <v>22847</v>
      </c>
      <c r="N133" s="52"/>
      <c r="O133" s="52">
        <f t="shared" si="316"/>
        <v>0</v>
      </c>
      <c r="P133" s="52">
        <f t="shared" si="316"/>
        <v>0</v>
      </c>
      <c r="Q133" s="52">
        <f t="shared" si="316"/>
        <v>0</v>
      </c>
      <c r="R133" s="11">
        <f>SUM(K133:Q133)</f>
        <v>1494621.7055500003</v>
      </c>
      <c r="T133" s="52">
        <f>T132*0.335-(T107*0.335)+(T107*0.125)</f>
        <v>1539825.5896000001</v>
      </c>
      <c r="U133" s="52">
        <f t="shared" ref="U133:Z133" si="317">U132*0.335</f>
        <v>222555.57500000001</v>
      </c>
      <c r="V133" s="52">
        <f t="shared" si="317"/>
        <v>20743.2</v>
      </c>
      <c r="W133" s="52">
        <f t="shared" si="317"/>
        <v>0</v>
      </c>
      <c r="X133" s="52">
        <f t="shared" si="317"/>
        <v>0</v>
      </c>
      <c r="Y133" s="52">
        <f t="shared" si="317"/>
        <v>0</v>
      </c>
      <c r="Z133" s="52">
        <f t="shared" si="317"/>
        <v>0</v>
      </c>
      <c r="AA133" s="11">
        <f>SUM(T133:Z133)</f>
        <v>1783124.3646</v>
      </c>
      <c r="AC133" s="52">
        <f>AC132*0.335</f>
        <v>3003334.1609999998</v>
      </c>
      <c r="AD133" s="52">
        <f t="shared" ref="AD133:AI133" si="318">AD132*0.335</f>
        <v>519067.76</v>
      </c>
      <c r="AE133" s="52">
        <f t="shared" si="318"/>
        <v>54631.8</v>
      </c>
      <c r="AF133" s="52"/>
      <c r="AG133" s="52">
        <f t="shared" si="318"/>
        <v>0</v>
      </c>
      <c r="AH133" s="52">
        <f t="shared" si="318"/>
        <v>0</v>
      </c>
      <c r="AI133" s="52">
        <f t="shared" si="318"/>
        <v>0</v>
      </c>
      <c r="AJ133" s="11">
        <f>SUM(AC133:AI133)</f>
        <v>3577033.7209999999</v>
      </c>
      <c r="AL133" s="52">
        <f>AL132*0.335</f>
        <v>2797397.6311499998</v>
      </c>
      <c r="AM133" s="52">
        <f t="shared" ref="AM133:AR133" si="319">AM132*0.335</f>
        <v>440788.98000000004</v>
      </c>
      <c r="AN133" s="52">
        <f t="shared" si="319"/>
        <v>31838.400000000001</v>
      </c>
      <c r="AO133" s="52"/>
      <c r="AP133" s="52">
        <f t="shared" si="319"/>
        <v>0</v>
      </c>
      <c r="AQ133" s="52">
        <f t="shared" si="319"/>
        <v>0</v>
      </c>
      <c r="AR133" s="52">
        <f t="shared" si="319"/>
        <v>0</v>
      </c>
      <c r="AS133" s="11">
        <f>SUM(AL133:AR133)</f>
        <v>3270025.0111499997</v>
      </c>
      <c r="AU133" s="52">
        <f>AU132*0.335</f>
        <v>48323.75</v>
      </c>
      <c r="AV133" s="52">
        <f t="shared" ref="AV133:BA133" si="320">AV132*0.335</f>
        <v>36557.796249999999</v>
      </c>
      <c r="AW133" s="52">
        <f t="shared" si="320"/>
        <v>0</v>
      </c>
      <c r="AX133" s="52"/>
      <c r="AY133" s="52">
        <f t="shared" si="320"/>
        <v>0</v>
      </c>
      <c r="AZ133" s="52">
        <f t="shared" si="320"/>
        <v>0</v>
      </c>
      <c r="BA133" s="52">
        <f t="shared" si="320"/>
        <v>0</v>
      </c>
      <c r="BB133" s="11">
        <f>SUM(AU133:BA133)</f>
        <v>84881.546249999999</v>
      </c>
      <c r="BD133" s="52">
        <f>BD132*0.335</f>
        <v>401028.5</v>
      </c>
      <c r="BE133" s="52">
        <f t="shared" ref="BE133:BJ133" si="321">BE132*0.335</f>
        <v>20770</v>
      </c>
      <c r="BF133" s="52">
        <f t="shared" si="321"/>
        <v>9648</v>
      </c>
      <c r="BG133" s="52">
        <f t="shared" si="321"/>
        <v>0</v>
      </c>
      <c r="BH133" s="52">
        <f>BH132*0.335</f>
        <v>0</v>
      </c>
      <c r="BI133" s="52">
        <f t="shared" si="321"/>
        <v>0</v>
      </c>
      <c r="BJ133" s="52">
        <f t="shared" si="321"/>
        <v>0</v>
      </c>
      <c r="BK133" s="11">
        <f>SUM(BD133:BJ133)</f>
        <v>431446.5</v>
      </c>
      <c r="BM133" s="52">
        <f>BM132*0.335</f>
        <v>93910.55</v>
      </c>
      <c r="BN133" s="52">
        <f t="shared" ref="BN133:BO133" si="322">BN132*0.335</f>
        <v>0</v>
      </c>
      <c r="BO133" s="52">
        <f t="shared" si="322"/>
        <v>6097</v>
      </c>
      <c r="BP133" s="52"/>
      <c r="BQ133" s="52">
        <f t="shared" ref="BQ133:BS133" si="323">BQ132*0.335</f>
        <v>0</v>
      </c>
      <c r="BR133" s="52">
        <f t="shared" si="323"/>
        <v>0</v>
      </c>
      <c r="BS133" s="52">
        <f t="shared" si="323"/>
        <v>0</v>
      </c>
      <c r="BT133" s="11">
        <f>SUM(BM133:BS133)</f>
        <v>100007.55</v>
      </c>
      <c r="BV133" s="5">
        <f t="shared" ref="BV133:CA140" si="324">B133+K133+T133+AC133+AL133+AU133+BD133+BM133</f>
        <v>10354944.435600001</v>
      </c>
      <c r="BW133" s="5">
        <f t="shared" si="324"/>
        <v>1575786.1487499999</v>
      </c>
      <c r="BX133" s="5">
        <f t="shared" si="324"/>
        <v>166669.20000000001</v>
      </c>
      <c r="BY133" s="5">
        <f t="shared" si="324"/>
        <v>0</v>
      </c>
      <c r="BZ133" s="5">
        <f t="shared" si="324"/>
        <v>0</v>
      </c>
      <c r="CA133" s="5">
        <f t="shared" si="324"/>
        <v>0</v>
      </c>
      <c r="CB133" s="52">
        <f t="shared" ref="CB133" si="325">CB132*0.335</f>
        <v>0</v>
      </c>
      <c r="CC133" s="11">
        <f>SUM(BV133:CB133)</f>
        <v>12097399.78435</v>
      </c>
    </row>
    <row r="134" spans="1:83">
      <c r="A134" s="29" t="s">
        <v>116</v>
      </c>
      <c r="B134" s="11">
        <f>((7560*B65)*0.78)+((170*B65)*0.825)+((73*B65)*0.825)+(B132*0.015)+(B132*0.03)</f>
        <v>519997.85910000006</v>
      </c>
      <c r="C134" s="11">
        <f>((7560*C65)*0.78)+((170*C65)*0.825)+((73*C65)*0.825)+(C132*0.015)+(C132*0.03)</f>
        <v>83144.25</v>
      </c>
      <c r="D134" s="11">
        <f>((7560*D65)*0.25)+((170*D65)*0.35)+((73*D65)*0.5)+(D132*0.015)+(D132*0.03)</f>
        <v>6774.5999999999995</v>
      </c>
      <c r="E134" s="11">
        <f t="shared" ref="E134:G134" si="326">((7000*E65)*0.78)+((170*E65)*0.825)+((73*E65)*0.825)+(E132*0.015)+(E132*0.03)</f>
        <v>0</v>
      </c>
      <c r="F134" s="11">
        <f t="shared" si="326"/>
        <v>0</v>
      </c>
      <c r="G134" s="11">
        <f t="shared" si="326"/>
        <v>0</v>
      </c>
      <c r="H134" s="11">
        <f t="shared" ref="H134" si="327">((6750*H65)*0.8)+((175*H65)*0.825)+((70*H65)*0.825)+(H132*0.015)+(H132*0.031)</f>
        <v>0</v>
      </c>
      <c r="I134" s="11">
        <f>SUM(B134:H134)</f>
        <v>609916.70909999998</v>
      </c>
      <c r="J134" s="72"/>
      <c r="K134" s="11">
        <f>((7560*K65)*0.78)+((170*K65)*0.825)+((73*K65)*0.825)+(K132*0.015)+(K132*0.03)</f>
        <v>577152.21734999993</v>
      </c>
      <c r="L134" s="11">
        <f>((7560*L65)*0.78)+((170*L65)*0.825)+((73*L65)*0.825)+(L132*0.015)+(L132*0.03)</f>
        <v>83941.762499999997</v>
      </c>
      <c r="M134" s="11">
        <f>((7560*M65)*0.25)+((170*M65)*0.35)+((73*M65)*0.5)+(M132*0.015)+(M132*0.03)</f>
        <v>7041</v>
      </c>
      <c r="N134" s="11">
        <f t="shared" ref="N134:P134" si="328">((7300*N65)*0.8)+((170*N65)*0.825)+((73*N65)*0.825)+(N132*0.015)+(N132*0.031)</f>
        <v>0</v>
      </c>
      <c r="O134" s="11">
        <f t="shared" si="328"/>
        <v>0</v>
      </c>
      <c r="P134" s="11">
        <f t="shared" si="328"/>
        <v>0</v>
      </c>
      <c r="Q134" s="11">
        <f t="shared" ref="Q134" si="329">((6750*Q65)*0.8)+((175*Q65)*0.825)+((70*Q65)*0.825)+(Q132*0.015)+(Q132*0.031)</f>
        <v>0</v>
      </c>
      <c r="R134" s="11">
        <f>SUM(K134:Q134)</f>
        <v>668134.97984999989</v>
      </c>
      <c r="T134" s="11">
        <f>((7560*T65)*0.78)+((170*T65)*0.825)+((73*T65)*0.825)+(T132*0.015)+(T132*0.03)</f>
        <v>688441.21920000005</v>
      </c>
      <c r="U134" s="11">
        <f>((7560*U65)*0.78)+((170*U65)*0.825)+((73*U65)*0.825)+(U132*0.015)+(U132*0.03)</f>
        <v>111172.20075000002</v>
      </c>
      <c r="V134" s="11">
        <f>((7560*V65)*0.25)+((170*V65)*0.35)+((73*V65)*0.5)+(V132*0.015)+(V132*0.03)</f>
        <v>6758.4</v>
      </c>
      <c r="W134" s="11">
        <f t="shared" ref="W134:Y134" si="330">((7300*W65)*0.8)+((175*W65)*0.825)+((73*W65)*0.825)+(W132*0.015)+(W132*0.03)</f>
        <v>0</v>
      </c>
      <c r="X134" s="11">
        <f t="shared" si="330"/>
        <v>0</v>
      </c>
      <c r="Y134" s="11">
        <f t="shared" si="330"/>
        <v>0</v>
      </c>
      <c r="Z134" s="11">
        <f t="shared" ref="Z134" si="331">((6750*Z65)*0.8)+((175*Z65)*0.825)+((70*Z65)*0.825)+(Z132*0.015)+(Z132*0.031)</f>
        <v>0</v>
      </c>
      <c r="AA134" s="11">
        <f>SUM(T134:Z134)</f>
        <v>806371.81995000003</v>
      </c>
      <c r="AC134" s="11">
        <f>((7560*AC65)*0.78)+((170*AC65)*0.825)+((73*AC65)*0.825)+(AC132*0.015)+(AC132*0.03)</f>
        <v>1287537.8219999999</v>
      </c>
      <c r="AD134" s="11">
        <f>((7560*AD65)*0.78)+((170*AD65)*0.825)+((73*AD65)*0.825)+(AD132*0.015)+(AD132*0.03)</f>
        <v>252643.77</v>
      </c>
      <c r="AE134" s="11">
        <f>((7560*AE65)*0.25)+((170*AE65)*0.35)+((73*AE65)*0.5)+(AE132*0.015)+(AE132*0.03)</f>
        <v>19254.599999999999</v>
      </c>
      <c r="AF134" s="11">
        <f t="shared" ref="AF134:AH134" si="332">((7300*AF65)*0.78)+((175*AF65)*0.825)+((73*AF65)*0.825)+(AF132*0.015)+(AF132*0.03)</f>
        <v>0</v>
      </c>
      <c r="AG134" s="11">
        <f t="shared" si="332"/>
        <v>0</v>
      </c>
      <c r="AH134" s="11">
        <f t="shared" si="332"/>
        <v>0</v>
      </c>
      <c r="AI134" s="11">
        <f t="shared" ref="AI134" si="333">((6750*AI65)*0.8)+((175*AI65)*0.825)+((70*AI65)*0.825)+(AI132*0.015)+(AI132*0.031)</f>
        <v>0</v>
      </c>
      <c r="AJ134" s="11">
        <f>SUM(AC134:AI134)</f>
        <v>1559436.192</v>
      </c>
      <c r="AL134" s="11">
        <f>((7560*AL65)*0.78)+((170*AL65)*0.825)+((73*AL65)*0.825)+(AL132*0.015)+(AL132*0.03)</f>
        <v>1217193.7810500001</v>
      </c>
      <c r="AM134" s="11">
        <f>((7560*AM65)*0.78)+((170*AM65)*0.825)+((73*AM65)*0.825)+(AM132*0.015)+(AM132*0.03)</f>
        <v>220788.2475</v>
      </c>
      <c r="AN134" s="11">
        <f>((7560*AN65)*0.25)+((170*AN65)*0.35)+((73*AN65)*0.5)+(AN132*0.015)+(AN132*0.03)</f>
        <v>12220.8</v>
      </c>
      <c r="AO134" s="11">
        <f t="shared" ref="AO134:AQ134" si="334">((7300*AO65)*0.78)+((175*AO65)*0.825)+((73*AO65)*0.825)+(AO132*0.015)+(AO132*0.03)</f>
        <v>0</v>
      </c>
      <c r="AP134" s="11">
        <f t="shared" si="334"/>
        <v>0</v>
      </c>
      <c r="AQ134" s="11">
        <f t="shared" si="334"/>
        <v>0</v>
      </c>
      <c r="AR134" s="11">
        <f t="shared" ref="AR134" si="335">((6750*AR65)*0.8)+((175*AR65)*0.825)+((70*AR65)*0.825)+(AR132*0.015)+(AR132*0.031)</f>
        <v>0</v>
      </c>
      <c r="AS134" s="11">
        <f>SUM(AL134:AR134)</f>
        <v>1450202.8285500002</v>
      </c>
      <c r="AU134" s="11">
        <f>((7560*AU65)*0.8)+((175*AU65)*0.825)+((70*AU65)*0.825)+(AU132*0.015)+(AU132*0.03)</f>
        <v>25241.625</v>
      </c>
      <c r="AV134" s="11">
        <f>((7560*AV65)*0.8)+((175*AV65)*0.825)+((70*AV65)*0.825)+(AV132*0.015)+(AV132*0.03)</f>
        <v>17410.998749999999</v>
      </c>
      <c r="AW134" s="11">
        <f t="shared" ref="AW134:AZ134" si="336">((7300*AW65)*0.8)+((175*AW65)*0.825)+((70*AW65)*0.825)+(AW132*0.015)+(AW132*0.03)</f>
        <v>0</v>
      </c>
      <c r="AX134" s="11">
        <f t="shared" si="336"/>
        <v>0</v>
      </c>
      <c r="AY134" s="11">
        <f t="shared" si="336"/>
        <v>0</v>
      </c>
      <c r="AZ134" s="11">
        <f t="shared" si="336"/>
        <v>0</v>
      </c>
      <c r="BA134" s="11">
        <f t="shared" ref="BA134" si="337">((6750*BA65)*0.85)+((175*BA65)*0.85)+((70*BA65)*0.85)+(BA132*0.015)+(BA132*0.031)</f>
        <v>0</v>
      </c>
      <c r="BB134" s="11">
        <f>SUM(AU134:BA134)</f>
        <v>42652.623749999999</v>
      </c>
      <c r="BD134" s="11">
        <f>((7560*BD65)*0.78)+((170*BD65)*0.825)+((73*BD65)*0.825)+(BD132*0.015)+(BD132*0.03)</f>
        <v>181912.27500000002</v>
      </c>
      <c r="BE134" s="11">
        <f>((7560*BE65)*0.78)+((170*BE65)*0.825)+((73*BE65)*0.825)+(BE132*0.015)+(BE132*0.03)</f>
        <v>8887.2750000000015</v>
      </c>
      <c r="BF134" s="11">
        <f>((7560*BF65)*0.25)+((170*BF65)*0.35)+((73*BF65)*0.5)+(BF132*0.015)+(BF132*0.03)</f>
        <v>3282</v>
      </c>
      <c r="BG134" s="11">
        <f t="shared" ref="BG134" si="338">((7560*BG65)*0.25)+((170*BG65)*0.35)+((73*BG65)*0.5)+(BG132*0.015)+(BG132*0.03)</f>
        <v>0</v>
      </c>
      <c r="BH134" s="11">
        <f>((7560*BH65)*0)+((170*BH65)*0)+((73*BH65)*0.5)+(BH132*0.015)+(BH132*0.03)</f>
        <v>0</v>
      </c>
      <c r="BI134" s="11">
        <f t="shared" ref="BI134" si="339">((7300*BI65)*0.8)+((175*BI65)*0.825)+((70*BI65)*0.825)+(BI132*0.015)+(BI132*0.03)</f>
        <v>0</v>
      </c>
      <c r="BJ134" s="11">
        <f t="shared" ref="BJ134" si="340">((6750*BJ65)*0.8)+((175*BJ65)*0.825)+((70*BJ65)*0.825)+(BJ132*0.015)+(BJ132*0.031)</f>
        <v>0</v>
      </c>
      <c r="BK134" s="11">
        <f>SUM(BD134:BJ134)</f>
        <v>194081.55000000002</v>
      </c>
      <c r="BM134" s="11">
        <f>((7300*BM65)*0.8)+((BM17065)*0.825)+((72*BM65)*0.825)+(BM132*0.015)+(BM132*0.03)</f>
        <v>33262.75</v>
      </c>
      <c r="BN134" s="11">
        <f>((7300*BN65)*0.8)+((BN17065)*0.825)+((72*BN65)*0.825)+(BN132*0.015)+(BN132*0.03)</f>
        <v>0</v>
      </c>
      <c r="BO134" s="11">
        <f>(BO132*0.015)+(BO132*0.031)</f>
        <v>837.2</v>
      </c>
      <c r="BP134" s="11">
        <f t="shared" ref="BP134:BR134" si="341">((7300*BP65)*0.8)+((BP17065)*0.825)+((72*BP65)*0.825)+(BP132*0.015)+(BP132*0.03)</f>
        <v>0</v>
      </c>
      <c r="BQ134" s="11">
        <f t="shared" si="341"/>
        <v>0</v>
      </c>
      <c r="BR134" s="11">
        <f t="shared" si="341"/>
        <v>0</v>
      </c>
      <c r="BS134" s="11">
        <f t="shared" ref="BS134" si="342">((6850*BS65)*0.85)+((175*BS65)*0.85)+((70*BS65)*0.85)+(BS132*0.015)+(BS132*0.031)</f>
        <v>0</v>
      </c>
      <c r="BT134" s="11">
        <f>SUM(BM134:BS134)</f>
        <v>34099.949999999997</v>
      </c>
      <c r="BV134" s="5">
        <f t="shared" si="324"/>
        <v>4530739.5487000011</v>
      </c>
      <c r="BW134" s="5">
        <f t="shared" si="324"/>
        <v>777988.50450000016</v>
      </c>
      <c r="BX134" s="5">
        <f t="shared" si="324"/>
        <v>56168.599999999991</v>
      </c>
      <c r="BY134" s="5">
        <f t="shared" si="324"/>
        <v>0</v>
      </c>
      <c r="BZ134" s="5">
        <f t="shared" si="324"/>
        <v>0</v>
      </c>
      <c r="CA134" s="5">
        <f t="shared" si="324"/>
        <v>0</v>
      </c>
      <c r="CB134" s="11">
        <f t="shared" ref="CB134" si="343">((6850*CB65)*0.85)+((175*CB65)*0.85)+((70*CB65)*0.85)+(CB132*0.015)+(CB132*0.031)</f>
        <v>0</v>
      </c>
      <c r="CC134" s="11">
        <f>SUM(BV134:CB134)</f>
        <v>5364896.6532000005</v>
      </c>
      <c r="CE134" s="7">
        <f>CC134/CC132</f>
        <v>0.14801662350907582</v>
      </c>
    </row>
    <row r="135" spans="1:83">
      <c r="A135" s="29" t="s">
        <v>117</v>
      </c>
      <c r="B135" s="11">
        <f>((2500*B39)+(2000*B40)+(1750*B41)+(1750*B42)+(1750*B43)+(1750*B44)+(1750*B45)+(1100*B46)+(1000*B47)+(500*B48)+(500*B49)+(500*B50)+(500*B51)+(500*B52)+(500*B53)+(1100*B54)+(1000*B55)+(1100*B56)+(1100*B57)+(1100*B58)+(500*B59)+(500*B60)+(1100*B36))*0.99+5000</f>
        <v>68459</v>
      </c>
      <c r="C135" s="11">
        <f t="shared" ref="C135:D135" si="344">((2500*C39)+(2000*C40)+(1750*C41)+(1750*C42)+(1750*C43)+(1750*C44)+(1750*C45)+(1100*C46)+(1000*C47)+(500*C48)+(500*C49)+(500*C50)+(500*C51)+(500*C52)+(500*C53)+(1100*C54)+(1000*C55)+(1100*C56)+(1100*C57)+(1100*C58)+(500*C59)+(500*C60)+(1100*C36))*0.99</f>
        <v>8514</v>
      </c>
      <c r="D135" s="11">
        <f t="shared" si="344"/>
        <v>990</v>
      </c>
      <c r="E135" s="11">
        <f t="shared" ref="E135:H135" si="345">((2000*E39)+(1750*E40)+(1500*E41)+(1500*E42)+(1500*E43)+(1500*E44)+(1500*E45)+(1000*E46)+(1000*E47)+(500*E48)+(500*E49)+(500*E50)+(500*E51)+(500*E52)+(500*E53)+(1000*E54)+(1000*E55)+(1000*E56)+(1000*E57)+(1000*E58)+(500*E59)+(500*E60)+(1000*E36))*0.99</f>
        <v>0</v>
      </c>
      <c r="F135" s="11">
        <f t="shared" si="345"/>
        <v>0</v>
      </c>
      <c r="G135" s="11">
        <f t="shared" si="345"/>
        <v>0</v>
      </c>
      <c r="H135" s="11">
        <f t="shared" si="345"/>
        <v>0</v>
      </c>
      <c r="I135" s="11">
        <f t="shared" ref="I135:I140" si="346">SUM(B135:H135)</f>
        <v>77963</v>
      </c>
      <c r="K135" s="11">
        <f>((2500*K39)+(2000*K40)+(1750*K41)+(1750*K42)+(1750*K43)+(1750*K44)+(1750*K45)+(1100*K46)+(1000*K47)+(500*K48)+(500*K49)+(500*K50)+(500*K51)+(500*K52)+(500*K53)+(1100*K54)+(1000*K55)+(1100*K56)+(1100*K57)+(1100*K58)+(500*K59)+(500*K60)+(1100*K36))*0.99+5000</f>
        <v>73805</v>
      </c>
      <c r="L135" s="11">
        <f t="shared" ref="L135:M135" si="347">((2500*L39)+(2000*L40)+(1750*L41)+(1750*L42)+(1750*L43)+(1750*L44)+(1750*L45)+(1100*L46)+(1000*L47)+(500*L48)+(500*L49)+(500*L50)+(500*L51)+(500*L52)+(500*L53)+(1100*L54)+(1000*L55)+(1100*L56)+(1100*L57)+(1100*L58)+(500*L59)+(500*L60)+(1100*L36))*0.99</f>
        <v>8514</v>
      </c>
      <c r="M135" s="11">
        <f t="shared" si="347"/>
        <v>990</v>
      </c>
      <c r="N135" s="11">
        <f t="shared" ref="N135:Q135" si="348">((2000*N39)+(1750*N40)+(1500*N41)+(1500*N42)+(1500*N43)+(1500*N44)+(1500*N45)+(1000*N46)+(1000*N47)+(500*N48)+(500*N49)+(500*N50)+(500*N51)+(500*N52)+(500*N53)+(1000*N54)+(1000*N55)+(1000*N56)+(1000*N57)+(1000*N58)+(500*N59)+(500*N60)+(1000*N36))*0.99</f>
        <v>0</v>
      </c>
      <c r="O135" s="11">
        <f t="shared" si="348"/>
        <v>0</v>
      </c>
      <c r="P135" s="11">
        <f t="shared" si="348"/>
        <v>0</v>
      </c>
      <c r="Q135" s="11">
        <f t="shared" si="348"/>
        <v>0</v>
      </c>
      <c r="R135" s="11">
        <f t="shared" ref="R135:R140" si="349">SUM(K135:Q135)</f>
        <v>83309</v>
      </c>
      <c r="T135" s="11">
        <f>((2500*T39)+(2000*T40)+(1750*T41)+(1750*T42)+(1750*T43)+(1750*T44)+(1750*T45)+(1100*T46)+(1000*T47)+(500*T48)+(500*T49)+(500*T50)+(500*T51)+(500*T52)+(500*T53)+(1100*T54)+(1000*T55)+(1100*T56)+(1100*T57)+(1100*T58)+(500*T59)+(500*T60)+(1100*T36))*0.99+5000</f>
        <v>86873</v>
      </c>
      <c r="U135" s="11">
        <f t="shared" ref="U135:V135" si="350">((2500*U39)+(2000*U40)+(1750*U41)+(1750*U42)+(1750*U43)+(1750*U44)+(1750*U45)+(1100*U46)+(1000*U47)+(500*U48)+(500*U49)+(500*U50)+(500*U51)+(500*U52)+(500*U53)+(1100*U54)+(1000*U55)+(1100*U56)+(1100*U57)+(1100*U58)+(500*U59)+(500*U60)+(1100*U36))*0.99</f>
        <v>11447.37</v>
      </c>
      <c r="V135" s="11">
        <f t="shared" si="350"/>
        <v>990</v>
      </c>
      <c r="W135" s="11">
        <f t="shared" ref="W135:Z135" si="351">((2000*W39)+(1750*W40)+(1500*W41)+(1500*W42)+(1500*W43)+(1500*W44)+(1500*W45)+(1000*W46)+(1000*W47)+(500*W48)+(500*W49)+(500*W50)+(500*W51)+(500*W52)+(500*W53)+(1000*W54)+(1000*W55)+(1000*W56)+(1000*W57)+(1000*W58)+(500*W59)+(500*W60)+(1000*W36))</f>
        <v>0</v>
      </c>
      <c r="X135" s="11">
        <f t="shared" si="351"/>
        <v>0</v>
      </c>
      <c r="Y135" s="11">
        <f t="shared" si="351"/>
        <v>0</v>
      </c>
      <c r="Z135" s="11">
        <f t="shared" si="351"/>
        <v>0</v>
      </c>
      <c r="AA135" s="11">
        <f t="shared" ref="AA135:AA140" si="352">SUM(T135:Z135)</f>
        <v>99310.37</v>
      </c>
      <c r="AC135" s="11">
        <f>((2500*AC39)+(2000*AC40)+(1750*AC41)+(1750*AC42)+(1750*AC43)+(1750*AC44)+(1750*AC45)+(1100*AC46)+(1000*AC47)+(500*AC48)+(500*AC49)+(500*AC50)+(500*AC51)+(500*AC52)+(500*AC53)+(1100*AC54)+(1000*AC55)+(1100*AC56)+(1100*AC57)+(1100*AC58)+(500*AC59)+(500*AC60)+(1100*AC36))*0.99+10000</f>
        <v>161519.5</v>
      </c>
      <c r="AD135" s="11">
        <f t="shared" ref="AD135:AE135" si="353">((2500*AD39)+(2000*AD40)+(1750*AD41)+(1750*AD42)+(1750*AD43)+(1750*AD44)+(1750*AD45)+(1100*AD46)+(1000*AD47)+(500*AD48)+(500*AD49)+(500*AD50)+(500*AD51)+(500*AD52)+(500*AD53)+(1100*AD54)+(1000*AD55)+(1100*AD56)+(1100*AD57)+(1100*AD58)+(500*AD59)+(500*AD60)+(1100*AD36))*0.99</f>
        <v>24849</v>
      </c>
      <c r="AE135" s="11">
        <f t="shared" si="353"/>
        <v>2970</v>
      </c>
      <c r="AF135" s="11">
        <f t="shared" ref="AF135:AI135" si="354">((2000*AF39)+(1750*AF40)+(1500*AF41)+(1500*AF42)+(1500*AF43)+(1500*AF44)+(1500*AF45)+(1000*AF46)+(1000*AF47)+(500*AF48)+(500*AF49)+(500*AF50)+(500*AF51)+(500*AF52)+(500*AF53)+(1000*AF54)+(1000*AF55)+(1000*AF56)+(1000*AF57)+(1000*AF58)+(500*AF59)+(500*AF60)+(1000*AF36))*0.99</f>
        <v>0</v>
      </c>
      <c r="AG135" s="11">
        <f t="shared" si="354"/>
        <v>0</v>
      </c>
      <c r="AH135" s="11">
        <f t="shared" si="354"/>
        <v>0</v>
      </c>
      <c r="AI135" s="11">
        <f t="shared" si="354"/>
        <v>0</v>
      </c>
      <c r="AJ135" s="11">
        <f t="shared" ref="AJ135:AJ140" si="355">SUM(AC135:AI135)</f>
        <v>189338.5</v>
      </c>
      <c r="AL135" s="11">
        <f>((2500*AL39)+(2000*AL40)+(1750*AL41)+(1750*AL42)+(1750*AL43)+(1750*AL44)+(1750*AL45)+(1100*AL46)+(1000*AL47)+(500*AL48)+(500*AL49)+(500*AL50)+(500*AL51)+(500*AL52)+(500*AL53)+(1100*AL54)+(1000*AL55)+(1100*AL56)+(1100*AL57)+(1100*AL58)+(500*AL59)+(500*AL60)+(1100*AL36))*0.99</f>
        <v>145332</v>
      </c>
      <c r="AM135" s="11">
        <f t="shared" ref="AM135:AN135" si="356">((2500*AM39)+(2000*AM40)+(1750*AM41)+(1750*AM42)+(1750*AM43)+(1750*AM44)+(1750*AM45)+(1100*AM46)+(1000*AM47)+(500*AM48)+(500*AM49)+(500*AM50)+(500*AM51)+(500*AM52)+(500*AM53)+(1100*AM54)+(1000*AM55)+(1100*AM56)+(1100*AM57)+(1100*AM58)+(500*AM59)+(500*AM60)+(1100*AM36))*0.99</f>
        <v>21730.5</v>
      </c>
      <c r="AN135" s="11">
        <f t="shared" si="356"/>
        <v>1980</v>
      </c>
      <c r="AO135" s="11">
        <f t="shared" ref="AO135:AR135" si="357">((2000*AO39)+(1750*AO40)+(1500*AO41)+(1500*AO42)+(1500*AO43)+(1500*AO44)+(1500*AO45)+(1000*AO46)+(1000*AO47)+(500*AO48)+(500*AO49)+(500*AO50)+(500*AO51)+(500*AO52)+(500*AO53)+(1000*AO54)+(1000*AO55)+(1000*AO56)+(1000*AO57)+(1000*AO58)+(500*AO59)+(500*AO60)+(1000*AO36))*0.99</f>
        <v>0</v>
      </c>
      <c r="AP135" s="11">
        <f t="shared" si="357"/>
        <v>0</v>
      </c>
      <c r="AQ135" s="11">
        <f t="shared" si="357"/>
        <v>0</v>
      </c>
      <c r="AR135" s="11">
        <f t="shared" si="357"/>
        <v>0</v>
      </c>
      <c r="AS135" s="11">
        <f t="shared" ref="AS135:AS140" si="358">SUM(AL135:AR135)</f>
        <v>169042.5</v>
      </c>
      <c r="AU135" s="11">
        <f>((2500*AU39)+(2000*AU40)+(1750*AU41)+(1750*AU42)+(1750*AU43)+(1750*AU44)+(1750*AU45)+(1100*AU46)+(1000*AU47)+(500*AU48)+(500*AU49)+(500*AU50)+(500*AU51)+(500*AU52)+(500*AU53)+(1100*AU54)+(1000*AU55)+(1100*AU56)+(1100*AU57)+(1100*AU58)+(500*AU59)+(500*AU60)+(1100*AU36))*0.99</f>
        <v>2722.5</v>
      </c>
      <c r="AV135" s="11">
        <f t="shared" ref="AV135:AW135" si="359">((2500*AV39)+(2000*AV40)+(1750*AV41)+(1750*AV42)+(1750*AV43)+(1750*AV44)+(1750*AV45)+(1100*AV46)+(1000*AV47)+(500*AV48)+(500*AV49)+(500*AV50)+(500*AV51)+(500*AV52)+(500*AV53)+(1100*AV54)+(1000*AV55)+(1100*AV56)+(1100*AV57)+(1100*AV58)+(500*AV59)+(500*AV60)+(1100*AV36))*0.99</f>
        <v>1584</v>
      </c>
      <c r="AW135" s="11">
        <f t="shared" si="359"/>
        <v>0</v>
      </c>
      <c r="AX135" s="11">
        <f t="shared" ref="AX135:AY135" si="360">((2000*AX39)+(1750*AX40)+(1500*AX41)+(1500*AX42)+(1500*AX43)+(1500*AX44)+(1500*AX45)+(1000*AX46)+(1000*AX47)+(500*AX48)+(500*AX49)+(500*AX50)+(500*AX51)+(500*AX52)+(500*AX53)+(1000*AX54)+(1000*AX55)+(1000*AX56)+(1000*AX57)+(1000*AX58)+(500*AX59)+(500*AX60)+(1000*AX36))</f>
        <v>0</v>
      </c>
      <c r="AY135" s="11">
        <f t="shared" si="360"/>
        <v>0</v>
      </c>
      <c r="AZ135" s="11">
        <f t="shared" ref="AZ135:BA135" si="361">((2000*AZ39)+(1750*AZ40)+(1500*AZ41)+(1500*AZ42)+(1500*AZ43)+(1500*AZ44)+(1500*AZ45)+(1000*AZ46)+(1000*AZ47)+(500*AZ48)+(500*AZ49)+(500*AZ50)+(500*AZ51)+(500*AZ52)+(500*AZ53)+(1000*AZ54)+(1000*AZ55)+(1000*AZ56)+(1000*AZ57)+(1000*AZ58)+(500*AZ59)+(500*AZ60)+(1000*AZ36))*0.99</f>
        <v>0</v>
      </c>
      <c r="BA135" s="11">
        <f t="shared" si="361"/>
        <v>0</v>
      </c>
      <c r="BB135" s="11">
        <f t="shared" ref="BB135:BB140" si="362">SUM(AU135:BA135)</f>
        <v>4306.5</v>
      </c>
      <c r="BD135" s="11">
        <f>((2500*BD39)+(2000*BD40)+(1750*BD41)+(1750*BD42)+(1750*BD43)+(1750*BD44)+(1750*BD45)+(1100*BD46)+(1000*BD47)+(500*BD48)+(500*BD49)+(500*BD50)+(500*BD51)+(500*BD52)+(500*BD53)+(1100*BD54)+(1000*BD55)+(1100*BD56)+(1100*BD57)+(1100*BD58)+(500*BD59)+(500*BD60)+(1100*BD36))*0.8</f>
        <v>18920</v>
      </c>
      <c r="BE135" s="11">
        <f>((2500*BE39)+(2000*BE40)+(1750*BE41)+(1750*BE42)+(1750*BE43)+(1750*BE44)+(1750*BE45)+(1100*BE46)+(1000*BE47)+(500*BE48)+(500*BE49)+(500*BE50)+(500*BE51)+(500*BE52)+(500*BE53)+(1100*BE54)+(1000*BE55)+(1100*BE56)+(1100*BE57)+(1100*BE58)+(500*BE59)+(500*BE60)+(1100*BE36))</f>
        <v>1100</v>
      </c>
      <c r="BF135" s="11">
        <f t="shared" ref="BF135" si="363">((2500*BF39)+(2000*BF40)+(1750*BF41)+(1750*BF42)+(1750*BF43)+(1750*BF44)+(1750*BF45)+(1100*BF46)+(1000*BF47)+(500*BF48)+(500*BF49)+(500*BF50)+(500*BF51)+(500*BF52)+(500*BF53)+(1100*BF54)+(1000*BF55)+(1100*BF56)+(1100*BF57)+(1100*BF58)+(500*BF59)+(500*BF60)+(1100*BF36))*0.99</f>
        <v>495</v>
      </c>
      <c r="BG135" s="11">
        <v>0</v>
      </c>
      <c r="BH135" s="11"/>
      <c r="BI135" s="11">
        <f t="shared" ref="BI135" si="364">((2000*BI39)+(1750*BI40)+(1500*BI41)+(1500*BI42)+(1500*BI43)+(1500*BI44)+(1500*BI45)+(1000*BI46)+(1000*BI47)+(500*BI48)+(500*BI49)+(500*BI50)+(500*BI51)+(500*BI52)+(500*BI53)+(1000*BI54)+(1000*BI55)+(1000*BI56)+(1000*BI57)+(1000*BI58)+(500*BI59)+(500*BI60)+(1000*BI36))*0.33</f>
        <v>0</v>
      </c>
      <c r="BJ135" s="11">
        <f t="shared" ref="BJ135" si="365">((2000*BJ39)+(1750*BJ40)+(1500*BJ41)+(1500*BJ42)+(1500*BJ43)+(1500*BJ44)+(1500*BJ45)+(1000*BJ46)+(1000*BJ47)+(500*BJ48)+(500*BJ49)+(500*BJ50)+(500*BJ51)+(500*BJ52)+(500*BJ53)+(1000*BJ54)+(1000*BJ55)+(1000*BJ56)+(1000*BJ57)+(1000*BJ58)+(500*BJ59)+(500*BJ60)+(1000*BJ36))*0.99</f>
        <v>0</v>
      </c>
      <c r="BK135" s="11">
        <f t="shared" ref="BK135:BK140" si="366">SUM(BD135:BJ135)</f>
        <v>20515</v>
      </c>
      <c r="BM135" s="11">
        <f>((2000*BM39)+(1750*BM40)+(1500*BM41)+(1500*BM42)+(1500*BM43)+(1500*BM44)+(1500*BM45)+(1000*BM46)+(1000*BM47)+(500*BM48)+(500*BM49)+(500*BM50)+(500*BM51)+(500*BM52)+(500*BM53)+(1000*BM54)+(1000*BM55)+(1000*BM56)+(1000*BM57)+(1000*BM58)+(500*BM59)+(500*BM60)+(1000*BM36))</f>
        <v>3750</v>
      </c>
      <c r="BN135" s="11">
        <f t="shared" ref="BN135:BS135" si="367">((2000*BN39)+(1750*BN40)+(1500*BN41)+(1500*BN42)+(1500*BN43)+(1500*BN44)+(1500*BN45)+(1000*BN46)+(1000*BN47)+(500*BN48)+(500*BN49)+(500*BN50)+(500*BN51)+(500*BN52)+(500*BN53)+(1000*BN54)+(1000*BN55)+(1000*BN56)+(1000*BN57)+(1000*BN58)+(500*BN59)+(500*BN60)+(1000*BN36))*0.99</f>
        <v>0</v>
      </c>
      <c r="BO135" s="11">
        <f>((2000*BO39)+(1750*BO40)+(1500*BO41)+(1500*BO42)+(1500*BO43)+(1500*BO44)+(1500*BO45)+(1000*BO46)+(1000*BO47)+(500*BO48)+(500*BO49)+(500*BO50)+(500*BO51)+(500*BO52)+(500*BO53)+(1000*BO54)+(1000*BO55)+(1000*BO56)+(1000*BO57)+(1000*BO58)+(500*BO59)+(500*BO60)+(1000*BO36))</f>
        <v>250</v>
      </c>
      <c r="BP135" s="11">
        <f t="shared" si="367"/>
        <v>0</v>
      </c>
      <c r="BQ135" s="11">
        <f t="shared" si="367"/>
        <v>0</v>
      </c>
      <c r="BR135" s="11">
        <f t="shared" si="367"/>
        <v>0</v>
      </c>
      <c r="BS135" s="11">
        <f t="shared" si="367"/>
        <v>0</v>
      </c>
      <c r="BT135" s="11">
        <f t="shared" ref="BT135:BT140" si="368">SUM(BM135:BS135)</f>
        <v>4000</v>
      </c>
      <c r="BV135" s="5">
        <f t="shared" si="324"/>
        <v>561381</v>
      </c>
      <c r="BW135" s="5">
        <f t="shared" si="324"/>
        <v>77738.87</v>
      </c>
      <c r="BX135" s="5">
        <f t="shared" si="324"/>
        <v>8665</v>
      </c>
      <c r="BY135" s="5">
        <f t="shared" si="324"/>
        <v>0</v>
      </c>
      <c r="BZ135" s="5">
        <f t="shared" si="324"/>
        <v>0</v>
      </c>
      <c r="CA135" s="5">
        <f t="shared" si="324"/>
        <v>0</v>
      </c>
      <c r="CB135" s="11">
        <f t="shared" ref="CB135" si="369">((2000*CB39)+(1750*CB40)+(1500*CB41)+(1500*CB42)+(1500*CB43)+(1500*CB44)+(1500*CB45)+(1000*CB46)+(1000*CB47)+(500*CB48)+(500*CB49)+(500*CB50)+(500*CB51)+(500*CB52)+(500*CB53)+(1000*CB54)+(1000*CB55)+(1000*CB56)+(1000*CB57)+(1000*CB58)+(500*CB59)+(500*CB60)+(1000*CB36))*0.99</f>
        <v>0</v>
      </c>
      <c r="CC135" s="11">
        <f t="shared" ref="CC135:CC140" si="370">SUM(BV135:CB135)</f>
        <v>647784.87</v>
      </c>
    </row>
    <row r="136" spans="1:83">
      <c r="A136" s="29" t="s">
        <v>118</v>
      </c>
      <c r="B136" s="11">
        <f>150*B65+(150*25)</f>
        <v>12675</v>
      </c>
      <c r="C136" s="11">
        <f>150*C65</f>
        <v>1500</v>
      </c>
      <c r="D136" s="11">
        <f>150*D65</f>
        <v>300</v>
      </c>
      <c r="E136" s="11"/>
      <c r="F136" s="11"/>
      <c r="G136" s="11">
        <f>125*G65</f>
        <v>0</v>
      </c>
      <c r="H136" s="11">
        <f>125*H65</f>
        <v>0</v>
      </c>
      <c r="I136" s="11">
        <f t="shared" si="346"/>
        <v>14475</v>
      </c>
      <c r="K136" s="11">
        <f>150*K65+(150*25)</f>
        <v>13650</v>
      </c>
      <c r="L136" s="11">
        <f>150*L65</f>
        <v>1500</v>
      </c>
      <c r="M136" s="11">
        <f>150*M65</f>
        <v>300</v>
      </c>
      <c r="N136" s="11"/>
      <c r="O136" s="11">
        <f>125*O65</f>
        <v>0</v>
      </c>
      <c r="P136" s="11">
        <f>125*P65</f>
        <v>0</v>
      </c>
      <c r="Q136" s="11">
        <f>125*Q65</f>
        <v>0</v>
      </c>
      <c r="R136" s="11">
        <f t="shared" si="349"/>
        <v>15450</v>
      </c>
      <c r="T136" s="11">
        <f>150*T65+(150*25)</f>
        <v>15450</v>
      </c>
      <c r="U136" s="11">
        <f>150*U65</f>
        <v>1999.5</v>
      </c>
      <c r="V136" s="11">
        <f>150*V65</f>
        <v>300</v>
      </c>
      <c r="W136" s="11">
        <f t="shared" ref="W136:Z136" si="371">125*W65</f>
        <v>0</v>
      </c>
      <c r="X136" s="11">
        <f t="shared" si="371"/>
        <v>0</v>
      </c>
      <c r="Y136" s="11">
        <f t="shared" si="371"/>
        <v>0</v>
      </c>
      <c r="Z136" s="11">
        <f t="shared" si="371"/>
        <v>0</v>
      </c>
      <c r="AA136" s="11">
        <f t="shared" si="352"/>
        <v>17749.5</v>
      </c>
      <c r="AC136" s="11">
        <f>150*AC65+(150*35)</f>
        <v>27000</v>
      </c>
      <c r="AD136" s="11">
        <f>150*AD65</f>
        <v>4500</v>
      </c>
      <c r="AE136" s="11">
        <f>150*AE65</f>
        <v>900</v>
      </c>
      <c r="AF136" s="11"/>
      <c r="AG136" s="11">
        <f>125*AG65</f>
        <v>0</v>
      </c>
      <c r="AH136" s="11">
        <f>125*AH65</f>
        <v>0</v>
      </c>
      <c r="AI136" s="11">
        <f>125*AI65</f>
        <v>0</v>
      </c>
      <c r="AJ136" s="11">
        <f t="shared" si="355"/>
        <v>32400</v>
      </c>
      <c r="AL136" s="11">
        <f>150*AL65+(150*25)</f>
        <v>24450</v>
      </c>
      <c r="AM136" s="11">
        <f>150*AM65</f>
        <v>3975</v>
      </c>
      <c r="AN136" s="11">
        <f>150*AN65</f>
        <v>600</v>
      </c>
      <c r="AO136" s="11"/>
      <c r="AP136" s="11">
        <f>125*AP65</f>
        <v>0</v>
      </c>
      <c r="AQ136" s="11">
        <f>125*AQ65</f>
        <v>0</v>
      </c>
      <c r="AR136" s="11">
        <f>125*AR65</f>
        <v>0</v>
      </c>
      <c r="AS136" s="11">
        <f t="shared" si="358"/>
        <v>29025</v>
      </c>
      <c r="AU136" s="11">
        <f>150*AU65+(150*5)</f>
        <v>1200</v>
      </c>
      <c r="AV136" s="11">
        <f>150*AV65</f>
        <v>300</v>
      </c>
      <c r="AW136" s="11">
        <f>150*AW65</f>
        <v>0</v>
      </c>
      <c r="AX136" s="11"/>
      <c r="AY136" s="11">
        <f>125*AY65</f>
        <v>0</v>
      </c>
      <c r="AZ136" s="11">
        <f>125*AZ65</f>
        <v>0</v>
      </c>
      <c r="BA136" s="11">
        <f>125*BA65</f>
        <v>0</v>
      </c>
      <c r="BB136" s="11">
        <f t="shared" si="362"/>
        <v>1500</v>
      </c>
      <c r="BD136" s="11">
        <f>150*BD65+(150*8)</f>
        <v>4350</v>
      </c>
      <c r="BE136" s="11">
        <f>150*BE65</f>
        <v>150</v>
      </c>
      <c r="BF136" s="11">
        <f>150*BF65</f>
        <v>150</v>
      </c>
      <c r="BG136" s="11"/>
      <c r="BH136" s="11"/>
      <c r="BI136" s="11">
        <f>125*BI65</f>
        <v>0</v>
      </c>
      <c r="BJ136" s="11">
        <f>125*BJ65</f>
        <v>0</v>
      </c>
      <c r="BK136" s="11">
        <f t="shared" si="366"/>
        <v>4650</v>
      </c>
      <c r="BM136" s="11">
        <f>150*BM65+(150*25)</f>
        <v>4275</v>
      </c>
      <c r="BN136" s="11">
        <f>125*BN65</f>
        <v>0</v>
      </c>
      <c r="BO136" s="11">
        <f>150*BO65</f>
        <v>75</v>
      </c>
      <c r="BP136" s="11"/>
      <c r="BQ136" s="11">
        <f>125*BQ65</f>
        <v>0</v>
      </c>
      <c r="BR136" s="11">
        <f>125*BR65</f>
        <v>0</v>
      </c>
      <c r="BS136" s="11">
        <f>125*BS65</f>
        <v>0</v>
      </c>
      <c r="BT136" s="11">
        <f t="shared" si="368"/>
        <v>4350</v>
      </c>
      <c r="BV136" s="5">
        <f t="shared" si="324"/>
        <v>103050</v>
      </c>
      <c r="BW136" s="5">
        <f t="shared" si="324"/>
        <v>13924.5</v>
      </c>
      <c r="BX136" s="5">
        <f t="shared" si="324"/>
        <v>2625</v>
      </c>
      <c r="BY136" s="5">
        <f t="shared" si="324"/>
        <v>0</v>
      </c>
      <c r="BZ136" s="5">
        <f t="shared" si="324"/>
        <v>0</v>
      </c>
      <c r="CA136" s="5">
        <f t="shared" si="324"/>
        <v>0</v>
      </c>
      <c r="CB136" s="11">
        <f>125*CB65</f>
        <v>0</v>
      </c>
      <c r="CC136" s="11">
        <f t="shared" si="370"/>
        <v>119599.5</v>
      </c>
    </row>
    <row r="137" spans="1:83">
      <c r="A137" s="29" t="s">
        <v>119</v>
      </c>
      <c r="B137" s="11">
        <v>2500</v>
      </c>
      <c r="C137" s="11"/>
      <c r="D137" s="11"/>
      <c r="E137" s="11"/>
      <c r="F137" s="11"/>
      <c r="G137" s="11"/>
      <c r="H137" s="11"/>
      <c r="I137" s="11">
        <f t="shared" si="346"/>
        <v>2500</v>
      </c>
      <c r="K137" s="11">
        <v>2500</v>
      </c>
      <c r="L137" s="11"/>
      <c r="M137" s="11"/>
      <c r="N137" s="11"/>
      <c r="O137" s="11">
        <v>0</v>
      </c>
      <c r="P137" s="11"/>
      <c r="Q137" s="11"/>
      <c r="R137" s="11">
        <f t="shared" si="349"/>
        <v>2500</v>
      </c>
      <c r="T137" s="11">
        <v>10000</v>
      </c>
      <c r="U137" s="11"/>
      <c r="V137" s="11"/>
      <c r="W137" s="11"/>
      <c r="X137" s="11">
        <v>0</v>
      </c>
      <c r="Y137" s="11"/>
      <c r="Z137" s="11"/>
      <c r="AA137" s="11">
        <f t="shared" si="352"/>
        <v>10000</v>
      </c>
      <c r="AC137" s="11">
        <v>2500</v>
      </c>
      <c r="AD137" s="11"/>
      <c r="AE137" s="11"/>
      <c r="AF137" s="11"/>
      <c r="AG137" s="11">
        <v>0</v>
      </c>
      <c r="AH137" s="11"/>
      <c r="AI137" s="11"/>
      <c r="AJ137" s="11">
        <f t="shared" si="355"/>
        <v>2500</v>
      </c>
      <c r="AL137" s="11">
        <v>2500</v>
      </c>
      <c r="AM137" s="11"/>
      <c r="AN137" s="11"/>
      <c r="AO137" s="11"/>
      <c r="AP137" s="11">
        <v>0</v>
      </c>
      <c r="AQ137" s="11"/>
      <c r="AR137" s="11"/>
      <c r="AS137" s="11">
        <f t="shared" si="358"/>
        <v>2500</v>
      </c>
      <c r="AU137" s="11">
        <f>(115*(AU17+10)*12)+6000+15000+7000</f>
        <v>228100</v>
      </c>
      <c r="AV137" s="11">
        <v>17500</v>
      </c>
      <c r="AW137" s="11"/>
      <c r="AX137" s="11"/>
      <c r="AY137" s="11">
        <v>0</v>
      </c>
      <c r="AZ137" s="11"/>
      <c r="BA137" s="11"/>
      <c r="BB137" s="11">
        <f t="shared" si="362"/>
        <v>245600</v>
      </c>
      <c r="BD137" s="11">
        <v>0</v>
      </c>
      <c r="BE137" s="11"/>
      <c r="BF137" s="11"/>
      <c r="BG137" s="11"/>
      <c r="BH137" s="11">
        <v>0</v>
      </c>
      <c r="BI137" s="11"/>
      <c r="BJ137" s="11"/>
      <c r="BK137" s="11">
        <f t="shared" si="366"/>
        <v>0</v>
      </c>
      <c r="BM137" s="11">
        <v>0</v>
      </c>
      <c r="BN137" s="11"/>
      <c r="BO137" s="11"/>
      <c r="BP137" s="11"/>
      <c r="BQ137" s="11">
        <v>0</v>
      </c>
      <c r="BR137" s="11"/>
      <c r="BS137" s="11"/>
      <c r="BT137" s="11">
        <f t="shared" si="368"/>
        <v>0</v>
      </c>
      <c r="BV137" s="5">
        <f t="shared" si="324"/>
        <v>248100</v>
      </c>
      <c r="BW137" s="5">
        <f t="shared" si="324"/>
        <v>17500</v>
      </c>
      <c r="BX137" s="5">
        <f t="shared" si="324"/>
        <v>0</v>
      </c>
      <c r="BY137" s="5">
        <f t="shared" si="324"/>
        <v>0</v>
      </c>
      <c r="BZ137" s="5">
        <f t="shared" si="324"/>
        <v>0</v>
      </c>
      <c r="CA137" s="5">
        <f t="shared" si="324"/>
        <v>0</v>
      </c>
      <c r="CB137" s="11"/>
      <c r="CC137" s="11">
        <f t="shared" si="370"/>
        <v>265600</v>
      </c>
    </row>
    <row r="138" spans="1:83">
      <c r="A138" s="29" t="s">
        <v>120</v>
      </c>
      <c r="B138" s="11">
        <v>0</v>
      </c>
      <c r="C138" s="11">
        <v>0</v>
      </c>
      <c r="D138" s="11">
        <v>0</v>
      </c>
      <c r="E138" s="11"/>
      <c r="F138" s="11"/>
      <c r="G138" s="11"/>
      <c r="H138" s="11"/>
      <c r="I138" s="11">
        <f t="shared" si="346"/>
        <v>0</v>
      </c>
      <c r="K138" s="11">
        <v>0</v>
      </c>
      <c r="L138" s="11">
        <v>0</v>
      </c>
      <c r="M138" s="11">
        <v>0</v>
      </c>
      <c r="N138" s="11"/>
      <c r="O138" s="11"/>
      <c r="P138" s="11"/>
      <c r="Q138" s="11"/>
      <c r="R138" s="11">
        <f t="shared" si="349"/>
        <v>0</v>
      </c>
      <c r="T138" s="11">
        <v>0</v>
      </c>
      <c r="U138" s="11">
        <v>0</v>
      </c>
      <c r="V138" s="11">
        <v>0</v>
      </c>
      <c r="W138" s="11"/>
      <c r="X138" s="11"/>
      <c r="Y138" s="11"/>
      <c r="Z138" s="11"/>
      <c r="AA138" s="11">
        <f t="shared" si="352"/>
        <v>0</v>
      </c>
      <c r="AC138" s="11">
        <v>0</v>
      </c>
      <c r="AD138" s="11">
        <v>0</v>
      </c>
      <c r="AE138" s="11">
        <v>0</v>
      </c>
      <c r="AF138" s="11"/>
      <c r="AG138" s="11"/>
      <c r="AH138" s="11"/>
      <c r="AI138" s="11"/>
      <c r="AJ138" s="11">
        <f t="shared" si="355"/>
        <v>0</v>
      </c>
      <c r="AL138" s="11">
        <v>0</v>
      </c>
      <c r="AM138" s="11">
        <v>0</v>
      </c>
      <c r="AN138" s="11">
        <v>0</v>
      </c>
      <c r="AO138" s="11"/>
      <c r="AP138" s="11"/>
      <c r="AQ138" s="11"/>
      <c r="AR138" s="11"/>
      <c r="AS138" s="11">
        <f t="shared" si="358"/>
        <v>0</v>
      </c>
      <c r="AU138" s="11">
        <v>0</v>
      </c>
      <c r="AV138" s="11">
        <v>0</v>
      </c>
      <c r="AW138" s="11">
        <v>0</v>
      </c>
      <c r="AX138" s="11"/>
      <c r="AY138" s="11"/>
      <c r="AZ138" s="11"/>
      <c r="BA138" s="11"/>
      <c r="BB138" s="11">
        <f t="shared" si="362"/>
        <v>0</v>
      </c>
      <c r="BD138" s="11">
        <v>0</v>
      </c>
      <c r="BE138" s="11">
        <v>0</v>
      </c>
      <c r="BF138" s="11">
        <v>0</v>
      </c>
      <c r="BG138" s="11"/>
      <c r="BH138" s="11"/>
      <c r="BI138" s="11"/>
      <c r="BJ138" s="11"/>
      <c r="BK138" s="11">
        <f t="shared" si="366"/>
        <v>0</v>
      </c>
      <c r="BM138" s="11">
        <v>0</v>
      </c>
      <c r="BN138" s="11">
        <v>0</v>
      </c>
      <c r="BO138" s="11">
        <v>0</v>
      </c>
      <c r="BP138" s="11"/>
      <c r="BQ138" s="11"/>
      <c r="BR138" s="11"/>
      <c r="BS138" s="11"/>
      <c r="BT138" s="11">
        <f t="shared" si="368"/>
        <v>0</v>
      </c>
      <c r="BV138" s="5">
        <f t="shared" si="324"/>
        <v>0</v>
      </c>
      <c r="BW138" s="5">
        <f t="shared" si="324"/>
        <v>0</v>
      </c>
      <c r="BX138" s="5">
        <f t="shared" si="324"/>
        <v>0</v>
      </c>
      <c r="BY138" s="5">
        <f t="shared" si="324"/>
        <v>0</v>
      </c>
      <c r="BZ138" s="5">
        <f t="shared" si="324"/>
        <v>0</v>
      </c>
      <c r="CA138" s="5">
        <f t="shared" si="324"/>
        <v>0</v>
      </c>
      <c r="CB138" s="11"/>
      <c r="CC138" s="11">
        <f t="shared" si="370"/>
        <v>0</v>
      </c>
    </row>
    <row r="139" spans="1:83">
      <c r="A139" s="29" t="s">
        <v>121</v>
      </c>
      <c r="B139" s="11">
        <v>10000</v>
      </c>
      <c r="C139" s="11"/>
      <c r="D139" s="11"/>
      <c r="E139" s="11"/>
      <c r="F139" s="11"/>
      <c r="G139" s="11"/>
      <c r="H139" s="11"/>
      <c r="I139" s="5">
        <f t="shared" si="346"/>
        <v>10000</v>
      </c>
      <c r="K139" s="11">
        <v>10000</v>
      </c>
      <c r="L139" s="11"/>
      <c r="M139" s="11"/>
      <c r="N139" s="11"/>
      <c r="O139" s="11"/>
      <c r="P139" s="11"/>
      <c r="Q139" s="11"/>
      <c r="R139" s="5">
        <f t="shared" si="349"/>
        <v>10000</v>
      </c>
      <c r="T139" s="11">
        <v>12000</v>
      </c>
      <c r="U139" s="11"/>
      <c r="V139" s="11"/>
      <c r="W139" s="11"/>
      <c r="X139" s="11"/>
      <c r="Y139" s="11"/>
      <c r="Z139" s="11"/>
      <c r="AA139" s="5">
        <f t="shared" si="352"/>
        <v>12000</v>
      </c>
      <c r="AC139" s="11">
        <v>15000</v>
      </c>
      <c r="AD139" s="11"/>
      <c r="AE139" s="11"/>
      <c r="AF139" s="11"/>
      <c r="AG139" s="11"/>
      <c r="AH139" s="11"/>
      <c r="AI139" s="11"/>
      <c r="AJ139" s="5">
        <f t="shared" si="355"/>
        <v>15000</v>
      </c>
      <c r="AL139" s="11">
        <v>15000</v>
      </c>
      <c r="AM139" s="11"/>
      <c r="AN139" s="11"/>
      <c r="AO139" s="11"/>
      <c r="AP139" s="11"/>
      <c r="AQ139" s="11"/>
      <c r="AR139" s="11"/>
      <c r="AS139" s="5">
        <f t="shared" si="358"/>
        <v>15000</v>
      </c>
      <c r="AU139" s="11">
        <v>2500</v>
      </c>
      <c r="AV139" s="11"/>
      <c r="AW139" s="11"/>
      <c r="AX139" s="11"/>
      <c r="AY139" s="11"/>
      <c r="AZ139" s="11"/>
      <c r="BA139" s="11"/>
      <c r="BB139" s="5">
        <f t="shared" si="362"/>
        <v>2500</v>
      </c>
      <c r="BD139" s="11">
        <v>2500</v>
      </c>
      <c r="BE139" s="11"/>
      <c r="BF139" s="11"/>
      <c r="BG139" s="11"/>
      <c r="BH139" s="11"/>
      <c r="BI139" s="11"/>
      <c r="BJ139" s="11"/>
      <c r="BK139" s="5">
        <f t="shared" si="366"/>
        <v>2500</v>
      </c>
      <c r="BM139" s="11">
        <v>0</v>
      </c>
      <c r="BN139" s="11"/>
      <c r="BO139" s="11"/>
      <c r="BP139" s="11"/>
      <c r="BQ139" s="11"/>
      <c r="BR139" s="11"/>
      <c r="BS139" s="11"/>
      <c r="BT139" s="5">
        <f t="shared" si="368"/>
        <v>0</v>
      </c>
      <c r="BV139" s="5">
        <f t="shared" si="324"/>
        <v>67000</v>
      </c>
      <c r="BW139" s="5">
        <f t="shared" si="324"/>
        <v>0</v>
      </c>
      <c r="BX139" s="5">
        <f t="shared" si="324"/>
        <v>0</v>
      </c>
      <c r="BY139" s="5">
        <f t="shared" si="324"/>
        <v>0</v>
      </c>
      <c r="BZ139" s="5">
        <f t="shared" si="324"/>
        <v>0</v>
      </c>
      <c r="CA139" s="5">
        <f t="shared" si="324"/>
        <v>0</v>
      </c>
      <c r="CB139" s="11"/>
      <c r="CC139" s="5">
        <f t="shared" si="370"/>
        <v>67000</v>
      </c>
    </row>
    <row r="140" spans="1:83">
      <c r="A140" s="29" t="s">
        <v>122</v>
      </c>
      <c r="B140" s="35">
        <f>(190*11*(B36))-B130</f>
        <v>55235</v>
      </c>
      <c r="C140" s="35">
        <f t="shared" ref="C140:G140" si="372">(190*11*(C36))-C130</f>
        <v>10450</v>
      </c>
      <c r="D140" s="35">
        <f t="shared" si="372"/>
        <v>0</v>
      </c>
      <c r="E140" s="35">
        <f t="shared" si="372"/>
        <v>0</v>
      </c>
      <c r="F140" s="35">
        <f t="shared" si="372"/>
        <v>0</v>
      </c>
      <c r="G140" s="35">
        <f t="shared" si="372"/>
        <v>0</v>
      </c>
      <c r="H140" s="35">
        <f t="shared" ref="H140" si="373">(175*11*(H36))-H130</f>
        <v>0</v>
      </c>
      <c r="I140" s="5">
        <f t="shared" si="346"/>
        <v>65685</v>
      </c>
      <c r="K140" s="35">
        <f>(190*11*(K36))-K130</f>
        <v>60460</v>
      </c>
      <c r="L140" s="35">
        <f t="shared" ref="L140:P140" si="374">(190*11*(L36))-L130</f>
        <v>8360</v>
      </c>
      <c r="M140" s="35">
        <f t="shared" si="374"/>
        <v>0</v>
      </c>
      <c r="N140" s="35">
        <f t="shared" si="374"/>
        <v>0</v>
      </c>
      <c r="O140" s="35">
        <f t="shared" si="374"/>
        <v>0</v>
      </c>
      <c r="P140" s="35">
        <f t="shared" si="374"/>
        <v>0</v>
      </c>
      <c r="Q140" s="35">
        <f t="shared" ref="Q140" si="375">(175*11*(Q36))-Q130</f>
        <v>0</v>
      </c>
      <c r="R140" s="5">
        <f t="shared" si="349"/>
        <v>68820</v>
      </c>
      <c r="T140" s="35">
        <f>(190*11*(T36))-T130</f>
        <v>54040</v>
      </c>
      <c r="U140" s="35">
        <f t="shared" ref="U140:Z140" si="376">(190*11*(U36))-U130</f>
        <v>10450</v>
      </c>
      <c r="V140" s="35">
        <f t="shared" si="376"/>
        <v>0</v>
      </c>
      <c r="W140" s="35">
        <f t="shared" si="376"/>
        <v>0</v>
      </c>
      <c r="X140" s="35">
        <f t="shared" si="376"/>
        <v>0</v>
      </c>
      <c r="Y140" s="35">
        <f t="shared" si="376"/>
        <v>0</v>
      </c>
      <c r="Z140" s="35">
        <f t="shared" si="376"/>
        <v>0</v>
      </c>
      <c r="AA140" s="5">
        <f t="shared" si="352"/>
        <v>64490</v>
      </c>
      <c r="AC140" s="35">
        <f>(190*11*(AC36))-AC130</f>
        <v>106140</v>
      </c>
      <c r="AD140" s="35">
        <f t="shared" ref="AD140:AH140" si="377">(190*11*(AD36))-AD130</f>
        <v>27170</v>
      </c>
      <c r="AE140" s="35">
        <f t="shared" si="377"/>
        <v>0</v>
      </c>
      <c r="AF140" s="35">
        <f t="shared" si="377"/>
        <v>0</v>
      </c>
      <c r="AG140" s="35">
        <f t="shared" si="377"/>
        <v>0</v>
      </c>
      <c r="AH140" s="35">
        <f t="shared" si="377"/>
        <v>0</v>
      </c>
      <c r="AI140" s="35">
        <f t="shared" ref="AI140" si="378">(175*11*(AI36))-AI130</f>
        <v>0</v>
      </c>
      <c r="AJ140" s="5">
        <f t="shared" si="355"/>
        <v>133310</v>
      </c>
      <c r="AL140" s="35">
        <f>(190*11*(AL36))-AL130</f>
        <v>74640</v>
      </c>
      <c r="AM140" s="35">
        <f>(190*11*(AM36))-AM130</f>
        <v>25080</v>
      </c>
      <c r="AN140" s="35">
        <f t="shared" ref="AN140:AO140" si="379">(185*11*(AN36))-AN130</f>
        <v>0</v>
      </c>
      <c r="AO140" s="35">
        <f t="shared" si="379"/>
        <v>0</v>
      </c>
      <c r="AP140" s="35">
        <f t="shared" ref="AP140:AR140" si="380">(175*11*(AP36))-AP130</f>
        <v>0</v>
      </c>
      <c r="AQ140" s="35">
        <f t="shared" si="380"/>
        <v>0</v>
      </c>
      <c r="AR140" s="35">
        <f t="shared" si="380"/>
        <v>0</v>
      </c>
      <c r="AS140" s="5">
        <f t="shared" si="358"/>
        <v>99720</v>
      </c>
      <c r="AU140" s="35">
        <f>(190*11*(AU36))-AU130</f>
        <v>0</v>
      </c>
      <c r="AV140" s="35">
        <f t="shared" ref="AV140:AZ140" si="381">(190*11*(AV36))-AV130</f>
        <v>2090</v>
      </c>
      <c r="AW140" s="35">
        <f t="shared" si="381"/>
        <v>0</v>
      </c>
      <c r="AX140" s="35">
        <f t="shared" si="381"/>
        <v>0</v>
      </c>
      <c r="AY140" s="35">
        <f t="shared" si="381"/>
        <v>0</v>
      </c>
      <c r="AZ140" s="35">
        <f t="shared" si="381"/>
        <v>0</v>
      </c>
      <c r="BA140" s="35">
        <f t="shared" ref="BA140" si="382">(175*11*(BA36))-BA130</f>
        <v>0</v>
      </c>
      <c r="BB140" s="5">
        <f t="shared" si="362"/>
        <v>2090</v>
      </c>
      <c r="BD140" s="35">
        <f>(190*11*(BD36))-BD130</f>
        <v>27170</v>
      </c>
      <c r="BE140" s="35">
        <f t="shared" ref="BE140:BI140" si="383">(190*11*(BE36))-BE130</f>
        <v>2090</v>
      </c>
      <c r="BF140" s="35">
        <f t="shared" si="383"/>
        <v>0</v>
      </c>
      <c r="BG140" s="35">
        <f t="shared" si="383"/>
        <v>0</v>
      </c>
      <c r="BH140" s="35">
        <f t="shared" si="383"/>
        <v>0</v>
      </c>
      <c r="BI140" s="35">
        <f t="shared" si="383"/>
        <v>0</v>
      </c>
      <c r="BJ140" s="35">
        <f t="shared" ref="BJ140" si="384">(175*11*(BJ36))-BJ130</f>
        <v>0</v>
      </c>
      <c r="BK140" s="5">
        <f t="shared" si="366"/>
        <v>29260</v>
      </c>
      <c r="BM140" s="35">
        <v>0</v>
      </c>
      <c r="BN140" s="35">
        <f t="shared" ref="BN140:BP140" si="385">(185*11*(BN36))-BN130</f>
        <v>0</v>
      </c>
      <c r="BO140" s="35">
        <f t="shared" si="385"/>
        <v>0</v>
      </c>
      <c r="BP140" s="35">
        <f t="shared" si="385"/>
        <v>0</v>
      </c>
      <c r="BQ140" s="35">
        <f t="shared" ref="BQ140:BS140" si="386">(175*11*(BQ36))-BQ130</f>
        <v>0</v>
      </c>
      <c r="BR140" s="35">
        <f t="shared" si="386"/>
        <v>0</v>
      </c>
      <c r="BS140" s="35">
        <f t="shared" si="386"/>
        <v>0</v>
      </c>
      <c r="BT140" s="5">
        <f t="shared" si="368"/>
        <v>0</v>
      </c>
      <c r="BV140" s="5">
        <f t="shared" si="324"/>
        <v>377685</v>
      </c>
      <c r="BW140" s="5">
        <f t="shared" si="324"/>
        <v>85690</v>
      </c>
      <c r="BX140" s="5">
        <f t="shared" si="324"/>
        <v>0</v>
      </c>
      <c r="BY140" s="5">
        <f t="shared" si="324"/>
        <v>0</v>
      </c>
      <c r="BZ140" s="5">
        <f t="shared" si="324"/>
        <v>0</v>
      </c>
      <c r="CA140" s="5">
        <f t="shared" si="324"/>
        <v>0</v>
      </c>
      <c r="CB140" s="35">
        <f t="shared" ref="CB140" si="387">(175*11*(CB36))-CB130</f>
        <v>0</v>
      </c>
      <c r="CC140" s="5">
        <f t="shared" si="370"/>
        <v>463375</v>
      </c>
    </row>
    <row r="141" spans="1:83" ht="15">
      <c r="A141" s="73" t="s">
        <v>123</v>
      </c>
      <c r="B141" s="74">
        <f>SUM(B133:B140)</f>
        <v>1839207.9449</v>
      </c>
      <c r="C141" s="74">
        <f t="shared" ref="C141:H141" si="388">SUM(C133:C140)</f>
        <v>268662.75</v>
      </c>
      <c r="D141" s="74">
        <f t="shared" si="388"/>
        <v>28928.400000000001</v>
      </c>
      <c r="E141" s="74">
        <f t="shared" si="388"/>
        <v>0</v>
      </c>
      <c r="F141" s="74">
        <f t="shared" si="388"/>
        <v>0</v>
      </c>
      <c r="G141" s="74">
        <f t="shared" si="388"/>
        <v>0</v>
      </c>
      <c r="H141" s="74">
        <f t="shared" si="388"/>
        <v>0</v>
      </c>
      <c r="I141" s="74">
        <f>SUM(I133:I140)</f>
        <v>2136799.0948999999</v>
      </c>
      <c r="J141" s="7"/>
      <c r="K141" s="74">
        <f>SUM(K133:K140)</f>
        <v>2038350.3854</v>
      </c>
      <c r="L141" s="74">
        <f t="shared" ref="L141:Q141" si="389">SUM(L133:L140)</f>
        <v>273307.3</v>
      </c>
      <c r="M141" s="74">
        <f t="shared" si="389"/>
        <v>31178</v>
      </c>
      <c r="N141" s="74"/>
      <c r="O141" s="74">
        <f t="shared" si="389"/>
        <v>0</v>
      </c>
      <c r="P141" s="74">
        <f t="shared" si="389"/>
        <v>0</v>
      </c>
      <c r="Q141" s="74">
        <f t="shared" si="389"/>
        <v>0</v>
      </c>
      <c r="R141" s="74">
        <f>SUM(R133:R140)</f>
        <v>2342835.6854000003</v>
      </c>
      <c r="T141" s="74">
        <f>SUM(T133:T140)</f>
        <v>2406629.8088000002</v>
      </c>
      <c r="U141" s="74">
        <f t="shared" ref="U141:Z141" si="390">SUM(U133:U140)</f>
        <v>357624.64575000003</v>
      </c>
      <c r="V141" s="74">
        <f t="shared" si="390"/>
        <v>28791.599999999999</v>
      </c>
      <c r="W141" s="74"/>
      <c r="X141" s="74">
        <f t="shared" si="390"/>
        <v>0</v>
      </c>
      <c r="Y141" s="74">
        <f t="shared" si="390"/>
        <v>0</v>
      </c>
      <c r="Z141" s="74">
        <f t="shared" si="390"/>
        <v>0</v>
      </c>
      <c r="AA141" s="74">
        <f>SUM(AA133:AA140)</f>
        <v>2793046.05455</v>
      </c>
      <c r="AC141" s="74">
        <f>SUM(AC133:AC140)</f>
        <v>4603031.483</v>
      </c>
      <c r="AD141" s="74">
        <f t="shared" ref="AD141:AI141" si="391">SUM(AD133:AD140)</f>
        <v>828230.53</v>
      </c>
      <c r="AE141" s="74">
        <f t="shared" si="391"/>
        <v>77756.399999999994</v>
      </c>
      <c r="AF141" s="74">
        <f t="shared" si="391"/>
        <v>0</v>
      </c>
      <c r="AG141" s="74">
        <f t="shared" si="391"/>
        <v>0</v>
      </c>
      <c r="AH141" s="74">
        <f t="shared" si="391"/>
        <v>0</v>
      </c>
      <c r="AI141" s="74">
        <f t="shared" si="391"/>
        <v>0</v>
      </c>
      <c r="AJ141" s="74">
        <f>SUM(AJ133:AJ140)</f>
        <v>5509018.4129999997</v>
      </c>
      <c r="AL141" s="74">
        <f>SUM(AL133:AL140)</f>
        <v>4276513.4122000001</v>
      </c>
      <c r="AM141" s="74">
        <f t="shared" ref="AM141:AR141" si="392">SUM(AM133:AM140)</f>
        <v>712362.72750000004</v>
      </c>
      <c r="AN141" s="74">
        <f t="shared" si="392"/>
        <v>46639.199999999997</v>
      </c>
      <c r="AO141" s="74">
        <f t="shared" si="392"/>
        <v>0</v>
      </c>
      <c r="AP141" s="74">
        <f t="shared" si="392"/>
        <v>0</v>
      </c>
      <c r="AQ141" s="74">
        <f t="shared" si="392"/>
        <v>0</v>
      </c>
      <c r="AR141" s="74">
        <f t="shared" si="392"/>
        <v>0</v>
      </c>
      <c r="AS141" s="74">
        <f>SUM(AS133:AS140)</f>
        <v>5035515.3397000004</v>
      </c>
      <c r="AU141" s="74">
        <f>SUM(AU133:AU140)</f>
        <v>308087.875</v>
      </c>
      <c r="AV141" s="74">
        <f t="shared" ref="AV141:BA141" si="393">SUM(AV133:AV140)</f>
        <v>75442.794999999998</v>
      </c>
      <c r="AW141" s="74">
        <f t="shared" si="393"/>
        <v>0</v>
      </c>
      <c r="AX141" s="74">
        <f t="shared" si="393"/>
        <v>0</v>
      </c>
      <c r="AY141" s="74">
        <f t="shared" si="393"/>
        <v>0</v>
      </c>
      <c r="AZ141" s="74">
        <f t="shared" si="393"/>
        <v>0</v>
      </c>
      <c r="BA141" s="74">
        <f t="shared" si="393"/>
        <v>0</v>
      </c>
      <c r="BB141" s="74">
        <f>SUM(BB133:BB140)</f>
        <v>383530.67</v>
      </c>
      <c r="BD141" s="74">
        <f>SUM(BD133:BD140)</f>
        <v>635880.77500000002</v>
      </c>
      <c r="BE141" s="74">
        <f t="shared" ref="BE141:BJ141" si="394">SUM(BE133:BE140)</f>
        <v>32997.275000000001</v>
      </c>
      <c r="BF141" s="74">
        <f t="shared" si="394"/>
        <v>13575</v>
      </c>
      <c r="BG141" s="74">
        <f t="shared" si="394"/>
        <v>0</v>
      </c>
      <c r="BH141" s="74">
        <f t="shared" si="394"/>
        <v>0</v>
      </c>
      <c r="BI141" s="74">
        <f t="shared" si="394"/>
        <v>0</v>
      </c>
      <c r="BJ141" s="74">
        <f t="shared" si="394"/>
        <v>0</v>
      </c>
      <c r="BK141" s="74">
        <f>SUM(BK133:BK140)</f>
        <v>682453.05</v>
      </c>
      <c r="BM141" s="74">
        <f>SUM(BM133:BM140)</f>
        <v>135198.29999999999</v>
      </c>
      <c r="BN141" s="74">
        <f t="shared" ref="BN141:BS141" si="395">SUM(BN133:BN140)</f>
        <v>0</v>
      </c>
      <c r="BO141" s="74">
        <f t="shared" si="395"/>
        <v>7259.2</v>
      </c>
      <c r="BP141" s="74">
        <f t="shared" si="395"/>
        <v>0</v>
      </c>
      <c r="BQ141" s="74">
        <f t="shared" si="395"/>
        <v>0</v>
      </c>
      <c r="BR141" s="74">
        <f t="shared" si="395"/>
        <v>0</v>
      </c>
      <c r="BS141" s="74">
        <f t="shared" si="395"/>
        <v>0</v>
      </c>
      <c r="BT141" s="74">
        <f>SUM(BT133:BT140)</f>
        <v>142457.5</v>
      </c>
      <c r="BV141" s="74">
        <f>SUM(BV133:BV140)</f>
        <v>16242899.984300002</v>
      </c>
      <c r="BW141" s="74">
        <f t="shared" ref="BW141:CB141" si="396">SUM(BW133:BW140)</f>
        <v>2548628.0232500001</v>
      </c>
      <c r="BX141" s="74">
        <f t="shared" si="396"/>
        <v>234127.8</v>
      </c>
      <c r="BY141" s="74">
        <f t="shared" si="396"/>
        <v>0</v>
      </c>
      <c r="BZ141" s="74">
        <f t="shared" si="396"/>
        <v>0</v>
      </c>
      <c r="CA141" s="74">
        <f t="shared" si="396"/>
        <v>0</v>
      </c>
      <c r="CB141" s="74">
        <f t="shared" si="396"/>
        <v>0</v>
      </c>
      <c r="CC141" s="74">
        <f>SUM(CC133:CC140)</f>
        <v>19025655.807550002</v>
      </c>
    </row>
    <row r="142" spans="1:83" ht="15">
      <c r="A142" s="70" t="s">
        <v>124</v>
      </c>
      <c r="B142" s="71">
        <f t="shared" ref="B142:I142" si="397">B132+B141</f>
        <v>5332763.4249</v>
      </c>
      <c r="C142" s="71">
        <f t="shared" si="397"/>
        <v>761362.75</v>
      </c>
      <c r="D142" s="71">
        <f t="shared" si="397"/>
        <v>91208.4</v>
      </c>
      <c r="E142" s="71">
        <f t="shared" si="397"/>
        <v>0</v>
      </c>
      <c r="F142" s="71">
        <f t="shared" si="397"/>
        <v>0</v>
      </c>
      <c r="G142" s="71">
        <f t="shared" si="397"/>
        <v>0</v>
      </c>
      <c r="H142" s="71">
        <f t="shared" si="397"/>
        <v>0</v>
      </c>
      <c r="I142" s="71">
        <f t="shared" si="397"/>
        <v>6185334.5748999994</v>
      </c>
      <c r="J142" s="7"/>
      <c r="K142" s="71">
        <f t="shared" ref="K142:R142" si="398">K132+K141</f>
        <v>5921285.2154000001</v>
      </c>
      <c r="L142" s="71">
        <f t="shared" si="398"/>
        <v>783729.8</v>
      </c>
      <c r="M142" s="71">
        <f t="shared" si="398"/>
        <v>99378</v>
      </c>
      <c r="N142" s="71"/>
      <c r="O142" s="71">
        <f t="shared" si="398"/>
        <v>0</v>
      </c>
      <c r="P142" s="71">
        <f t="shared" si="398"/>
        <v>0</v>
      </c>
      <c r="Q142" s="71">
        <f t="shared" si="398"/>
        <v>0</v>
      </c>
      <c r="R142" s="71">
        <f t="shared" si="398"/>
        <v>6804393.0153999999</v>
      </c>
      <c r="T142" s="71">
        <f t="shared" ref="T142:AA142" si="399">T132+T141</f>
        <v>7136713.5688000005</v>
      </c>
      <c r="U142" s="71">
        <f t="shared" si="399"/>
        <v>1021969.64575</v>
      </c>
      <c r="V142" s="71">
        <f t="shared" si="399"/>
        <v>90711.6</v>
      </c>
      <c r="W142" s="71"/>
      <c r="X142" s="71">
        <f t="shared" si="399"/>
        <v>0</v>
      </c>
      <c r="Y142" s="71">
        <f t="shared" si="399"/>
        <v>0</v>
      </c>
      <c r="Z142" s="71">
        <f t="shared" si="399"/>
        <v>0</v>
      </c>
      <c r="AA142" s="71">
        <f t="shared" si="399"/>
        <v>8249394.8145499993</v>
      </c>
      <c r="AC142" s="71">
        <f t="shared" ref="AC142:AJ142" si="400">AC132+AC141</f>
        <v>13568208.083000001</v>
      </c>
      <c r="AD142" s="71">
        <f t="shared" si="400"/>
        <v>2377686.5300000003</v>
      </c>
      <c r="AE142" s="71">
        <f t="shared" si="400"/>
        <v>240836.4</v>
      </c>
      <c r="AF142" s="71">
        <f t="shared" si="400"/>
        <v>0</v>
      </c>
      <c r="AG142" s="71">
        <f t="shared" si="400"/>
        <v>0</v>
      </c>
      <c r="AH142" s="71">
        <f t="shared" si="400"/>
        <v>0</v>
      </c>
      <c r="AI142" s="71">
        <f t="shared" si="400"/>
        <v>0</v>
      </c>
      <c r="AJ142" s="71">
        <f t="shared" si="400"/>
        <v>16186731.013</v>
      </c>
      <c r="AL142" s="71">
        <f t="shared" ref="AL142:AS142" si="401">AL132+AL141</f>
        <v>12626954.1022</v>
      </c>
      <c r="AM142" s="71">
        <f t="shared" si="401"/>
        <v>2028150.7275</v>
      </c>
      <c r="AN142" s="71">
        <f t="shared" si="401"/>
        <v>141679.20000000001</v>
      </c>
      <c r="AO142" s="71">
        <f t="shared" si="401"/>
        <v>0</v>
      </c>
      <c r="AP142" s="71">
        <f t="shared" si="401"/>
        <v>0</v>
      </c>
      <c r="AQ142" s="71">
        <f t="shared" si="401"/>
        <v>0</v>
      </c>
      <c r="AR142" s="71">
        <f t="shared" si="401"/>
        <v>0</v>
      </c>
      <c r="AS142" s="71">
        <f t="shared" si="401"/>
        <v>14796784.0297</v>
      </c>
      <c r="AU142" s="71">
        <f t="shared" ref="AU142:BB142" si="402">AU132+AU141</f>
        <v>452337.875</v>
      </c>
      <c r="AV142" s="71">
        <f t="shared" si="402"/>
        <v>184570.54499999998</v>
      </c>
      <c r="AW142" s="71">
        <f t="shared" si="402"/>
        <v>0</v>
      </c>
      <c r="AX142" s="71">
        <f t="shared" si="402"/>
        <v>0</v>
      </c>
      <c r="AY142" s="71">
        <f t="shared" si="402"/>
        <v>0</v>
      </c>
      <c r="AZ142" s="71">
        <f t="shared" si="402"/>
        <v>0</v>
      </c>
      <c r="BA142" s="71">
        <f t="shared" si="402"/>
        <v>0</v>
      </c>
      <c r="BB142" s="71">
        <f t="shared" si="402"/>
        <v>636908.41999999993</v>
      </c>
      <c r="BD142" s="71">
        <f t="shared" ref="BD142:BK142" si="403">BD132+BD141</f>
        <v>1832980.7749999999</v>
      </c>
      <c r="BE142" s="71">
        <f t="shared" si="403"/>
        <v>94997.274999999994</v>
      </c>
      <c r="BF142" s="71">
        <f t="shared" si="403"/>
        <v>42375</v>
      </c>
      <c r="BG142" s="71">
        <f t="shared" si="403"/>
        <v>0</v>
      </c>
      <c r="BH142" s="71">
        <f t="shared" si="403"/>
        <v>0</v>
      </c>
      <c r="BI142" s="71">
        <f t="shared" si="403"/>
        <v>0</v>
      </c>
      <c r="BJ142" s="71">
        <f t="shared" si="403"/>
        <v>0</v>
      </c>
      <c r="BK142" s="71">
        <f t="shared" si="403"/>
        <v>1970353.05</v>
      </c>
      <c r="BM142" s="71">
        <f t="shared" ref="BM142:BT142" si="404">BM132+BM141</f>
        <v>415528.3</v>
      </c>
      <c r="BN142" s="71">
        <f t="shared" si="404"/>
        <v>0</v>
      </c>
      <c r="BO142" s="71">
        <f t="shared" si="404"/>
        <v>25459.200000000001</v>
      </c>
      <c r="BP142" s="71">
        <f t="shared" si="404"/>
        <v>0</v>
      </c>
      <c r="BQ142" s="71">
        <f t="shared" si="404"/>
        <v>0</v>
      </c>
      <c r="BR142" s="71">
        <f t="shared" si="404"/>
        <v>0</v>
      </c>
      <c r="BS142" s="71">
        <f t="shared" si="404"/>
        <v>0</v>
      </c>
      <c r="BT142" s="71">
        <f t="shared" si="404"/>
        <v>440987.5</v>
      </c>
      <c r="BV142" s="71">
        <f t="shared" ref="BV142:CC142" si="405">BV132+BV141</f>
        <v>47286771.344300002</v>
      </c>
      <c r="BW142" s="71">
        <f t="shared" si="405"/>
        <v>7252467.2732500006</v>
      </c>
      <c r="BX142" s="71">
        <f t="shared" si="405"/>
        <v>731647.8</v>
      </c>
      <c r="BY142" s="71">
        <f t="shared" si="405"/>
        <v>0</v>
      </c>
      <c r="BZ142" s="71">
        <f t="shared" si="405"/>
        <v>0</v>
      </c>
      <c r="CA142" s="71">
        <f t="shared" si="405"/>
        <v>0</v>
      </c>
      <c r="CB142" s="71">
        <f t="shared" si="405"/>
        <v>0</v>
      </c>
      <c r="CC142" s="71">
        <f t="shared" si="405"/>
        <v>55270886.417549998</v>
      </c>
    </row>
    <row r="143" spans="1:83" ht="15">
      <c r="A143" s="75" t="s">
        <v>125</v>
      </c>
      <c r="B143" s="18" t="str">
        <f t="shared" ref="B143:I143" si="406">B1</f>
        <v>Operating</v>
      </c>
      <c r="C143" s="18" t="str">
        <f t="shared" si="406"/>
        <v>SPED</v>
      </c>
      <c r="D143" s="18" t="str">
        <f t="shared" si="406"/>
        <v>NSLP</v>
      </c>
      <c r="E143" s="18" t="str">
        <f t="shared" si="406"/>
        <v>Other</v>
      </c>
      <c r="F143" s="18" t="str">
        <f t="shared" si="406"/>
        <v>Title I</v>
      </c>
      <c r="G143" s="18" t="str">
        <f t="shared" si="406"/>
        <v>SGF</v>
      </c>
      <c r="H143" s="18" t="str">
        <f t="shared" si="406"/>
        <v>Title III</v>
      </c>
      <c r="I143" s="18" t="str">
        <f t="shared" si="406"/>
        <v>Horizon</v>
      </c>
      <c r="J143" s="7"/>
      <c r="K143" s="18" t="str">
        <f t="shared" ref="K143:R143" si="407">K1</f>
        <v>Operating</v>
      </c>
      <c r="L143" s="18" t="str">
        <f t="shared" si="407"/>
        <v>SPED</v>
      </c>
      <c r="M143" s="18" t="str">
        <f t="shared" si="407"/>
        <v>NSLP</v>
      </c>
      <c r="N143" s="18" t="str">
        <f t="shared" si="407"/>
        <v>Other</v>
      </c>
      <c r="O143" s="18" t="str">
        <f t="shared" si="407"/>
        <v>Title I</v>
      </c>
      <c r="P143" s="18" t="str">
        <f t="shared" si="407"/>
        <v>SGF</v>
      </c>
      <c r="Q143" s="18" t="str">
        <f t="shared" si="407"/>
        <v>Title III</v>
      </c>
      <c r="R143" s="18" t="str">
        <f t="shared" si="407"/>
        <v>St. Rose</v>
      </c>
      <c r="T143" s="18" t="str">
        <f t="shared" ref="T143:AA143" si="408">T1</f>
        <v>Operating</v>
      </c>
      <c r="U143" s="18" t="str">
        <f t="shared" si="408"/>
        <v>SPED</v>
      </c>
      <c r="V143" s="18" t="str">
        <f t="shared" si="408"/>
        <v>NSLP</v>
      </c>
      <c r="W143" s="18" t="str">
        <f t="shared" si="408"/>
        <v>Other</v>
      </c>
      <c r="X143" s="18" t="str">
        <f t="shared" si="408"/>
        <v>Title I</v>
      </c>
      <c r="Y143" s="18" t="str">
        <f t="shared" si="408"/>
        <v>SGF</v>
      </c>
      <c r="Z143" s="18" t="str">
        <f t="shared" si="408"/>
        <v>Title III</v>
      </c>
      <c r="AA143" s="18" t="str">
        <f t="shared" si="408"/>
        <v>Inspirada</v>
      </c>
      <c r="AC143" s="18" t="str">
        <f t="shared" ref="AC143:AJ143" si="409">AC1</f>
        <v>Operating</v>
      </c>
      <c r="AD143" s="18" t="str">
        <f t="shared" si="409"/>
        <v>SPED</v>
      </c>
      <c r="AE143" s="18" t="str">
        <f t="shared" si="409"/>
        <v>NSLP</v>
      </c>
      <c r="AF143" s="18" t="str">
        <f t="shared" si="409"/>
        <v>Other</v>
      </c>
      <c r="AG143" s="18" t="str">
        <f t="shared" si="409"/>
        <v>Title I</v>
      </c>
      <c r="AH143" s="18" t="str">
        <f t="shared" si="409"/>
        <v>SGF</v>
      </c>
      <c r="AI143" s="18" t="str">
        <f t="shared" si="409"/>
        <v>Title III</v>
      </c>
      <c r="AJ143" s="18" t="str">
        <f t="shared" si="409"/>
        <v>Cadence</v>
      </c>
      <c r="AL143" s="18" t="str">
        <f t="shared" ref="AL143:AS143" si="410">AL1</f>
        <v>Operating</v>
      </c>
      <c r="AM143" s="18" t="str">
        <f t="shared" si="410"/>
        <v>SPED</v>
      </c>
      <c r="AN143" s="18" t="str">
        <f t="shared" si="410"/>
        <v>NSLP</v>
      </c>
      <c r="AO143" s="18" t="str">
        <f t="shared" si="410"/>
        <v>Other</v>
      </c>
      <c r="AP143" s="18" t="str">
        <f t="shared" si="410"/>
        <v>Title I</v>
      </c>
      <c r="AQ143" s="18" t="str">
        <f t="shared" si="410"/>
        <v>SGF</v>
      </c>
      <c r="AR143" s="18" t="str">
        <f t="shared" si="410"/>
        <v>Title III</v>
      </c>
      <c r="AS143" s="18" t="str">
        <f t="shared" si="410"/>
        <v>Sloan</v>
      </c>
      <c r="AU143" s="18" t="str">
        <f t="shared" ref="AU143:BB143" si="411">AU1</f>
        <v>Operating</v>
      </c>
      <c r="AV143" s="18" t="str">
        <f t="shared" si="411"/>
        <v>SPED</v>
      </c>
      <c r="AW143" s="18" t="str">
        <f t="shared" si="411"/>
        <v>NSLP</v>
      </c>
      <c r="AX143" s="18" t="str">
        <f t="shared" si="411"/>
        <v>Other</v>
      </c>
      <c r="AY143" s="18" t="str">
        <f t="shared" si="411"/>
        <v>Title I</v>
      </c>
      <c r="AZ143" s="18" t="str">
        <f t="shared" si="411"/>
        <v>SGF</v>
      </c>
      <c r="BA143" s="18" t="str">
        <f t="shared" si="411"/>
        <v>Title III</v>
      </c>
      <c r="BB143" s="18" t="str">
        <f t="shared" si="411"/>
        <v>Virtual</v>
      </c>
      <c r="BD143" s="18" t="str">
        <f t="shared" ref="BD143:BK143" si="412">BD1</f>
        <v>Operating</v>
      </c>
      <c r="BE143" s="18" t="str">
        <f t="shared" si="412"/>
        <v>SPED</v>
      </c>
      <c r="BF143" s="18" t="str">
        <f t="shared" si="412"/>
        <v>NSLP</v>
      </c>
      <c r="BG143" s="18" t="str">
        <f t="shared" si="412"/>
        <v>Other</v>
      </c>
      <c r="BH143" s="18" t="str">
        <f t="shared" si="412"/>
        <v>Title I</v>
      </c>
      <c r="BI143" s="18" t="str">
        <f t="shared" si="412"/>
        <v>SGF</v>
      </c>
      <c r="BJ143" s="18" t="str">
        <f t="shared" si="412"/>
        <v>Title III</v>
      </c>
      <c r="BK143" s="18" t="str">
        <f t="shared" si="412"/>
        <v>Springs</v>
      </c>
      <c r="BM143" s="18" t="str">
        <f t="shared" ref="BM143:BT143" si="413">BM1</f>
        <v>Operating</v>
      </c>
      <c r="BN143" s="18" t="str">
        <f t="shared" si="413"/>
        <v>SPED</v>
      </c>
      <c r="BO143" s="18" t="str">
        <f t="shared" si="413"/>
        <v>NSLP</v>
      </c>
      <c r="BP143" s="18" t="str">
        <f t="shared" si="413"/>
        <v>Other</v>
      </c>
      <c r="BQ143" s="18" t="str">
        <f t="shared" si="413"/>
        <v>Title I</v>
      </c>
      <c r="BR143" s="18" t="str">
        <f t="shared" si="413"/>
        <v>SGF</v>
      </c>
      <c r="BS143" s="18" t="str">
        <f t="shared" si="413"/>
        <v>Title III</v>
      </c>
      <c r="BT143" s="18" t="str">
        <f t="shared" si="413"/>
        <v>Exec. Office</v>
      </c>
      <c r="BV143" s="18" t="str">
        <f t="shared" ref="BV143:CC143" si="414">BV1</f>
        <v>Operating</v>
      </c>
      <c r="BW143" s="18" t="str">
        <f t="shared" si="414"/>
        <v>SPED</v>
      </c>
      <c r="BX143" s="18" t="str">
        <f t="shared" si="414"/>
        <v>NSLP</v>
      </c>
      <c r="BY143" s="18" t="str">
        <f t="shared" si="414"/>
        <v>Other</v>
      </c>
      <c r="BZ143" s="18" t="str">
        <f t="shared" si="414"/>
        <v>Title I</v>
      </c>
      <c r="CA143" s="18" t="str">
        <f t="shared" si="414"/>
        <v>SGF</v>
      </c>
      <c r="CB143" s="18" t="str">
        <f t="shared" si="414"/>
        <v>Title III</v>
      </c>
      <c r="CC143" s="18" t="str">
        <f t="shared" si="414"/>
        <v>Systemwide</v>
      </c>
    </row>
    <row r="144" spans="1:83">
      <c r="A144" s="76" t="s">
        <v>126</v>
      </c>
      <c r="B144" s="5">
        <f>(210*925)</f>
        <v>194250</v>
      </c>
      <c r="C144" s="11"/>
      <c r="D144" s="11"/>
      <c r="E144" s="11"/>
      <c r="F144" s="11"/>
      <c r="G144" s="11"/>
      <c r="H144" s="11"/>
      <c r="I144" s="5">
        <f t="shared" ref="I144:I152" si="415">SUM(B144:H144)</f>
        <v>194250</v>
      </c>
      <c r="K144" s="5">
        <f>210*1035</f>
        <v>217350</v>
      </c>
      <c r="L144" s="11"/>
      <c r="M144" s="11"/>
      <c r="N144" s="11"/>
      <c r="O144" s="11"/>
      <c r="P144" s="11"/>
      <c r="Q144" s="11"/>
      <c r="R144" s="5">
        <f t="shared" ref="R144:R152" si="416">SUM(K144:Q144)</f>
        <v>217350</v>
      </c>
      <c r="T144" s="5">
        <f>(210*1200)</f>
        <v>252000</v>
      </c>
      <c r="U144" s="11"/>
      <c r="V144" s="11"/>
      <c r="W144" s="11"/>
      <c r="X144" s="11"/>
      <c r="Y144" s="11"/>
      <c r="Z144" s="11"/>
      <c r="AA144" s="5">
        <f t="shared" ref="AA144:AA152" si="417">SUM(T144:Z144)</f>
        <v>252000</v>
      </c>
      <c r="AC144" s="5">
        <f>(210*AC17)</f>
        <v>490980</v>
      </c>
      <c r="AD144" s="11"/>
      <c r="AE144" s="11"/>
      <c r="AF144" s="11"/>
      <c r="AG144" s="11"/>
      <c r="AH144" s="11"/>
      <c r="AI144" s="11"/>
      <c r="AJ144" s="5">
        <f t="shared" ref="AJ144:AJ152" si="418">SUM(AC144:AI144)</f>
        <v>490980</v>
      </c>
      <c r="AL144" s="11">
        <f>(210*2300)</f>
        <v>483000</v>
      </c>
      <c r="AM144" s="11"/>
      <c r="AN144" s="11"/>
      <c r="AO144" s="11"/>
      <c r="AP144" s="11"/>
      <c r="AQ144" s="11"/>
      <c r="AR144" s="11"/>
      <c r="AS144" s="5">
        <f t="shared" ref="AS144:AS152" si="419">SUM(AL144:AR144)</f>
        <v>483000</v>
      </c>
      <c r="AU144" s="11">
        <f>425*150</f>
        <v>63750</v>
      </c>
      <c r="AV144" s="11"/>
      <c r="AW144" s="11"/>
      <c r="AX144" s="11"/>
      <c r="AY144" s="11"/>
      <c r="AZ144" s="11"/>
      <c r="BA144" s="11"/>
      <c r="BB144" s="5">
        <f t="shared" ref="BB144:BB152" si="420">SUM(AU144:BA144)</f>
        <v>63750</v>
      </c>
      <c r="BD144" s="5">
        <f>210*275</f>
        <v>57750</v>
      </c>
      <c r="BE144" s="11"/>
      <c r="BF144" s="11"/>
      <c r="BG144" s="11"/>
      <c r="BH144" s="11"/>
      <c r="BI144" s="11"/>
      <c r="BJ144" s="11"/>
      <c r="BK144" s="5">
        <f t="shared" ref="BK144:BK152" si="421">SUM(BD144:BJ144)</f>
        <v>57750</v>
      </c>
      <c r="BM144" s="5">
        <f>(150*BM17)</f>
        <v>0</v>
      </c>
      <c r="BN144" s="11"/>
      <c r="BO144" s="11"/>
      <c r="BP144" s="11"/>
      <c r="BQ144" s="11"/>
      <c r="BR144" s="11"/>
      <c r="BS144" s="11"/>
      <c r="BT144" s="5">
        <f t="shared" ref="BT144:BT152" si="422">SUM(BM144:BS144)</f>
        <v>0</v>
      </c>
      <c r="BV144" s="5">
        <f t="shared" ref="BV144:CA153" si="423">B144+K144+T144+AC144+AL144+AU144+BD144+BM144</f>
        <v>1759080</v>
      </c>
      <c r="BW144" s="5">
        <f t="shared" si="423"/>
        <v>0</v>
      </c>
      <c r="BX144" s="5">
        <f t="shared" si="423"/>
        <v>0</v>
      </c>
      <c r="BY144" s="5">
        <f t="shared" si="423"/>
        <v>0</v>
      </c>
      <c r="BZ144" s="5">
        <f t="shared" si="423"/>
        <v>0</v>
      </c>
      <c r="CA144" s="5">
        <f t="shared" si="423"/>
        <v>0</v>
      </c>
      <c r="CB144" s="11"/>
      <c r="CC144" s="5">
        <f t="shared" ref="CC144:CC152" si="424">SUM(BV144:CB144)</f>
        <v>1759080</v>
      </c>
    </row>
    <row r="145" spans="1:81">
      <c r="A145" s="77" t="s">
        <v>127</v>
      </c>
      <c r="B145" s="5">
        <v>0</v>
      </c>
      <c r="C145" s="11"/>
      <c r="D145" s="11"/>
      <c r="E145" s="11"/>
      <c r="F145" s="11"/>
      <c r="G145" s="11"/>
      <c r="H145" s="11"/>
      <c r="I145" s="5">
        <f t="shared" si="415"/>
        <v>0</v>
      </c>
      <c r="K145" s="5">
        <v>0</v>
      </c>
      <c r="L145" s="11"/>
      <c r="M145" s="11"/>
      <c r="N145" s="11"/>
      <c r="O145" s="11"/>
      <c r="P145" s="11"/>
      <c r="Q145" s="11"/>
      <c r="R145" s="5">
        <f t="shared" si="416"/>
        <v>0</v>
      </c>
      <c r="T145" s="5">
        <v>0</v>
      </c>
      <c r="U145" s="11"/>
      <c r="V145" s="11"/>
      <c r="W145" s="11"/>
      <c r="X145" s="11"/>
      <c r="Y145" s="11"/>
      <c r="Z145" s="11"/>
      <c r="AA145" s="5">
        <f t="shared" si="417"/>
        <v>0</v>
      </c>
      <c r="AC145" s="99">
        <f>175000+AC94</f>
        <v>175000</v>
      </c>
      <c r="AD145" s="11"/>
      <c r="AE145" s="11"/>
      <c r="AF145" s="11"/>
      <c r="AG145" s="11"/>
      <c r="AH145" s="11"/>
      <c r="AI145" s="11"/>
      <c r="AJ145" s="5">
        <f t="shared" si="418"/>
        <v>175000</v>
      </c>
      <c r="AL145" s="11">
        <v>185000</v>
      </c>
      <c r="AM145" s="11"/>
      <c r="AN145" s="11"/>
      <c r="AO145" s="11"/>
      <c r="AP145" s="11"/>
      <c r="AQ145" s="11"/>
      <c r="AR145" s="11"/>
      <c r="AS145" s="5">
        <f t="shared" si="419"/>
        <v>185000</v>
      </c>
      <c r="AU145" s="11">
        <f>5*400*8</f>
        <v>16000</v>
      </c>
      <c r="AV145" s="11"/>
      <c r="AW145" s="11"/>
      <c r="AX145" s="11"/>
      <c r="AY145" s="11"/>
      <c r="AZ145" s="11"/>
      <c r="BA145" s="11"/>
      <c r="BB145" s="5">
        <f t="shared" si="420"/>
        <v>16000</v>
      </c>
      <c r="BD145" s="5">
        <v>0</v>
      </c>
      <c r="BE145" s="11"/>
      <c r="BF145" s="11"/>
      <c r="BG145" s="11"/>
      <c r="BH145" s="11"/>
      <c r="BI145" s="11"/>
      <c r="BJ145" s="11"/>
      <c r="BK145" s="5">
        <f t="shared" si="421"/>
        <v>0</v>
      </c>
      <c r="BM145" s="5">
        <v>0</v>
      </c>
      <c r="BN145" s="11"/>
      <c r="BO145" s="11"/>
      <c r="BP145" s="11"/>
      <c r="BQ145" s="11"/>
      <c r="BR145" s="11"/>
      <c r="BS145" s="11"/>
      <c r="BT145" s="5">
        <f t="shared" si="422"/>
        <v>0</v>
      </c>
      <c r="BV145" s="5">
        <f t="shared" si="423"/>
        <v>376000</v>
      </c>
      <c r="BW145" s="5">
        <f t="shared" si="423"/>
        <v>0</v>
      </c>
      <c r="BX145" s="5">
        <f t="shared" si="423"/>
        <v>0</v>
      </c>
      <c r="BY145" s="5">
        <f t="shared" si="423"/>
        <v>0</v>
      </c>
      <c r="BZ145" s="5">
        <f t="shared" si="423"/>
        <v>0</v>
      </c>
      <c r="CA145" s="5">
        <f t="shared" si="423"/>
        <v>0</v>
      </c>
      <c r="CB145" s="11"/>
      <c r="CC145" s="5">
        <f t="shared" si="424"/>
        <v>376000</v>
      </c>
    </row>
    <row r="146" spans="1:81">
      <c r="A146" s="29" t="s">
        <v>128</v>
      </c>
      <c r="B146" s="11"/>
      <c r="C146" s="11"/>
      <c r="D146" s="11"/>
      <c r="E146" s="11">
        <v>0</v>
      </c>
      <c r="F146" s="11"/>
      <c r="G146" s="11"/>
      <c r="H146" s="11"/>
      <c r="I146" s="5">
        <f t="shared" si="415"/>
        <v>0</v>
      </c>
      <c r="K146" s="11"/>
      <c r="L146" s="11"/>
      <c r="M146" s="11"/>
      <c r="N146" s="11"/>
      <c r="O146" s="11"/>
      <c r="P146" s="11"/>
      <c r="Q146" s="11"/>
      <c r="R146" s="5">
        <f t="shared" si="416"/>
        <v>0</v>
      </c>
      <c r="T146" s="11">
        <v>0</v>
      </c>
      <c r="U146" s="11"/>
      <c r="V146" s="11"/>
      <c r="W146" s="11"/>
      <c r="X146" s="11"/>
      <c r="Y146" s="11"/>
      <c r="Z146" s="11"/>
      <c r="AA146" s="5">
        <f t="shared" si="417"/>
        <v>0</v>
      </c>
      <c r="AC146" s="11">
        <f>1400*100</f>
        <v>140000</v>
      </c>
      <c r="AD146" s="11"/>
      <c r="AE146" s="11"/>
      <c r="AF146" s="11"/>
      <c r="AG146" s="11"/>
      <c r="AH146" s="11"/>
      <c r="AI146" s="11"/>
      <c r="AJ146" s="5">
        <f t="shared" si="418"/>
        <v>140000</v>
      </c>
      <c r="AL146" s="11">
        <f>(1250*120)</f>
        <v>150000</v>
      </c>
      <c r="AM146" s="11"/>
      <c r="AN146" s="11"/>
      <c r="AO146" s="11"/>
      <c r="AP146" s="11"/>
      <c r="AQ146" s="11"/>
      <c r="AR146" s="11"/>
      <c r="AS146" s="5">
        <f t="shared" si="419"/>
        <v>150000</v>
      </c>
      <c r="AU146" s="11">
        <v>0</v>
      </c>
      <c r="AV146" s="11"/>
      <c r="AW146" s="11"/>
      <c r="AX146" s="11">
        <v>0</v>
      </c>
      <c r="AY146" s="11"/>
      <c r="AZ146" s="11"/>
      <c r="BA146" s="11"/>
      <c r="BB146" s="5">
        <f t="shared" si="420"/>
        <v>0</v>
      </c>
      <c r="BD146" s="11">
        <f>100*1300</f>
        <v>130000</v>
      </c>
      <c r="BE146" s="11"/>
      <c r="BF146" s="11"/>
      <c r="BG146" s="11">
        <v>0</v>
      </c>
      <c r="BH146" s="11"/>
      <c r="BI146" s="11"/>
      <c r="BJ146" s="11"/>
      <c r="BK146" s="5">
        <f t="shared" si="421"/>
        <v>130000</v>
      </c>
      <c r="BM146" s="11">
        <f>20*BM17</f>
        <v>0</v>
      </c>
      <c r="BN146" s="11"/>
      <c r="BO146" s="11"/>
      <c r="BP146" s="11">
        <v>0</v>
      </c>
      <c r="BQ146" s="11"/>
      <c r="BR146" s="11"/>
      <c r="BS146" s="11"/>
      <c r="BT146" s="5">
        <f t="shared" si="422"/>
        <v>0</v>
      </c>
      <c r="BV146" s="5">
        <f t="shared" si="423"/>
        <v>420000</v>
      </c>
      <c r="BW146" s="5">
        <f t="shared" si="423"/>
        <v>0</v>
      </c>
      <c r="BX146" s="5">
        <f t="shared" si="423"/>
        <v>0</v>
      </c>
      <c r="BY146" s="5">
        <f t="shared" si="423"/>
        <v>0</v>
      </c>
      <c r="BZ146" s="5">
        <f t="shared" si="423"/>
        <v>0</v>
      </c>
      <c r="CA146" s="5">
        <f t="shared" si="423"/>
        <v>0</v>
      </c>
      <c r="CB146" s="11"/>
      <c r="CC146" s="5">
        <f t="shared" si="424"/>
        <v>420000</v>
      </c>
    </row>
    <row r="147" spans="1:81">
      <c r="A147" s="29" t="s">
        <v>129</v>
      </c>
      <c r="B147" s="5">
        <f>25*B17</f>
        <v>22625</v>
      </c>
      <c r="C147" s="11"/>
      <c r="D147" s="11">
        <v>3500</v>
      </c>
      <c r="E147" s="11"/>
      <c r="F147" s="11"/>
      <c r="G147" s="11"/>
      <c r="H147" s="11"/>
      <c r="I147" s="5">
        <f t="shared" si="415"/>
        <v>26125</v>
      </c>
      <c r="K147" s="5">
        <f>25*K17</f>
        <v>25550</v>
      </c>
      <c r="L147" s="11"/>
      <c r="M147" s="11">
        <v>2500</v>
      </c>
      <c r="N147" s="11"/>
      <c r="O147" s="11"/>
      <c r="P147" s="11"/>
      <c r="Q147" s="11"/>
      <c r="R147" s="5">
        <f t="shared" si="416"/>
        <v>28050</v>
      </c>
      <c r="T147" s="5">
        <f>25*T17</f>
        <v>29825</v>
      </c>
      <c r="U147" s="11"/>
      <c r="V147" s="11"/>
      <c r="W147" s="11"/>
      <c r="X147" s="11"/>
      <c r="Y147" s="11"/>
      <c r="Z147" s="11"/>
      <c r="AA147" s="5">
        <f t="shared" si="417"/>
        <v>29825</v>
      </c>
      <c r="AC147" s="5">
        <f>25*AC17</f>
        <v>58450</v>
      </c>
      <c r="AD147" s="11"/>
      <c r="AE147" s="11">
        <v>3500</v>
      </c>
      <c r="AF147" s="11"/>
      <c r="AG147" s="11"/>
      <c r="AH147" s="11"/>
      <c r="AI147" s="11"/>
      <c r="AJ147" s="5">
        <f t="shared" si="418"/>
        <v>61950</v>
      </c>
      <c r="AL147" s="5">
        <f>25*AL17</f>
        <v>56775</v>
      </c>
      <c r="AM147" s="11"/>
      <c r="AN147" s="11">
        <v>3500</v>
      </c>
      <c r="AO147" s="11"/>
      <c r="AP147" s="11"/>
      <c r="AQ147" s="11"/>
      <c r="AR147" s="11"/>
      <c r="AS147" s="5">
        <f t="shared" si="419"/>
        <v>60275</v>
      </c>
      <c r="AU147" s="11">
        <f>25*AU17</f>
        <v>3375</v>
      </c>
      <c r="AV147" s="11"/>
      <c r="AW147" s="11">
        <v>0</v>
      </c>
      <c r="AX147" s="11"/>
      <c r="AY147" s="11"/>
      <c r="AZ147" s="11"/>
      <c r="BA147" s="11"/>
      <c r="BB147" s="5">
        <f t="shared" si="420"/>
        <v>3375</v>
      </c>
      <c r="BD147" s="5">
        <f>25*BD17</f>
        <v>6650</v>
      </c>
      <c r="BE147" s="11"/>
      <c r="BF147" s="11">
        <v>2500</v>
      </c>
      <c r="BG147" s="11"/>
      <c r="BH147" s="11"/>
      <c r="BI147" s="11"/>
      <c r="BJ147" s="11"/>
      <c r="BK147" s="5">
        <f t="shared" si="421"/>
        <v>9150</v>
      </c>
      <c r="BM147" s="5">
        <f>25*BM17</f>
        <v>0</v>
      </c>
      <c r="BN147" s="11"/>
      <c r="BO147" s="11">
        <v>0</v>
      </c>
      <c r="BP147" s="11"/>
      <c r="BQ147" s="11"/>
      <c r="BR147" s="11"/>
      <c r="BS147" s="11"/>
      <c r="BT147" s="5">
        <f t="shared" si="422"/>
        <v>0</v>
      </c>
      <c r="BV147" s="5">
        <f t="shared" si="423"/>
        <v>203250</v>
      </c>
      <c r="BW147" s="5">
        <f t="shared" si="423"/>
        <v>0</v>
      </c>
      <c r="BX147" s="5">
        <f t="shared" si="423"/>
        <v>15500</v>
      </c>
      <c r="BY147" s="5">
        <f t="shared" si="423"/>
        <v>0</v>
      </c>
      <c r="BZ147" s="5">
        <f t="shared" si="423"/>
        <v>0</v>
      </c>
      <c r="CA147" s="5">
        <f t="shared" si="423"/>
        <v>0</v>
      </c>
      <c r="CB147" s="11"/>
      <c r="CC147" s="5">
        <f t="shared" si="424"/>
        <v>218750</v>
      </c>
    </row>
    <row r="148" spans="1:81">
      <c r="A148" s="29" t="s">
        <v>130</v>
      </c>
      <c r="B148" s="5">
        <f>40*B17</f>
        <v>36200</v>
      </c>
      <c r="C148" s="11"/>
      <c r="D148" s="11"/>
      <c r="E148" s="11"/>
      <c r="F148" s="11"/>
      <c r="G148" s="11"/>
      <c r="H148" s="11"/>
      <c r="I148" s="5">
        <f t="shared" si="415"/>
        <v>36200</v>
      </c>
      <c r="K148" s="5">
        <f>40*K17</f>
        <v>40880</v>
      </c>
      <c r="L148" s="11"/>
      <c r="M148" s="11"/>
      <c r="N148" s="11"/>
      <c r="O148" s="11"/>
      <c r="P148" s="11"/>
      <c r="Q148" s="11"/>
      <c r="R148" s="5">
        <f t="shared" si="416"/>
        <v>40880</v>
      </c>
      <c r="T148" s="5">
        <f>40*T17</f>
        <v>47720</v>
      </c>
      <c r="U148" s="11"/>
      <c r="V148" s="11"/>
      <c r="W148" s="11"/>
      <c r="X148" s="11"/>
      <c r="Y148" s="11"/>
      <c r="Z148" s="11"/>
      <c r="AA148" s="5">
        <f t="shared" si="417"/>
        <v>47720</v>
      </c>
      <c r="AC148" s="5">
        <f>40*AC17</f>
        <v>93520</v>
      </c>
      <c r="AD148" s="11"/>
      <c r="AE148" s="11"/>
      <c r="AF148" s="11"/>
      <c r="AG148" s="11"/>
      <c r="AH148" s="11"/>
      <c r="AI148" s="11"/>
      <c r="AJ148" s="5">
        <f t="shared" si="418"/>
        <v>93520</v>
      </c>
      <c r="AL148" s="5">
        <f>40*AL17</f>
        <v>90840</v>
      </c>
      <c r="AM148" s="11"/>
      <c r="AN148" s="11"/>
      <c r="AO148" s="11"/>
      <c r="AP148" s="11"/>
      <c r="AQ148" s="11"/>
      <c r="AR148" s="11"/>
      <c r="AS148" s="5">
        <f t="shared" si="419"/>
        <v>90840</v>
      </c>
      <c r="AU148" s="5">
        <f>20*AU17</f>
        <v>2700</v>
      </c>
      <c r="AV148" s="11"/>
      <c r="AW148" s="11"/>
      <c r="AX148" s="11"/>
      <c r="AY148" s="11"/>
      <c r="AZ148" s="11"/>
      <c r="BA148" s="11"/>
      <c r="BB148" s="5">
        <f t="shared" si="420"/>
        <v>2700</v>
      </c>
      <c r="BD148" s="5">
        <f>40*BD17</f>
        <v>10640</v>
      </c>
      <c r="BE148" s="11"/>
      <c r="BF148" s="11"/>
      <c r="BG148" s="11"/>
      <c r="BH148" s="11">
        <v>0</v>
      </c>
      <c r="BI148" s="11"/>
      <c r="BJ148" s="11"/>
      <c r="BK148" s="5">
        <f t="shared" si="421"/>
        <v>10640</v>
      </c>
      <c r="BM148" s="5">
        <f>40*BM17</f>
        <v>0</v>
      </c>
      <c r="BN148" s="11"/>
      <c r="BO148" s="11"/>
      <c r="BP148" s="11"/>
      <c r="BQ148" s="11"/>
      <c r="BR148" s="11"/>
      <c r="BS148" s="11"/>
      <c r="BT148" s="5">
        <f t="shared" si="422"/>
        <v>0</v>
      </c>
      <c r="BV148" s="5">
        <f t="shared" si="423"/>
        <v>322500</v>
      </c>
      <c r="BW148" s="5">
        <f t="shared" si="423"/>
        <v>0</v>
      </c>
      <c r="BX148" s="5">
        <f t="shared" si="423"/>
        <v>0</v>
      </c>
      <c r="BY148" s="5">
        <f t="shared" si="423"/>
        <v>0</v>
      </c>
      <c r="BZ148" s="5">
        <f t="shared" si="423"/>
        <v>0</v>
      </c>
      <c r="CA148" s="5">
        <f t="shared" si="423"/>
        <v>0</v>
      </c>
      <c r="CB148" s="11"/>
      <c r="CC148" s="5">
        <f t="shared" si="424"/>
        <v>322500</v>
      </c>
    </row>
    <row r="149" spans="1:81">
      <c r="A149" s="29" t="s">
        <v>131</v>
      </c>
      <c r="B149" s="5">
        <f>15*B17</f>
        <v>13575</v>
      </c>
      <c r="C149" s="11"/>
      <c r="D149" s="11"/>
      <c r="E149" s="11"/>
      <c r="F149" s="11"/>
      <c r="G149" s="11"/>
      <c r="H149" s="11"/>
      <c r="I149" s="5">
        <f t="shared" si="415"/>
        <v>13575</v>
      </c>
      <c r="K149" s="5">
        <f>15*K17</f>
        <v>15330</v>
      </c>
      <c r="L149" s="11"/>
      <c r="M149" s="11"/>
      <c r="N149" s="11"/>
      <c r="O149" s="11"/>
      <c r="P149" s="11"/>
      <c r="Q149" s="11"/>
      <c r="R149" s="5">
        <f t="shared" si="416"/>
        <v>15330</v>
      </c>
      <c r="T149" s="5">
        <f>15*T17</f>
        <v>17895</v>
      </c>
      <c r="U149" s="11"/>
      <c r="V149" s="11"/>
      <c r="W149" s="11"/>
      <c r="X149" s="11"/>
      <c r="Y149" s="11"/>
      <c r="Z149" s="11"/>
      <c r="AA149" s="5">
        <f t="shared" si="417"/>
        <v>17895</v>
      </c>
      <c r="AC149" s="5">
        <f>15*AC17</f>
        <v>35070</v>
      </c>
      <c r="AD149" s="11"/>
      <c r="AE149" s="11"/>
      <c r="AF149" s="11"/>
      <c r="AG149" s="11"/>
      <c r="AH149" s="11"/>
      <c r="AI149" s="11"/>
      <c r="AJ149" s="5">
        <f t="shared" si="418"/>
        <v>35070</v>
      </c>
      <c r="AL149" s="5">
        <f>15*AL17</f>
        <v>34065</v>
      </c>
      <c r="AM149" s="11"/>
      <c r="AN149" s="11"/>
      <c r="AO149" s="11"/>
      <c r="AP149" s="11"/>
      <c r="AQ149" s="11"/>
      <c r="AR149" s="11"/>
      <c r="AS149" s="5">
        <f t="shared" si="419"/>
        <v>34065</v>
      </c>
      <c r="AU149" s="5">
        <f>15*AU17</f>
        <v>2025</v>
      </c>
      <c r="AV149" s="11"/>
      <c r="AW149" s="11"/>
      <c r="AX149" s="11"/>
      <c r="AY149" s="11"/>
      <c r="AZ149" s="11"/>
      <c r="BA149" s="11"/>
      <c r="BB149" s="5">
        <f t="shared" si="420"/>
        <v>2025</v>
      </c>
      <c r="BD149" s="5">
        <f>15*BD17</f>
        <v>3990</v>
      </c>
      <c r="BE149" s="11"/>
      <c r="BF149" s="11"/>
      <c r="BG149" s="11"/>
      <c r="BH149" s="11"/>
      <c r="BI149" s="11"/>
      <c r="BJ149" s="11"/>
      <c r="BK149" s="5">
        <f t="shared" si="421"/>
        <v>3990</v>
      </c>
      <c r="BM149" s="5">
        <f>15*BM17</f>
        <v>0</v>
      </c>
      <c r="BN149" s="11"/>
      <c r="BO149" s="11"/>
      <c r="BP149" s="11"/>
      <c r="BQ149" s="11"/>
      <c r="BR149" s="11"/>
      <c r="BS149" s="11"/>
      <c r="BT149" s="5">
        <f t="shared" si="422"/>
        <v>0</v>
      </c>
      <c r="BV149" s="5">
        <f t="shared" si="423"/>
        <v>121950</v>
      </c>
      <c r="BW149" s="5">
        <f t="shared" si="423"/>
        <v>0</v>
      </c>
      <c r="BX149" s="5">
        <f t="shared" si="423"/>
        <v>0</v>
      </c>
      <c r="BY149" s="5">
        <f t="shared" si="423"/>
        <v>0</v>
      </c>
      <c r="BZ149" s="5">
        <f t="shared" si="423"/>
        <v>0</v>
      </c>
      <c r="CA149" s="5">
        <f t="shared" si="423"/>
        <v>0</v>
      </c>
      <c r="CB149" s="11"/>
      <c r="CC149" s="5">
        <f t="shared" si="424"/>
        <v>121950</v>
      </c>
    </row>
    <row r="150" spans="1:81">
      <c r="A150" s="29" t="s">
        <v>132</v>
      </c>
      <c r="B150" s="5">
        <f>8*B17</f>
        <v>7240</v>
      </c>
      <c r="C150" s="11"/>
      <c r="D150" s="11"/>
      <c r="E150" s="11"/>
      <c r="F150" s="11"/>
      <c r="G150" s="11"/>
      <c r="H150" s="11"/>
      <c r="I150" s="5">
        <f t="shared" si="415"/>
        <v>7240</v>
      </c>
      <c r="K150" s="5">
        <f>8*K17</f>
        <v>8176</v>
      </c>
      <c r="L150" s="11"/>
      <c r="M150" s="11"/>
      <c r="N150" s="11"/>
      <c r="O150" s="11"/>
      <c r="P150" s="11"/>
      <c r="Q150" s="11"/>
      <c r="R150" s="5">
        <f t="shared" si="416"/>
        <v>8176</v>
      </c>
      <c r="T150" s="5">
        <f>8*T17</f>
        <v>9544</v>
      </c>
      <c r="U150" s="11"/>
      <c r="V150" s="11"/>
      <c r="W150" s="11"/>
      <c r="X150" s="11"/>
      <c r="Y150" s="11"/>
      <c r="Z150" s="11"/>
      <c r="AA150" s="5">
        <f t="shared" si="417"/>
        <v>9544</v>
      </c>
      <c r="AC150" s="5">
        <f>8*AC17</f>
        <v>18704</v>
      </c>
      <c r="AD150" s="11"/>
      <c r="AE150" s="11"/>
      <c r="AF150" s="11"/>
      <c r="AG150" s="11"/>
      <c r="AH150" s="11"/>
      <c r="AI150" s="11"/>
      <c r="AJ150" s="5">
        <f t="shared" si="418"/>
        <v>18704</v>
      </c>
      <c r="AL150" s="5">
        <f>8*AL17</f>
        <v>18168</v>
      </c>
      <c r="AM150" s="11"/>
      <c r="AN150" s="11"/>
      <c r="AO150" s="11"/>
      <c r="AP150" s="11"/>
      <c r="AQ150" s="11"/>
      <c r="AR150" s="11"/>
      <c r="AS150" s="5">
        <f t="shared" si="419"/>
        <v>18168</v>
      </c>
      <c r="AU150" s="5">
        <v>0</v>
      </c>
      <c r="AV150" s="11"/>
      <c r="AW150" s="11"/>
      <c r="AX150" s="11"/>
      <c r="AY150" s="11"/>
      <c r="AZ150" s="11"/>
      <c r="BA150" s="11"/>
      <c r="BB150" s="5">
        <f t="shared" si="420"/>
        <v>0</v>
      </c>
      <c r="BD150" s="5">
        <f>8*BD17</f>
        <v>2128</v>
      </c>
      <c r="BE150" s="11"/>
      <c r="BF150" s="11"/>
      <c r="BG150" s="11"/>
      <c r="BH150" s="11"/>
      <c r="BI150" s="11"/>
      <c r="BJ150" s="11"/>
      <c r="BK150" s="5">
        <f t="shared" si="421"/>
        <v>2128</v>
      </c>
      <c r="BM150" s="5">
        <f>8*BM17</f>
        <v>0</v>
      </c>
      <c r="BN150" s="11"/>
      <c r="BO150" s="11"/>
      <c r="BP150" s="11"/>
      <c r="BQ150" s="11"/>
      <c r="BR150" s="11"/>
      <c r="BS150" s="11"/>
      <c r="BT150" s="5">
        <f t="shared" si="422"/>
        <v>0</v>
      </c>
      <c r="BV150" s="5">
        <f t="shared" si="423"/>
        <v>63960</v>
      </c>
      <c r="BW150" s="5">
        <f t="shared" si="423"/>
        <v>0</v>
      </c>
      <c r="BX150" s="5">
        <f t="shared" si="423"/>
        <v>0</v>
      </c>
      <c r="BY150" s="5">
        <f t="shared" si="423"/>
        <v>0</v>
      </c>
      <c r="BZ150" s="5">
        <f t="shared" si="423"/>
        <v>0</v>
      </c>
      <c r="CA150" s="5">
        <f t="shared" si="423"/>
        <v>0</v>
      </c>
      <c r="CB150" s="11"/>
      <c r="CC150" s="5">
        <f t="shared" si="424"/>
        <v>63960</v>
      </c>
    </row>
    <row r="151" spans="1:81">
      <c r="A151" s="29" t="s">
        <v>133</v>
      </c>
      <c r="B151" s="5">
        <f>129*B20</f>
        <v>0</v>
      </c>
      <c r="C151" s="11">
        <f>150*(C20)</f>
        <v>18150</v>
      </c>
      <c r="D151" s="11"/>
      <c r="E151" s="11"/>
      <c r="F151" s="11"/>
      <c r="G151" s="11"/>
      <c r="H151" s="11"/>
      <c r="I151" s="5">
        <f t="shared" si="415"/>
        <v>18150</v>
      </c>
      <c r="K151" s="5">
        <f>129*K20</f>
        <v>0</v>
      </c>
      <c r="L151" s="11">
        <f>150*(L20)</f>
        <v>10950</v>
      </c>
      <c r="M151" s="11"/>
      <c r="N151" s="11"/>
      <c r="O151" s="11"/>
      <c r="P151" s="11"/>
      <c r="Q151" s="11"/>
      <c r="R151" s="5">
        <f t="shared" si="416"/>
        <v>10950</v>
      </c>
      <c r="T151" s="5">
        <f>129*T20</f>
        <v>0</v>
      </c>
      <c r="U151" s="11">
        <f>150*(U20)</f>
        <v>16200</v>
      </c>
      <c r="V151" s="11"/>
      <c r="W151" s="11"/>
      <c r="X151" s="11"/>
      <c r="Y151" s="11"/>
      <c r="Z151" s="11"/>
      <c r="AA151" s="5">
        <f t="shared" si="417"/>
        <v>16200</v>
      </c>
      <c r="AC151" s="5">
        <f>129*AC20</f>
        <v>0</v>
      </c>
      <c r="AD151" s="11">
        <f>150*(AD20)</f>
        <v>41700</v>
      </c>
      <c r="AE151" s="11"/>
      <c r="AF151" s="11"/>
      <c r="AG151" s="11"/>
      <c r="AH151" s="11"/>
      <c r="AI151" s="11"/>
      <c r="AJ151" s="5">
        <f t="shared" si="418"/>
        <v>41700</v>
      </c>
      <c r="AL151" s="5">
        <f>129*AL20</f>
        <v>0</v>
      </c>
      <c r="AM151" s="11">
        <f>150*(AM20)</f>
        <v>31950</v>
      </c>
      <c r="AN151" s="11"/>
      <c r="AO151" s="11"/>
      <c r="AP151" s="11"/>
      <c r="AQ151" s="11"/>
      <c r="AR151" s="11"/>
      <c r="AS151" s="5">
        <f t="shared" si="419"/>
        <v>31950</v>
      </c>
      <c r="AU151" s="5"/>
      <c r="AV151" s="11">
        <f>150*(AV20)</f>
        <v>2700</v>
      </c>
      <c r="AW151" s="11"/>
      <c r="AX151" s="11"/>
      <c r="AY151" s="11"/>
      <c r="AZ151" s="11"/>
      <c r="BA151" s="11"/>
      <c r="BB151" s="5">
        <f t="shared" si="420"/>
        <v>2700</v>
      </c>
      <c r="BD151" s="5">
        <f>129*BD20</f>
        <v>0</v>
      </c>
      <c r="BE151" s="11">
        <f>150*(BE20)</f>
        <v>2550</v>
      </c>
      <c r="BF151" s="11"/>
      <c r="BG151" s="11"/>
      <c r="BH151" s="11"/>
      <c r="BI151" s="11"/>
      <c r="BJ151" s="11"/>
      <c r="BK151" s="5">
        <f t="shared" si="421"/>
        <v>2550</v>
      </c>
      <c r="BM151" s="5">
        <f>129*BM20</f>
        <v>0</v>
      </c>
      <c r="BN151" s="11">
        <f>150*(BN20)</f>
        <v>0</v>
      </c>
      <c r="BO151" s="11"/>
      <c r="BP151" s="11"/>
      <c r="BQ151" s="11"/>
      <c r="BR151" s="11"/>
      <c r="BS151" s="11"/>
      <c r="BT151" s="5">
        <f t="shared" si="422"/>
        <v>0</v>
      </c>
      <c r="BV151" s="5">
        <f t="shared" si="423"/>
        <v>0</v>
      </c>
      <c r="BW151" s="5">
        <f t="shared" si="423"/>
        <v>124200</v>
      </c>
      <c r="BX151" s="5">
        <f t="shared" si="423"/>
        <v>0</v>
      </c>
      <c r="BY151" s="5">
        <f t="shared" si="423"/>
        <v>0</v>
      </c>
      <c r="BZ151" s="5">
        <f t="shared" si="423"/>
        <v>0</v>
      </c>
      <c r="CA151" s="5">
        <f t="shared" si="423"/>
        <v>0</v>
      </c>
      <c r="CB151" s="11"/>
      <c r="CC151" s="5">
        <f t="shared" si="424"/>
        <v>124200</v>
      </c>
    </row>
    <row r="152" spans="1:81">
      <c r="A152" s="29" t="s">
        <v>134</v>
      </c>
      <c r="B152" s="5">
        <v>0</v>
      </c>
      <c r="C152" s="5"/>
      <c r="D152" s="5"/>
      <c r="E152" s="5"/>
      <c r="F152" s="5"/>
      <c r="G152" s="5"/>
      <c r="H152" s="5"/>
      <c r="I152" s="5">
        <f t="shared" si="415"/>
        <v>0</v>
      </c>
      <c r="K152" s="5">
        <v>0</v>
      </c>
      <c r="L152" s="5"/>
      <c r="M152" s="5"/>
      <c r="N152" s="5"/>
      <c r="O152" s="5"/>
      <c r="P152" s="5"/>
      <c r="Q152" s="5"/>
      <c r="R152" s="5">
        <f t="shared" si="416"/>
        <v>0</v>
      </c>
      <c r="T152" s="5">
        <v>0</v>
      </c>
      <c r="U152" s="5"/>
      <c r="V152" s="5"/>
      <c r="W152" s="5"/>
      <c r="X152" s="5"/>
      <c r="Y152" s="5"/>
      <c r="Z152" s="5"/>
      <c r="AA152" s="5">
        <f t="shared" si="417"/>
        <v>0</v>
      </c>
      <c r="AC152" s="5">
        <v>100000</v>
      </c>
      <c r="AD152" s="5"/>
      <c r="AE152" s="5"/>
      <c r="AF152" s="5"/>
      <c r="AG152" s="5"/>
      <c r="AH152" s="5"/>
      <c r="AI152" s="5"/>
      <c r="AJ152" s="5">
        <f t="shared" si="418"/>
        <v>100000</v>
      </c>
      <c r="AL152" s="5">
        <v>110000</v>
      </c>
      <c r="AM152" s="5"/>
      <c r="AN152" s="5"/>
      <c r="AO152" s="5"/>
      <c r="AP152" s="5"/>
      <c r="AQ152" s="5"/>
      <c r="AR152" s="5"/>
      <c r="AS152" s="5">
        <f t="shared" si="419"/>
        <v>110000</v>
      </c>
      <c r="AU152" s="5">
        <v>0</v>
      </c>
      <c r="AV152" s="5"/>
      <c r="AW152" s="5"/>
      <c r="AX152" s="5"/>
      <c r="AY152" s="5"/>
      <c r="AZ152" s="5"/>
      <c r="BA152" s="5"/>
      <c r="BB152" s="5">
        <f t="shared" si="420"/>
        <v>0</v>
      </c>
      <c r="BD152" s="5">
        <v>0</v>
      </c>
      <c r="BE152" s="5"/>
      <c r="BF152" s="5"/>
      <c r="BG152" s="5"/>
      <c r="BH152" s="5"/>
      <c r="BI152" s="5"/>
      <c r="BJ152" s="5"/>
      <c r="BK152" s="5">
        <f t="shared" si="421"/>
        <v>0</v>
      </c>
      <c r="BM152" s="5">
        <v>0</v>
      </c>
      <c r="BN152" s="5"/>
      <c r="BO152" s="5"/>
      <c r="BP152" s="5"/>
      <c r="BQ152" s="5"/>
      <c r="BR152" s="5"/>
      <c r="BS152" s="5"/>
      <c r="BT152" s="5">
        <f t="shared" si="422"/>
        <v>0</v>
      </c>
      <c r="BV152" s="5">
        <f t="shared" si="423"/>
        <v>210000</v>
      </c>
      <c r="BW152" s="5">
        <f t="shared" si="423"/>
        <v>0</v>
      </c>
      <c r="BX152" s="5">
        <f t="shared" si="423"/>
        <v>0</v>
      </c>
      <c r="BY152" s="5">
        <f t="shared" si="423"/>
        <v>0</v>
      </c>
      <c r="BZ152" s="5">
        <f t="shared" si="423"/>
        <v>0</v>
      </c>
      <c r="CA152" s="5">
        <f t="shared" si="423"/>
        <v>0</v>
      </c>
      <c r="CB152" s="5"/>
      <c r="CC152" s="5">
        <f t="shared" si="424"/>
        <v>210000</v>
      </c>
    </row>
    <row r="153" spans="1:81">
      <c r="A153" s="78" t="s">
        <v>135</v>
      </c>
      <c r="B153" s="79">
        <f>50*B17</f>
        <v>45250</v>
      </c>
      <c r="C153" s="5"/>
      <c r="D153" s="5"/>
      <c r="E153" s="5"/>
      <c r="F153" s="5"/>
      <c r="G153" s="5"/>
      <c r="H153" s="5"/>
      <c r="I153" s="5">
        <f>SUM(B153:H153)</f>
        <v>45250</v>
      </c>
      <c r="K153" s="79">
        <f>50*K17</f>
        <v>51100</v>
      </c>
      <c r="L153" s="5"/>
      <c r="M153" s="5"/>
      <c r="N153" s="5"/>
      <c r="O153" s="5"/>
      <c r="P153" s="5"/>
      <c r="Q153" s="5"/>
      <c r="R153" s="5">
        <f>SUM(K153:Q153)</f>
        <v>51100</v>
      </c>
      <c r="T153" s="79">
        <f>45*T17</f>
        <v>53685</v>
      </c>
      <c r="U153" s="5"/>
      <c r="V153" s="5"/>
      <c r="W153" s="5"/>
      <c r="X153" s="5"/>
      <c r="Y153" s="5"/>
      <c r="Z153" s="5"/>
      <c r="AA153" s="5">
        <f>SUM(T153:Z153)</f>
        <v>53685</v>
      </c>
      <c r="AC153" s="79">
        <f>45*AC17</f>
        <v>105210</v>
      </c>
      <c r="AD153" s="5"/>
      <c r="AE153" s="5"/>
      <c r="AF153" s="5"/>
      <c r="AG153" s="5"/>
      <c r="AH153" s="5"/>
      <c r="AI153" s="5"/>
      <c r="AJ153" s="5">
        <f>SUM(AC153:AI153)</f>
        <v>105210</v>
      </c>
      <c r="AL153" s="79">
        <f>45*AL17</f>
        <v>102195</v>
      </c>
      <c r="AM153" s="5"/>
      <c r="AN153" s="5"/>
      <c r="AO153" s="5"/>
      <c r="AP153" s="5"/>
      <c r="AQ153" s="5"/>
      <c r="AR153" s="5"/>
      <c r="AS153" s="5">
        <f>SUM(AL153:AR153)</f>
        <v>102195</v>
      </c>
      <c r="AU153" s="79">
        <v>0</v>
      </c>
      <c r="AV153" s="5"/>
      <c r="AW153" s="5"/>
      <c r="AX153" s="5"/>
      <c r="AY153" s="5"/>
      <c r="AZ153" s="5"/>
      <c r="BA153" s="5"/>
      <c r="BB153" s="5">
        <f>SUM(AU153:BA153)</f>
        <v>0</v>
      </c>
      <c r="BD153" s="79">
        <f>45*BD17</f>
        <v>11970</v>
      </c>
      <c r="BE153" s="5"/>
      <c r="BF153" s="5"/>
      <c r="BG153" s="5"/>
      <c r="BH153" s="5"/>
      <c r="BI153" s="5"/>
      <c r="BJ153" s="5"/>
      <c r="BK153" s="5">
        <f>SUM(BD153:BJ153)</f>
        <v>11970</v>
      </c>
      <c r="BM153" s="79">
        <f>45*BM17</f>
        <v>0</v>
      </c>
      <c r="BN153" s="5"/>
      <c r="BO153" s="5"/>
      <c r="BP153" s="5"/>
      <c r="BQ153" s="5"/>
      <c r="BR153" s="5"/>
      <c r="BS153" s="5"/>
      <c r="BT153" s="5">
        <f>SUM(BM153:BS153)</f>
        <v>0</v>
      </c>
      <c r="BV153" s="5">
        <f t="shared" si="423"/>
        <v>369410</v>
      </c>
      <c r="BW153" s="5">
        <f t="shared" si="423"/>
        <v>0</v>
      </c>
      <c r="BX153" s="5">
        <f t="shared" si="423"/>
        <v>0</v>
      </c>
      <c r="BY153" s="5">
        <f t="shared" si="423"/>
        <v>0</v>
      </c>
      <c r="BZ153" s="5">
        <f t="shared" si="423"/>
        <v>0</v>
      </c>
      <c r="CA153" s="5">
        <f t="shared" si="423"/>
        <v>0</v>
      </c>
      <c r="CB153" s="5"/>
      <c r="CC153" s="5">
        <f>SUM(BV153:CB153)</f>
        <v>369410</v>
      </c>
    </row>
    <row r="154" spans="1:81" ht="15">
      <c r="A154" s="70" t="s">
        <v>136</v>
      </c>
      <c r="B154" s="71">
        <f>SUM(B144:B153)</f>
        <v>319140</v>
      </c>
      <c r="C154" s="71">
        <f t="shared" ref="C154:I154" si="425">SUM(C144:C153)</f>
        <v>18150</v>
      </c>
      <c r="D154" s="71">
        <f t="shared" si="425"/>
        <v>3500</v>
      </c>
      <c r="E154" s="71">
        <f t="shared" si="425"/>
        <v>0</v>
      </c>
      <c r="F154" s="71">
        <f t="shared" si="425"/>
        <v>0</v>
      </c>
      <c r="G154" s="71">
        <f t="shared" si="425"/>
        <v>0</v>
      </c>
      <c r="H154" s="71">
        <f t="shared" si="425"/>
        <v>0</v>
      </c>
      <c r="I154" s="71">
        <f t="shared" si="425"/>
        <v>340790</v>
      </c>
      <c r="J154" s="7"/>
      <c r="K154" s="71">
        <f>SUM(K144:K153)</f>
        <v>358386</v>
      </c>
      <c r="L154" s="71">
        <f t="shared" ref="L154:R154" si="426">SUM(L144:L153)</f>
        <v>10950</v>
      </c>
      <c r="M154" s="71">
        <f t="shared" si="426"/>
        <v>2500</v>
      </c>
      <c r="N154" s="71"/>
      <c r="O154" s="71">
        <f t="shared" si="426"/>
        <v>0</v>
      </c>
      <c r="P154" s="71">
        <f t="shared" si="426"/>
        <v>0</v>
      </c>
      <c r="Q154" s="71">
        <f t="shared" si="426"/>
        <v>0</v>
      </c>
      <c r="R154" s="71">
        <f t="shared" si="426"/>
        <v>371836</v>
      </c>
      <c r="T154" s="71">
        <f>SUM(T144:T153)</f>
        <v>410669</v>
      </c>
      <c r="U154" s="71">
        <f t="shared" ref="U154:AA154" si="427">SUM(U144:U153)</f>
        <v>16200</v>
      </c>
      <c r="V154" s="71">
        <f t="shared" si="427"/>
        <v>0</v>
      </c>
      <c r="W154" s="71"/>
      <c r="X154" s="71">
        <f t="shared" si="427"/>
        <v>0</v>
      </c>
      <c r="Y154" s="71">
        <f t="shared" si="427"/>
        <v>0</v>
      </c>
      <c r="Z154" s="71">
        <f t="shared" si="427"/>
        <v>0</v>
      </c>
      <c r="AA154" s="71">
        <f t="shared" si="427"/>
        <v>426869</v>
      </c>
      <c r="AC154" s="71">
        <f>SUM(AC144:AC153)</f>
        <v>1216934</v>
      </c>
      <c r="AD154" s="71">
        <f t="shared" ref="AD154:AJ154" si="428">SUM(AD144:AD153)</f>
        <v>41700</v>
      </c>
      <c r="AE154" s="71">
        <f t="shared" si="428"/>
        <v>3500</v>
      </c>
      <c r="AF154" s="71">
        <f t="shared" si="428"/>
        <v>0</v>
      </c>
      <c r="AG154" s="71">
        <f t="shared" si="428"/>
        <v>0</v>
      </c>
      <c r="AH154" s="71">
        <f t="shared" si="428"/>
        <v>0</v>
      </c>
      <c r="AI154" s="71">
        <f t="shared" si="428"/>
        <v>0</v>
      </c>
      <c r="AJ154" s="71">
        <f t="shared" si="428"/>
        <v>1262134</v>
      </c>
      <c r="AL154" s="71">
        <f>SUM(AL144:AL153)</f>
        <v>1230043</v>
      </c>
      <c r="AM154" s="71">
        <f t="shared" ref="AM154:AS154" si="429">SUM(AM144:AM153)</f>
        <v>31950</v>
      </c>
      <c r="AN154" s="71">
        <f t="shared" si="429"/>
        <v>3500</v>
      </c>
      <c r="AO154" s="71"/>
      <c r="AP154" s="71">
        <f t="shared" si="429"/>
        <v>0</v>
      </c>
      <c r="AQ154" s="71">
        <f t="shared" si="429"/>
        <v>0</v>
      </c>
      <c r="AR154" s="71">
        <f t="shared" si="429"/>
        <v>0</v>
      </c>
      <c r="AS154" s="71">
        <f t="shared" si="429"/>
        <v>1265493</v>
      </c>
      <c r="AU154" s="71">
        <f>SUM(AU144:AU153)</f>
        <v>87850</v>
      </c>
      <c r="AV154" s="71">
        <f t="shared" ref="AV154:BB154" si="430">SUM(AV144:AV153)</f>
        <v>2700</v>
      </c>
      <c r="AW154" s="71">
        <f t="shared" si="430"/>
        <v>0</v>
      </c>
      <c r="AX154" s="71">
        <f t="shared" si="430"/>
        <v>0</v>
      </c>
      <c r="AY154" s="71">
        <f t="shared" si="430"/>
        <v>0</v>
      </c>
      <c r="AZ154" s="71">
        <f t="shared" si="430"/>
        <v>0</v>
      </c>
      <c r="BA154" s="71">
        <f t="shared" si="430"/>
        <v>0</v>
      </c>
      <c r="BB154" s="71">
        <f t="shared" si="430"/>
        <v>90550</v>
      </c>
      <c r="BD154" s="71">
        <f>SUM(BD144:BD153)</f>
        <v>223128</v>
      </c>
      <c r="BE154" s="71">
        <f t="shared" ref="BE154:BK154" si="431">SUM(BE144:BE153)</f>
        <v>2550</v>
      </c>
      <c r="BF154" s="71">
        <f t="shared" si="431"/>
        <v>2500</v>
      </c>
      <c r="BG154" s="71">
        <f t="shared" si="431"/>
        <v>0</v>
      </c>
      <c r="BH154" s="71">
        <f t="shared" si="431"/>
        <v>0</v>
      </c>
      <c r="BI154" s="71">
        <f t="shared" si="431"/>
        <v>0</v>
      </c>
      <c r="BJ154" s="71">
        <f t="shared" si="431"/>
        <v>0</v>
      </c>
      <c r="BK154" s="71">
        <f t="shared" si="431"/>
        <v>228178</v>
      </c>
      <c r="BM154" s="71">
        <f>SUM(BM144:BM153)</f>
        <v>0</v>
      </c>
      <c r="BN154" s="71">
        <f t="shared" ref="BN154:BT154" si="432">SUM(BN144:BN153)</f>
        <v>0</v>
      </c>
      <c r="BO154" s="71">
        <f t="shared" si="432"/>
        <v>0</v>
      </c>
      <c r="BP154" s="71">
        <f t="shared" si="432"/>
        <v>0</v>
      </c>
      <c r="BQ154" s="71">
        <f t="shared" si="432"/>
        <v>0</v>
      </c>
      <c r="BR154" s="71">
        <f t="shared" si="432"/>
        <v>0</v>
      </c>
      <c r="BS154" s="71">
        <f t="shared" si="432"/>
        <v>0</v>
      </c>
      <c r="BT154" s="71">
        <f t="shared" si="432"/>
        <v>0</v>
      </c>
      <c r="BV154" s="71">
        <f>SUM(BV144:BV153)</f>
        <v>3846150</v>
      </c>
      <c r="BW154" s="71">
        <f t="shared" ref="BW154:CC154" si="433">SUM(BW144:BW153)</f>
        <v>124200</v>
      </c>
      <c r="BX154" s="71">
        <f t="shared" si="433"/>
        <v>15500</v>
      </c>
      <c r="BY154" s="71">
        <f t="shared" si="433"/>
        <v>0</v>
      </c>
      <c r="BZ154" s="71">
        <f t="shared" si="433"/>
        <v>0</v>
      </c>
      <c r="CA154" s="71">
        <f t="shared" si="433"/>
        <v>0</v>
      </c>
      <c r="CB154" s="71">
        <f t="shared" si="433"/>
        <v>0</v>
      </c>
      <c r="CC154" s="71">
        <f t="shared" si="433"/>
        <v>3985850</v>
      </c>
    </row>
    <row r="155" spans="1:81" ht="15">
      <c r="A155" s="75" t="s">
        <v>137</v>
      </c>
      <c r="B155" s="18" t="str">
        <f t="shared" ref="B155:I155" si="434">B1</f>
        <v>Operating</v>
      </c>
      <c r="C155" s="18" t="str">
        <f t="shared" si="434"/>
        <v>SPED</v>
      </c>
      <c r="D155" s="18" t="str">
        <f t="shared" si="434"/>
        <v>NSLP</v>
      </c>
      <c r="E155" s="18" t="str">
        <f t="shared" si="434"/>
        <v>Other</v>
      </c>
      <c r="F155" s="18" t="str">
        <f t="shared" si="434"/>
        <v>Title I</v>
      </c>
      <c r="G155" s="18" t="str">
        <f t="shared" si="434"/>
        <v>SGF</v>
      </c>
      <c r="H155" s="18" t="str">
        <f t="shared" si="434"/>
        <v>Title III</v>
      </c>
      <c r="I155" s="18" t="str">
        <f t="shared" si="434"/>
        <v>Horizon</v>
      </c>
      <c r="J155" s="7"/>
      <c r="K155" s="18" t="str">
        <f t="shared" ref="K155:R155" si="435">K1</f>
        <v>Operating</v>
      </c>
      <c r="L155" s="18" t="str">
        <f t="shared" si="435"/>
        <v>SPED</v>
      </c>
      <c r="M155" s="18" t="str">
        <f t="shared" si="435"/>
        <v>NSLP</v>
      </c>
      <c r="N155" s="18" t="str">
        <f t="shared" si="435"/>
        <v>Other</v>
      </c>
      <c r="O155" s="18" t="str">
        <f t="shared" si="435"/>
        <v>Title I</v>
      </c>
      <c r="P155" s="18" t="str">
        <f t="shared" si="435"/>
        <v>SGF</v>
      </c>
      <c r="Q155" s="18" t="str">
        <f t="shared" si="435"/>
        <v>Title III</v>
      </c>
      <c r="R155" s="18" t="str">
        <f t="shared" si="435"/>
        <v>St. Rose</v>
      </c>
      <c r="T155" s="18" t="str">
        <f t="shared" ref="T155:AA155" si="436">T1</f>
        <v>Operating</v>
      </c>
      <c r="U155" s="18" t="str">
        <f t="shared" si="436"/>
        <v>SPED</v>
      </c>
      <c r="V155" s="18" t="str">
        <f t="shared" si="436"/>
        <v>NSLP</v>
      </c>
      <c r="W155" s="18" t="str">
        <f t="shared" si="436"/>
        <v>Other</v>
      </c>
      <c r="X155" s="18" t="str">
        <f t="shared" si="436"/>
        <v>Title I</v>
      </c>
      <c r="Y155" s="18" t="str">
        <f t="shared" si="436"/>
        <v>SGF</v>
      </c>
      <c r="Z155" s="18" t="str">
        <f t="shared" si="436"/>
        <v>Title III</v>
      </c>
      <c r="AA155" s="18" t="str">
        <f t="shared" si="436"/>
        <v>Inspirada</v>
      </c>
      <c r="AC155" s="18" t="str">
        <f t="shared" ref="AC155:AJ155" si="437">AC1</f>
        <v>Operating</v>
      </c>
      <c r="AD155" s="18" t="str">
        <f t="shared" si="437"/>
        <v>SPED</v>
      </c>
      <c r="AE155" s="18" t="str">
        <f t="shared" si="437"/>
        <v>NSLP</v>
      </c>
      <c r="AF155" s="18" t="str">
        <f t="shared" si="437"/>
        <v>Other</v>
      </c>
      <c r="AG155" s="18" t="str">
        <f t="shared" si="437"/>
        <v>Title I</v>
      </c>
      <c r="AH155" s="18" t="str">
        <f t="shared" si="437"/>
        <v>SGF</v>
      </c>
      <c r="AI155" s="18" t="str">
        <f t="shared" si="437"/>
        <v>Title III</v>
      </c>
      <c r="AJ155" s="18" t="str">
        <f t="shared" si="437"/>
        <v>Cadence</v>
      </c>
      <c r="AL155" s="18" t="str">
        <f t="shared" ref="AL155:AS155" si="438">AL1</f>
        <v>Operating</v>
      </c>
      <c r="AM155" s="18" t="str">
        <f t="shared" si="438"/>
        <v>SPED</v>
      </c>
      <c r="AN155" s="18" t="str">
        <f t="shared" si="438"/>
        <v>NSLP</v>
      </c>
      <c r="AO155" s="18" t="str">
        <f t="shared" si="438"/>
        <v>Other</v>
      </c>
      <c r="AP155" s="18" t="str">
        <f t="shared" si="438"/>
        <v>Title I</v>
      </c>
      <c r="AQ155" s="18" t="str">
        <f t="shared" si="438"/>
        <v>SGF</v>
      </c>
      <c r="AR155" s="18" t="str">
        <f t="shared" si="438"/>
        <v>Title III</v>
      </c>
      <c r="AS155" s="18" t="str">
        <f t="shared" si="438"/>
        <v>Sloan</v>
      </c>
      <c r="AU155" s="18" t="str">
        <f t="shared" ref="AU155:BB155" si="439">AU1</f>
        <v>Operating</v>
      </c>
      <c r="AV155" s="18" t="str">
        <f t="shared" si="439"/>
        <v>SPED</v>
      </c>
      <c r="AW155" s="18" t="str">
        <f t="shared" si="439"/>
        <v>NSLP</v>
      </c>
      <c r="AX155" s="18" t="str">
        <f t="shared" si="439"/>
        <v>Other</v>
      </c>
      <c r="AY155" s="18" t="str">
        <f t="shared" si="439"/>
        <v>Title I</v>
      </c>
      <c r="AZ155" s="18" t="str">
        <f t="shared" si="439"/>
        <v>SGF</v>
      </c>
      <c r="BA155" s="18" t="str">
        <f t="shared" si="439"/>
        <v>Title III</v>
      </c>
      <c r="BB155" s="18" t="str">
        <f t="shared" si="439"/>
        <v>Virtual</v>
      </c>
      <c r="BD155" s="18" t="str">
        <f t="shared" ref="BD155:BK155" si="440">BD1</f>
        <v>Operating</v>
      </c>
      <c r="BE155" s="18" t="str">
        <f t="shared" si="440"/>
        <v>SPED</v>
      </c>
      <c r="BF155" s="18" t="str">
        <f t="shared" si="440"/>
        <v>NSLP</v>
      </c>
      <c r="BG155" s="18" t="str">
        <f t="shared" si="440"/>
        <v>Other</v>
      </c>
      <c r="BH155" s="18" t="str">
        <f t="shared" si="440"/>
        <v>Title I</v>
      </c>
      <c r="BI155" s="18" t="str">
        <f t="shared" si="440"/>
        <v>SGF</v>
      </c>
      <c r="BJ155" s="18" t="str">
        <f t="shared" si="440"/>
        <v>Title III</v>
      </c>
      <c r="BK155" s="18" t="str">
        <f t="shared" si="440"/>
        <v>Springs</v>
      </c>
      <c r="BM155" s="18" t="str">
        <f t="shared" ref="BM155:BT155" si="441">BM1</f>
        <v>Operating</v>
      </c>
      <c r="BN155" s="18" t="str">
        <f t="shared" si="441"/>
        <v>SPED</v>
      </c>
      <c r="BO155" s="18" t="str">
        <f t="shared" si="441"/>
        <v>NSLP</v>
      </c>
      <c r="BP155" s="18" t="str">
        <f t="shared" si="441"/>
        <v>Other</v>
      </c>
      <c r="BQ155" s="18" t="str">
        <f t="shared" si="441"/>
        <v>Title I</v>
      </c>
      <c r="BR155" s="18" t="str">
        <f t="shared" si="441"/>
        <v>SGF</v>
      </c>
      <c r="BS155" s="18" t="str">
        <f t="shared" si="441"/>
        <v>Title III</v>
      </c>
      <c r="BT155" s="18" t="str">
        <f t="shared" si="441"/>
        <v>Exec. Office</v>
      </c>
      <c r="BV155" s="18" t="str">
        <f t="shared" ref="BV155:CC155" si="442">BV1</f>
        <v>Operating</v>
      </c>
      <c r="BW155" s="18" t="str">
        <f t="shared" si="442"/>
        <v>SPED</v>
      </c>
      <c r="BX155" s="18" t="str">
        <f t="shared" si="442"/>
        <v>NSLP</v>
      </c>
      <c r="BY155" s="18" t="str">
        <f t="shared" si="442"/>
        <v>Other</v>
      </c>
      <c r="BZ155" s="18" t="str">
        <f t="shared" si="442"/>
        <v>Title I</v>
      </c>
      <c r="CA155" s="18" t="str">
        <f t="shared" si="442"/>
        <v>SGF</v>
      </c>
      <c r="CB155" s="18" t="str">
        <f t="shared" si="442"/>
        <v>Title III</v>
      </c>
      <c r="CC155" s="18" t="str">
        <f t="shared" si="442"/>
        <v>Systemwide</v>
      </c>
    </row>
    <row r="156" spans="1:81">
      <c r="A156" s="29" t="s">
        <v>138</v>
      </c>
      <c r="B156" s="11">
        <f>9200 +5000</f>
        <v>14200</v>
      </c>
      <c r="C156" s="11"/>
      <c r="D156" s="11"/>
      <c r="E156" s="11"/>
      <c r="F156" s="11"/>
      <c r="G156" s="11"/>
      <c r="H156" s="11"/>
      <c r="I156" s="5">
        <f t="shared" ref="I156:I169" si="443">SUM(B156:H156)</f>
        <v>14200</v>
      </c>
      <c r="K156" s="11">
        <f>13000+10000</f>
        <v>23000</v>
      </c>
      <c r="L156" s="11"/>
      <c r="M156" s="11"/>
      <c r="N156" s="11"/>
      <c r="O156" s="11"/>
      <c r="P156" s="11"/>
      <c r="Q156" s="11"/>
      <c r="R156" s="5">
        <f t="shared" ref="R156:R169" si="444">SUM(K156:Q156)</f>
        <v>23000</v>
      </c>
      <c r="T156" s="11">
        <f>13000+5000</f>
        <v>18000</v>
      </c>
      <c r="U156" s="11"/>
      <c r="V156" s="11"/>
      <c r="W156" s="11"/>
      <c r="X156" s="11"/>
      <c r="Y156" s="11"/>
      <c r="Z156" s="11"/>
      <c r="AA156" s="5">
        <f t="shared" ref="AA156:AA169" si="445">SUM(T156:Z156)</f>
        <v>18000</v>
      </c>
      <c r="AC156" s="11">
        <f>20000+15000</f>
        <v>35000</v>
      </c>
      <c r="AD156" s="11"/>
      <c r="AE156" s="11"/>
      <c r="AF156" s="11"/>
      <c r="AG156" s="11"/>
      <c r="AH156" s="11"/>
      <c r="AI156" s="11"/>
      <c r="AJ156" s="5">
        <f t="shared" ref="AJ156:AJ169" si="446">SUM(AC156:AI156)</f>
        <v>35000</v>
      </c>
      <c r="AL156" s="11">
        <f>20000+10000</f>
        <v>30000</v>
      </c>
      <c r="AM156" s="11"/>
      <c r="AN156" s="11"/>
      <c r="AO156" s="11"/>
      <c r="AP156" s="11"/>
      <c r="AQ156" s="11"/>
      <c r="AR156" s="11"/>
      <c r="AS156" s="5">
        <f t="shared" ref="AS156:AS169" si="447">SUM(AL156:AR156)</f>
        <v>30000</v>
      </c>
      <c r="AU156" s="11">
        <f>7000+2500</f>
        <v>9500</v>
      </c>
      <c r="AV156" s="11"/>
      <c r="AW156" s="11"/>
      <c r="AX156" s="11"/>
      <c r="AY156" s="11"/>
      <c r="AZ156" s="11"/>
      <c r="BA156" s="11"/>
      <c r="BB156" s="5">
        <f t="shared" ref="BB156:BB169" si="448">SUM(AU156:BA156)</f>
        <v>9500</v>
      </c>
      <c r="BD156" s="11">
        <v>3000</v>
      </c>
      <c r="BE156" s="11"/>
      <c r="BF156" s="11"/>
      <c r="BG156" s="11"/>
      <c r="BH156" s="11"/>
      <c r="BI156" s="11"/>
      <c r="BJ156" s="11"/>
      <c r="BK156" s="5">
        <f t="shared" ref="BK156:BK169" si="449">SUM(BD156:BJ156)</f>
        <v>3000</v>
      </c>
      <c r="BM156" s="11">
        <v>0</v>
      </c>
      <c r="BN156" s="11"/>
      <c r="BO156" s="11"/>
      <c r="BP156" s="11"/>
      <c r="BQ156" s="11"/>
      <c r="BR156" s="11"/>
      <c r="BS156" s="11"/>
      <c r="BT156" s="5">
        <f t="shared" ref="BT156:BT169" si="450">SUM(BM156:BS156)</f>
        <v>0</v>
      </c>
      <c r="BV156" s="5">
        <f t="shared" ref="BV156:CA169" si="451">B156+K156+T156+AC156+AL156+AU156+BD156+BM156</f>
        <v>132700</v>
      </c>
      <c r="BW156" s="5">
        <f t="shared" si="451"/>
        <v>0</v>
      </c>
      <c r="BX156" s="5">
        <f t="shared" si="451"/>
        <v>0</v>
      </c>
      <c r="BY156" s="5">
        <f t="shared" si="451"/>
        <v>0</v>
      </c>
      <c r="BZ156" s="5">
        <f t="shared" si="451"/>
        <v>0</v>
      </c>
      <c r="CA156" s="5">
        <f t="shared" si="451"/>
        <v>0</v>
      </c>
      <c r="CB156" s="11"/>
      <c r="CC156" s="5">
        <f t="shared" ref="CC156:CC169" si="452">SUM(BV156:CB156)</f>
        <v>132700</v>
      </c>
    </row>
    <row r="157" spans="1:81">
      <c r="A157" s="29" t="s">
        <v>139</v>
      </c>
      <c r="B157" s="11">
        <v>0</v>
      </c>
      <c r="C157" s="11">
        <f>575*B17</f>
        <v>520375</v>
      </c>
      <c r="D157" s="5"/>
      <c r="E157" s="5"/>
      <c r="F157" s="5"/>
      <c r="G157" s="5"/>
      <c r="H157" s="5"/>
      <c r="I157" s="5">
        <f t="shared" si="443"/>
        <v>520375</v>
      </c>
      <c r="K157" s="11">
        <v>0</v>
      </c>
      <c r="L157" s="11">
        <f>160*K17</f>
        <v>163520</v>
      </c>
      <c r="M157" s="5"/>
      <c r="N157" s="5"/>
      <c r="O157" s="5"/>
      <c r="P157" s="5"/>
      <c r="Q157" s="5"/>
      <c r="R157" s="5">
        <f t="shared" si="444"/>
        <v>163520</v>
      </c>
      <c r="T157" s="11">
        <v>0</v>
      </c>
      <c r="U157" s="11">
        <f>80*T17</f>
        <v>95440</v>
      </c>
      <c r="V157" s="5"/>
      <c r="W157" s="5"/>
      <c r="X157" s="5"/>
      <c r="Y157" s="5"/>
      <c r="Z157" s="5"/>
      <c r="AA157" s="5">
        <f t="shared" si="445"/>
        <v>95440</v>
      </c>
      <c r="AC157" s="11">
        <v>0</v>
      </c>
      <c r="AD157" s="11">
        <f>140*AC17</f>
        <v>327320</v>
      </c>
      <c r="AE157" s="5"/>
      <c r="AF157" s="5"/>
      <c r="AG157" s="5"/>
      <c r="AH157" s="5"/>
      <c r="AI157" s="5"/>
      <c r="AJ157" s="5">
        <f t="shared" si="446"/>
        <v>327320</v>
      </c>
      <c r="AL157" s="11">
        <v>0</v>
      </c>
      <c r="AM157" s="11">
        <f>225*AL17</f>
        <v>510975</v>
      </c>
      <c r="AN157" s="5"/>
      <c r="AO157" s="5"/>
      <c r="AP157" s="5"/>
      <c r="AQ157" s="5"/>
      <c r="AR157" s="5"/>
      <c r="AS157" s="5">
        <f t="shared" si="447"/>
        <v>510975</v>
      </c>
      <c r="AU157" s="11">
        <v>0</v>
      </c>
      <c r="AV157" s="11">
        <f>200*AU17</f>
        <v>27000</v>
      </c>
      <c r="AW157" s="5"/>
      <c r="AX157" s="5"/>
      <c r="AY157" s="5"/>
      <c r="AZ157" s="5"/>
      <c r="BA157" s="5"/>
      <c r="BB157" s="5">
        <f t="shared" si="448"/>
        <v>27000</v>
      </c>
      <c r="BD157" s="11">
        <v>0</v>
      </c>
      <c r="BE157" s="11">
        <f>750*BD17+60000</f>
        <v>259500</v>
      </c>
      <c r="BF157" s="5"/>
      <c r="BG157" s="5"/>
      <c r="BH157" s="5"/>
      <c r="BI157" s="5"/>
      <c r="BJ157" s="5"/>
      <c r="BK157" s="5">
        <f t="shared" si="449"/>
        <v>259500</v>
      </c>
      <c r="BM157" s="11">
        <v>0</v>
      </c>
      <c r="BN157" s="5">
        <f>375*BM17</f>
        <v>0</v>
      </c>
      <c r="BO157" s="5"/>
      <c r="BP157" s="5"/>
      <c r="BQ157" s="5"/>
      <c r="BR157" s="5"/>
      <c r="BS157" s="5"/>
      <c r="BT157" s="5">
        <f t="shared" si="450"/>
        <v>0</v>
      </c>
      <c r="BV157" s="5">
        <f t="shared" si="451"/>
        <v>0</v>
      </c>
      <c r="BW157" s="5">
        <f t="shared" si="451"/>
        <v>1904130</v>
      </c>
      <c r="BX157" s="5">
        <f t="shared" si="451"/>
        <v>0</v>
      </c>
      <c r="BY157" s="5">
        <f t="shared" si="451"/>
        <v>0</v>
      </c>
      <c r="BZ157" s="5">
        <f t="shared" si="451"/>
        <v>0</v>
      </c>
      <c r="CA157" s="5">
        <f t="shared" si="451"/>
        <v>0</v>
      </c>
      <c r="CB157" s="5"/>
      <c r="CC157" s="5">
        <f t="shared" si="452"/>
        <v>1904130</v>
      </c>
    </row>
    <row r="158" spans="1:81">
      <c r="A158" s="29" t="s">
        <v>279</v>
      </c>
      <c r="B158" s="11">
        <v>0</v>
      </c>
      <c r="C158" s="5"/>
      <c r="D158" s="5"/>
      <c r="E158" s="5"/>
      <c r="F158" s="5"/>
      <c r="G158" s="5"/>
      <c r="H158" s="5"/>
      <c r="I158" s="5">
        <f t="shared" si="443"/>
        <v>0</v>
      </c>
      <c r="K158" s="11">
        <f>(1705*10*2)*1.03</f>
        <v>35123</v>
      </c>
      <c r="L158" s="5"/>
      <c r="M158" s="5"/>
      <c r="N158" s="5"/>
      <c r="O158" s="5"/>
      <c r="P158" s="5"/>
      <c r="Q158" s="5"/>
      <c r="R158" s="5">
        <f t="shared" si="444"/>
        <v>35123</v>
      </c>
      <c r="T158" s="11">
        <v>0</v>
      </c>
      <c r="U158" s="5"/>
      <c r="V158" s="5"/>
      <c r="W158" s="5"/>
      <c r="X158" s="5"/>
      <c r="Y158" s="5"/>
      <c r="Z158" s="5"/>
      <c r="AA158" s="5">
        <f t="shared" si="445"/>
        <v>0</v>
      </c>
      <c r="AC158" s="11">
        <v>0</v>
      </c>
      <c r="AD158" s="5"/>
      <c r="AE158" s="5"/>
      <c r="AF158" s="5"/>
      <c r="AG158" s="5"/>
      <c r="AH158" s="5"/>
      <c r="AI158" s="5"/>
      <c r="AJ158" s="5">
        <f t="shared" si="446"/>
        <v>0</v>
      </c>
      <c r="AL158" s="11">
        <v>0</v>
      </c>
      <c r="AM158" s="5"/>
      <c r="AN158" s="5"/>
      <c r="AO158" s="5"/>
      <c r="AP158" s="5"/>
      <c r="AQ158" s="5"/>
      <c r="AR158" s="5"/>
      <c r="AS158" s="5">
        <f t="shared" si="447"/>
        <v>0</v>
      </c>
      <c r="AU158" s="105">
        <f>(100*12)*AU17</f>
        <v>162000</v>
      </c>
      <c r="AV158" s="11"/>
      <c r="AW158" s="5"/>
      <c r="AX158" s="5"/>
      <c r="AY158" s="5"/>
      <c r="AZ158" s="5"/>
      <c r="BA158" s="5"/>
      <c r="BB158" s="5">
        <f t="shared" si="448"/>
        <v>162000</v>
      </c>
      <c r="BD158" s="11">
        <v>0</v>
      </c>
      <c r="BE158" s="5"/>
      <c r="BF158" s="5"/>
      <c r="BG158" s="5"/>
      <c r="BH158" s="5"/>
      <c r="BI158" s="5"/>
      <c r="BJ158" s="5"/>
      <c r="BK158" s="5">
        <f t="shared" si="449"/>
        <v>0</v>
      </c>
      <c r="BM158" s="11">
        <v>0</v>
      </c>
      <c r="BN158" s="5"/>
      <c r="BO158" s="5"/>
      <c r="BP158" s="5"/>
      <c r="BQ158" s="5"/>
      <c r="BR158" s="5"/>
      <c r="BS158" s="5"/>
      <c r="BT158" s="5">
        <f t="shared" si="450"/>
        <v>0</v>
      </c>
      <c r="BV158" s="5">
        <f t="shared" si="451"/>
        <v>197123</v>
      </c>
      <c r="BW158" s="5">
        <f t="shared" si="451"/>
        <v>0</v>
      </c>
      <c r="BX158" s="5">
        <f t="shared" si="451"/>
        <v>0</v>
      </c>
      <c r="BY158" s="5">
        <f t="shared" si="451"/>
        <v>0</v>
      </c>
      <c r="BZ158" s="5">
        <f t="shared" si="451"/>
        <v>0</v>
      </c>
      <c r="CA158" s="5">
        <f t="shared" si="451"/>
        <v>0</v>
      </c>
      <c r="CB158" s="5"/>
      <c r="CC158" s="5">
        <f t="shared" si="452"/>
        <v>197123</v>
      </c>
    </row>
    <row r="159" spans="1:81">
      <c r="A159" s="29" t="s">
        <v>280</v>
      </c>
      <c r="B159" s="11">
        <v>0</v>
      </c>
      <c r="C159" s="5"/>
      <c r="D159" s="5"/>
      <c r="E159" s="5"/>
      <c r="F159" s="5"/>
      <c r="G159" s="5"/>
      <c r="H159" s="5"/>
      <c r="I159" s="5">
        <f t="shared" si="443"/>
        <v>0</v>
      </c>
      <c r="K159" s="11">
        <v>0</v>
      </c>
      <c r="L159" s="5"/>
      <c r="M159" s="5"/>
      <c r="N159" s="5"/>
      <c r="O159" s="5"/>
      <c r="P159" s="5"/>
      <c r="Q159" s="5"/>
      <c r="R159" s="5">
        <f t="shared" si="444"/>
        <v>0</v>
      </c>
      <c r="T159" s="11">
        <v>0</v>
      </c>
      <c r="U159" s="5"/>
      <c r="V159" s="5"/>
      <c r="W159" s="5"/>
      <c r="X159" s="5"/>
      <c r="Y159" s="5"/>
      <c r="Z159" s="5"/>
      <c r="AA159" s="5">
        <f t="shared" si="445"/>
        <v>0</v>
      </c>
      <c r="AC159" s="11">
        <v>0</v>
      </c>
      <c r="AD159" s="5"/>
      <c r="AE159" s="5"/>
      <c r="AF159" s="5"/>
      <c r="AG159" s="5"/>
      <c r="AH159" s="5"/>
      <c r="AI159" s="5"/>
      <c r="AJ159" s="5">
        <f t="shared" si="446"/>
        <v>0</v>
      </c>
      <c r="AL159" s="11">
        <v>0</v>
      </c>
      <c r="AM159" s="5"/>
      <c r="AN159" s="5"/>
      <c r="AO159" s="5"/>
      <c r="AP159" s="5"/>
      <c r="AQ159" s="5"/>
      <c r="AR159" s="5"/>
      <c r="AS159" s="5">
        <f t="shared" si="447"/>
        <v>0</v>
      </c>
      <c r="AU159" s="11">
        <f>800*AU17</f>
        <v>108000</v>
      </c>
      <c r="AV159" s="11"/>
      <c r="AW159" s="5"/>
      <c r="AX159" s="5"/>
      <c r="AY159" s="5"/>
      <c r="AZ159" s="5"/>
      <c r="BA159" s="5"/>
      <c r="BB159" s="5">
        <f t="shared" si="448"/>
        <v>108000</v>
      </c>
      <c r="BD159" s="11">
        <v>0</v>
      </c>
      <c r="BE159" s="5"/>
      <c r="BF159" s="5"/>
      <c r="BG159" s="5"/>
      <c r="BH159" s="5"/>
      <c r="BI159" s="5"/>
      <c r="BJ159" s="5"/>
      <c r="BK159" s="5">
        <f t="shared" si="449"/>
        <v>0</v>
      </c>
      <c r="BM159" s="11">
        <v>0</v>
      </c>
      <c r="BN159" s="5"/>
      <c r="BO159" s="5"/>
      <c r="BP159" s="5"/>
      <c r="BQ159" s="5"/>
      <c r="BR159" s="5"/>
      <c r="BS159" s="5"/>
      <c r="BT159" s="5">
        <f t="shared" si="450"/>
        <v>0</v>
      </c>
      <c r="BV159" s="5">
        <f t="shared" si="451"/>
        <v>108000</v>
      </c>
      <c r="BW159" s="5">
        <f t="shared" si="451"/>
        <v>0</v>
      </c>
      <c r="BX159" s="5">
        <f t="shared" si="451"/>
        <v>0</v>
      </c>
      <c r="BY159" s="5">
        <f t="shared" si="451"/>
        <v>0</v>
      </c>
      <c r="BZ159" s="5">
        <f t="shared" si="451"/>
        <v>0</v>
      </c>
      <c r="CA159" s="5">
        <f t="shared" si="451"/>
        <v>0</v>
      </c>
      <c r="CB159" s="5"/>
      <c r="CC159" s="5">
        <f t="shared" si="452"/>
        <v>108000</v>
      </c>
    </row>
    <row r="160" spans="1:81">
      <c r="A160" s="29" t="s">
        <v>140</v>
      </c>
      <c r="B160" s="11">
        <f>495*B17</f>
        <v>447975</v>
      </c>
      <c r="C160" s="5"/>
      <c r="D160" s="5"/>
      <c r="E160" s="5"/>
      <c r="F160" s="5"/>
      <c r="G160" s="5"/>
      <c r="H160" s="5"/>
      <c r="I160" s="5">
        <f t="shared" si="443"/>
        <v>447975</v>
      </c>
      <c r="K160" s="11">
        <f>495*K17</f>
        <v>505890</v>
      </c>
      <c r="L160" s="5"/>
      <c r="M160" s="5"/>
      <c r="N160" s="5"/>
      <c r="O160" s="5"/>
      <c r="P160" s="5"/>
      <c r="Q160" s="5"/>
      <c r="R160" s="5">
        <f t="shared" si="444"/>
        <v>505890</v>
      </c>
      <c r="T160" s="11">
        <f>495*T17</f>
        <v>590535</v>
      </c>
      <c r="U160" s="5"/>
      <c r="V160" s="5"/>
      <c r="W160" s="5"/>
      <c r="X160" s="5"/>
      <c r="Y160" s="5"/>
      <c r="Z160" s="5"/>
      <c r="AA160" s="5">
        <f t="shared" si="445"/>
        <v>590535</v>
      </c>
      <c r="AC160" s="11">
        <f>495*AC17</f>
        <v>1157310</v>
      </c>
      <c r="AD160" s="5"/>
      <c r="AE160" s="5"/>
      <c r="AF160" s="5"/>
      <c r="AG160" s="5"/>
      <c r="AH160" s="5"/>
      <c r="AI160" s="5"/>
      <c r="AJ160" s="5">
        <f t="shared" si="446"/>
        <v>1157310</v>
      </c>
      <c r="AL160" s="11">
        <f>495*AL17</f>
        <v>1124145</v>
      </c>
      <c r="AM160" s="5"/>
      <c r="AN160" s="5"/>
      <c r="AO160" s="5"/>
      <c r="AP160" s="5"/>
      <c r="AQ160" s="5"/>
      <c r="AR160" s="5"/>
      <c r="AS160" s="5">
        <f t="shared" si="447"/>
        <v>1124145</v>
      </c>
      <c r="AU160" s="11">
        <f>495*AU17</f>
        <v>66825</v>
      </c>
      <c r="AV160" s="5"/>
      <c r="AW160" s="5"/>
      <c r="AX160" s="5"/>
      <c r="AY160" s="5"/>
      <c r="AZ160" s="5"/>
      <c r="BA160" s="5"/>
      <c r="BB160" s="5">
        <f t="shared" si="448"/>
        <v>66825</v>
      </c>
      <c r="BD160" s="11">
        <f>495*BD17</f>
        <v>131670</v>
      </c>
      <c r="BE160" s="5"/>
      <c r="BF160" s="5"/>
      <c r="BG160" s="5"/>
      <c r="BH160" s="5"/>
      <c r="BI160" s="5"/>
      <c r="BJ160" s="5"/>
      <c r="BK160" s="5">
        <f t="shared" si="449"/>
        <v>131670</v>
      </c>
      <c r="BM160" s="11">
        <f>450*BM17</f>
        <v>0</v>
      </c>
      <c r="BN160" s="5"/>
      <c r="BO160" s="5"/>
      <c r="BP160" s="5"/>
      <c r="BQ160" s="5"/>
      <c r="BR160" s="5"/>
      <c r="BS160" s="5"/>
      <c r="BT160" s="5">
        <f t="shared" si="450"/>
        <v>0</v>
      </c>
      <c r="BV160" s="5">
        <f t="shared" si="451"/>
        <v>4024350</v>
      </c>
      <c r="BW160" s="5">
        <f t="shared" si="451"/>
        <v>0</v>
      </c>
      <c r="BX160" s="5">
        <f t="shared" si="451"/>
        <v>0</v>
      </c>
      <c r="BY160" s="5">
        <f t="shared" si="451"/>
        <v>0</v>
      </c>
      <c r="BZ160" s="5">
        <f t="shared" si="451"/>
        <v>0</v>
      </c>
      <c r="CA160" s="5">
        <f t="shared" si="451"/>
        <v>0</v>
      </c>
      <c r="CB160" s="5"/>
      <c r="CC160" s="5">
        <f t="shared" si="452"/>
        <v>4024350</v>
      </c>
    </row>
    <row r="161" spans="1:81">
      <c r="A161" s="29" t="s">
        <v>141</v>
      </c>
      <c r="B161" s="11">
        <v>21000</v>
      </c>
      <c r="C161" s="11">
        <v>3000</v>
      </c>
      <c r="D161" s="11">
        <v>0</v>
      </c>
      <c r="E161" s="11"/>
      <c r="F161" s="11">
        <f>(240*F65)</f>
        <v>0</v>
      </c>
      <c r="G161" s="11">
        <f>(240*G65)</f>
        <v>0</v>
      </c>
      <c r="H161" s="11">
        <f>(240*H65)</f>
        <v>0</v>
      </c>
      <c r="I161" s="5">
        <f t="shared" si="443"/>
        <v>24000</v>
      </c>
      <c r="K161" s="11">
        <v>22000</v>
      </c>
      <c r="L161" s="11">
        <v>3000</v>
      </c>
      <c r="M161" s="11">
        <v>0</v>
      </c>
      <c r="N161" s="11"/>
      <c r="O161" s="11">
        <f>(240*O65)</f>
        <v>0</v>
      </c>
      <c r="P161" s="11">
        <f>(240*P65)</f>
        <v>0</v>
      </c>
      <c r="Q161" s="11">
        <f>(240*Q65)</f>
        <v>0</v>
      </c>
      <c r="R161" s="5">
        <f t="shared" si="444"/>
        <v>25000</v>
      </c>
      <c r="T161" s="11">
        <v>24500</v>
      </c>
      <c r="U161" s="11">
        <v>3500</v>
      </c>
      <c r="V161" s="11">
        <v>0</v>
      </c>
      <c r="W161" s="11"/>
      <c r="X161" s="11">
        <f>(240*X65)</f>
        <v>0</v>
      </c>
      <c r="Y161" s="11">
        <f>(240*Y65)</f>
        <v>0</v>
      </c>
      <c r="Z161" s="11">
        <f>(240*Z65)</f>
        <v>0</v>
      </c>
      <c r="AA161" s="5">
        <f t="shared" si="445"/>
        <v>28000</v>
      </c>
      <c r="AC161" s="11">
        <v>50000</v>
      </c>
      <c r="AD161" s="11">
        <v>7000</v>
      </c>
      <c r="AE161" s="11"/>
      <c r="AF161" s="11"/>
      <c r="AG161" s="11">
        <f>(240*AG65)</f>
        <v>0</v>
      </c>
      <c r="AH161" s="11">
        <f>(240*AH65)</f>
        <v>0</v>
      </c>
      <c r="AI161" s="11">
        <f>(240*AI65)</f>
        <v>0</v>
      </c>
      <c r="AJ161" s="5">
        <f t="shared" si="446"/>
        <v>57000</v>
      </c>
      <c r="AL161" s="11">
        <v>38000</v>
      </c>
      <c r="AM161" s="11">
        <v>5500</v>
      </c>
      <c r="AN161" s="11">
        <v>0</v>
      </c>
      <c r="AO161" s="11"/>
      <c r="AP161" s="11">
        <f>(240*AP65)</f>
        <v>0</v>
      </c>
      <c r="AQ161" s="11">
        <f>(240*AQ65)</f>
        <v>0</v>
      </c>
      <c r="AR161" s="11">
        <f>(240*AR65)</f>
        <v>0</v>
      </c>
      <c r="AS161" s="5">
        <f t="shared" si="447"/>
        <v>43500</v>
      </c>
      <c r="AU161" s="11">
        <v>3000</v>
      </c>
      <c r="AV161" s="11">
        <v>1100</v>
      </c>
      <c r="AW161" s="11">
        <v>0</v>
      </c>
      <c r="AX161" s="11"/>
      <c r="AY161" s="11">
        <f>(240*AY65)</f>
        <v>0</v>
      </c>
      <c r="AZ161" s="11">
        <f>(240*AZ65)</f>
        <v>0</v>
      </c>
      <c r="BA161" s="11">
        <f>(240*BA65)</f>
        <v>0</v>
      </c>
      <c r="BB161" s="5">
        <f t="shared" si="448"/>
        <v>4100</v>
      </c>
      <c r="BD161" s="11">
        <v>3500</v>
      </c>
      <c r="BE161" s="11">
        <v>750</v>
      </c>
      <c r="BF161" s="11">
        <v>0</v>
      </c>
      <c r="BG161" s="11"/>
      <c r="BH161" s="11">
        <v>0</v>
      </c>
      <c r="BI161" s="11">
        <f>(240*BI65)</f>
        <v>0</v>
      </c>
      <c r="BJ161" s="11">
        <f>(240*BJ65)</f>
        <v>0</v>
      </c>
      <c r="BK161" s="5">
        <f t="shared" si="449"/>
        <v>4250</v>
      </c>
      <c r="BM161" s="11">
        <v>2000</v>
      </c>
      <c r="BN161" s="11"/>
      <c r="BO161" s="11">
        <v>0</v>
      </c>
      <c r="BP161" s="11"/>
      <c r="BQ161" s="11">
        <f>(240*BQ65)</f>
        <v>0</v>
      </c>
      <c r="BR161" s="11">
        <f>(240*BR65)</f>
        <v>0</v>
      </c>
      <c r="BS161" s="11">
        <f>(240*BS65)</f>
        <v>0</v>
      </c>
      <c r="BT161" s="5">
        <f t="shared" si="450"/>
        <v>2000</v>
      </c>
      <c r="BV161" s="5">
        <f t="shared" si="451"/>
        <v>164000</v>
      </c>
      <c r="BW161" s="5">
        <f t="shared" si="451"/>
        <v>23850</v>
      </c>
      <c r="BX161" s="5">
        <f t="shared" si="451"/>
        <v>0</v>
      </c>
      <c r="BY161" s="5">
        <f t="shared" si="451"/>
        <v>0</v>
      </c>
      <c r="BZ161" s="5">
        <f t="shared" si="451"/>
        <v>0</v>
      </c>
      <c r="CA161" s="5">
        <f t="shared" si="451"/>
        <v>0</v>
      </c>
      <c r="CB161" s="11">
        <f>(240*CB65)</f>
        <v>0</v>
      </c>
      <c r="CC161" s="5">
        <f t="shared" si="452"/>
        <v>187850</v>
      </c>
    </row>
    <row r="162" spans="1:81">
      <c r="A162" s="29" t="s">
        <v>142</v>
      </c>
      <c r="B162" s="11">
        <v>20500</v>
      </c>
      <c r="C162" s="5"/>
      <c r="D162" s="5"/>
      <c r="E162" s="5"/>
      <c r="F162" s="5"/>
      <c r="G162" s="5"/>
      <c r="H162" s="5"/>
      <c r="I162" s="5">
        <f t="shared" si="443"/>
        <v>20500</v>
      </c>
      <c r="K162" s="11">
        <v>20500</v>
      </c>
      <c r="L162" s="5"/>
      <c r="M162" s="5"/>
      <c r="N162" s="5"/>
      <c r="O162" s="5"/>
      <c r="P162" s="5"/>
      <c r="Q162" s="5"/>
      <c r="R162" s="5">
        <f t="shared" si="444"/>
        <v>20500</v>
      </c>
      <c r="T162" s="11">
        <v>20500</v>
      </c>
      <c r="U162" s="5"/>
      <c r="V162" s="5"/>
      <c r="W162" s="5"/>
      <c r="X162" s="5"/>
      <c r="Y162" s="5"/>
      <c r="Z162" s="5"/>
      <c r="AA162" s="5">
        <f t="shared" si="445"/>
        <v>20500</v>
      </c>
      <c r="AC162" s="11">
        <v>20500</v>
      </c>
      <c r="AD162" s="5"/>
      <c r="AE162" s="5"/>
      <c r="AF162" s="5"/>
      <c r="AG162" s="5"/>
      <c r="AH162" s="5"/>
      <c r="AI162" s="5"/>
      <c r="AJ162" s="5">
        <f t="shared" si="446"/>
        <v>20500</v>
      </c>
      <c r="AL162" s="11">
        <v>20500</v>
      </c>
      <c r="AM162" s="5"/>
      <c r="AN162" s="5"/>
      <c r="AO162" s="5"/>
      <c r="AP162" s="5"/>
      <c r="AQ162" s="5"/>
      <c r="AR162" s="5"/>
      <c r="AS162" s="5">
        <f t="shared" si="447"/>
        <v>20500</v>
      </c>
      <c r="AU162" s="11">
        <v>20500</v>
      </c>
      <c r="AV162" s="5"/>
      <c r="AW162" s="5"/>
      <c r="AX162" s="5"/>
      <c r="AY162" s="5"/>
      <c r="AZ162" s="5"/>
      <c r="BA162" s="5"/>
      <c r="BB162" s="5">
        <f t="shared" si="448"/>
        <v>20500</v>
      </c>
      <c r="BD162" s="11">
        <v>5000</v>
      </c>
      <c r="BE162" s="5"/>
      <c r="BF162" s="5"/>
      <c r="BG162" s="5"/>
      <c r="BH162" s="5"/>
      <c r="BI162" s="5"/>
      <c r="BJ162" s="5"/>
      <c r="BK162" s="5">
        <f t="shared" si="449"/>
        <v>5000</v>
      </c>
      <c r="BM162" s="11">
        <v>0</v>
      </c>
      <c r="BN162" s="5"/>
      <c r="BO162" s="5"/>
      <c r="BP162" s="5"/>
      <c r="BQ162" s="5"/>
      <c r="BR162" s="5"/>
      <c r="BS162" s="5"/>
      <c r="BT162" s="5">
        <f t="shared" si="450"/>
        <v>0</v>
      </c>
      <c r="BV162" s="5">
        <f t="shared" si="451"/>
        <v>128000</v>
      </c>
      <c r="BW162" s="5">
        <f t="shared" si="451"/>
        <v>0</v>
      </c>
      <c r="BX162" s="5">
        <f t="shared" si="451"/>
        <v>0</v>
      </c>
      <c r="BY162" s="5">
        <f t="shared" si="451"/>
        <v>0</v>
      </c>
      <c r="BZ162" s="5">
        <f t="shared" si="451"/>
        <v>0</v>
      </c>
      <c r="CA162" s="5">
        <f t="shared" si="451"/>
        <v>0</v>
      </c>
      <c r="CB162" s="5"/>
      <c r="CC162" s="5">
        <f t="shared" si="452"/>
        <v>128000</v>
      </c>
    </row>
    <row r="163" spans="1:81">
      <c r="A163" s="29" t="s">
        <v>143</v>
      </c>
      <c r="B163" s="11">
        <v>7500</v>
      </c>
      <c r="C163" s="5"/>
      <c r="D163" s="5"/>
      <c r="E163" s="5"/>
      <c r="F163" s="5"/>
      <c r="G163" s="5"/>
      <c r="H163" s="5"/>
      <c r="I163" s="5">
        <f t="shared" si="443"/>
        <v>7500</v>
      </c>
      <c r="K163" s="11">
        <v>8000</v>
      </c>
      <c r="L163" s="5"/>
      <c r="M163" s="5"/>
      <c r="N163" s="5"/>
      <c r="O163" s="5"/>
      <c r="P163" s="5"/>
      <c r="Q163" s="5"/>
      <c r="R163" s="5">
        <f t="shared" si="444"/>
        <v>8000</v>
      </c>
      <c r="T163" s="11">
        <v>8000</v>
      </c>
      <c r="U163" s="5"/>
      <c r="V163" s="5"/>
      <c r="W163" s="5"/>
      <c r="X163" s="5"/>
      <c r="Y163" s="5"/>
      <c r="Z163" s="5"/>
      <c r="AA163" s="5">
        <f t="shared" si="445"/>
        <v>8000</v>
      </c>
      <c r="AC163" s="11">
        <v>12000</v>
      </c>
      <c r="AD163" s="5"/>
      <c r="AE163" s="5"/>
      <c r="AF163" s="5"/>
      <c r="AG163" s="5"/>
      <c r="AH163" s="5"/>
      <c r="AI163" s="5"/>
      <c r="AJ163" s="5">
        <f t="shared" si="446"/>
        <v>12000</v>
      </c>
      <c r="AL163" s="11">
        <v>7500</v>
      </c>
      <c r="AM163" s="5"/>
      <c r="AN163" s="5"/>
      <c r="AO163" s="5"/>
      <c r="AP163" s="5"/>
      <c r="AQ163" s="5"/>
      <c r="AR163" s="5"/>
      <c r="AS163" s="5">
        <f t="shared" si="447"/>
        <v>7500</v>
      </c>
      <c r="AU163" s="11">
        <v>6000</v>
      </c>
      <c r="AV163" s="5"/>
      <c r="AW163" s="5"/>
      <c r="AX163" s="5"/>
      <c r="AY163" s="5"/>
      <c r="AZ163" s="5"/>
      <c r="BA163" s="5"/>
      <c r="BB163" s="5">
        <f t="shared" si="448"/>
        <v>6000</v>
      </c>
      <c r="BD163" s="11">
        <v>4500</v>
      </c>
      <c r="BE163" s="5"/>
      <c r="BF163" s="5"/>
      <c r="BG163" s="5"/>
      <c r="BH163" s="5"/>
      <c r="BI163" s="5"/>
      <c r="BJ163" s="5"/>
      <c r="BK163" s="5">
        <f t="shared" si="449"/>
        <v>4500</v>
      </c>
      <c r="BM163" s="11">
        <v>0</v>
      </c>
      <c r="BN163" s="5"/>
      <c r="BO163" s="5"/>
      <c r="BP163" s="5"/>
      <c r="BQ163" s="5"/>
      <c r="BR163" s="5"/>
      <c r="BS163" s="5"/>
      <c r="BT163" s="5">
        <f t="shared" si="450"/>
        <v>0</v>
      </c>
      <c r="BV163" s="5">
        <f t="shared" si="451"/>
        <v>53500</v>
      </c>
      <c r="BW163" s="5">
        <f t="shared" si="451"/>
        <v>0</v>
      </c>
      <c r="BX163" s="5">
        <f t="shared" si="451"/>
        <v>0</v>
      </c>
      <c r="BY163" s="5">
        <f t="shared" si="451"/>
        <v>0</v>
      </c>
      <c r="BZ163" s="5">
        <f t="shared" si="451"/>
        <v>0</v>
      </c>
      <c r="CA163" s="5">
        <f t="shared" si="451"/>
        <v>0</v>
      </c>
      <c r="CB163" s="5"/>
      <c r="CC163" s="5">
        <f t="shared" si="452"/>
        <v>53500</v>
      </c>
    </row>
    <row r="164" spans="1:81">
      <c r="A164" s="29" t="s">
        <v>144</v>
      </c>
      <c r="B164" s="11">
        <f>48*B17+(60*12)</f>
        <v>44160</v>
      </c>
      <c r="C164" s="5"/>
      <c r="D164" s="5"/>
      <c r="E164" s="5"/>
      <c r="F164" s="5"/>
      <c r="G164" s="5"/>
      <c r="H164" s="5"/>
      <c r="I164" s="5">
        <f t="shared" si="443"/>
        <v>44160</v>
      </c>
      <c r="K164" s="11">
        <f>48*K17+(60*12)</f>
        <v>49776</v>
      </c>
      <c r="L164" s="5"/>
      <c r="M164" s="5"/>
      <c r="N164" s="5"/>
      <c r="O164" s="5"/>
      <c r="P164" s="5"/>
      <c r="Q164" s="5"/>
      <c r="R164" s="5">
        <f t="shared" si="444"/>
        <v>49776</v>
      </c>
      <c r="T164" s="11">
        <f>48*T17+(60*12)</f>
        <v>57984</v>
      </c>
      <c r="U164" s="5"/>
      <c r="V164" s="5"/>
      <c r="W164" s="5"/>
      <c r="X164" s="5"/>
      <c r="Y164" s="5"/>
      <c r="Z164" s="5"/>
      <c r="AA164" s="5">
        <f t="shared" si="445"/>
        <v>57984</v>
      </c>
      <c r="AC164" s="11">
        <f>48*AC17+(60*12)</f>
        <v>112944</v>
      </c>
      <c r="AD164" s="5"/>
      <c r="AE164" s="5"/>
      <c r="AF164" s="5"/>
      <c r="AG164" s="5"/>
      <c r="AH164" s="5"/>
      <c r="AI164" s="5"/>
      <c r="AJ164" s="5">
        <f t="shared" si="446"/>
        <v>112944</v>
      </c>
      <c r="AL164" s="11">
        <f>48*AL17+(60*12)</f>
        <v>109728</v>
      </c>
      <c r="AM164" s="5"/>
      <c r="AN164" s="5"/>
      <c r="AO164" s="5"/>
      <c r="AP164" s="5"/>
      <c r="AQ164" s="5"/>
      <c r="AR164" s="5"/>
      <c r="AS164" s="5">
        <f t="shared" si="447"/>
        <v>109728</v>
      </c>
      <c r="AU164" s="11">
        <f>48*AU17+(60*12)</f>
        <v>7200</v>
      </c>
      <c r="AV164" s="5"/>
      <c r="AW164" s="5"/>
      <c r="AX164" s="5"/>
      <c r="AY164" s="5"/>
      <c r="AZ164" s="5"/>
      <c r="BA164" s="5"/>
      <c r="BB164" s="5">
        <f t="shared" si="448"/>
        <v>7200</v>
      </c>
      <c r="BD164" s="11">
        <f>48*BD17+(60*12)</f>
        <v>13488</v>
      </c>
      <c r="BE164" s="5"/>
      <c r="BF164" s="5"/>
      <c r="BG164" s="5"/>
      <c r="BH164" s="5"/>
      <c r="BI164" s="5"/>
      <c r="BJ164" s="5"/>
      <c r="BK164" s="5">
        <f t="shared" si="449"/>
        <v>13488</v>
      </c>
      <c r="BM164" s="11">
        <v>0</v>
      </c>
      <c r="BN164" s="5"/>
      <c r="BO164" s="5"/>
      <c r="BP164" s="5"/>
      <c r="BQ164" s="5"/>
      <c r="BR164" s="5"/>
      <c r="BS164" s="5"/>
      <c r="BT164" s="5">
        <f t="shared" si="450"/>
        <v>0</v>
      </c>
      <c r="BV164" s="5">
        <f t="shared" si="451"/>
        <v>395280</v>
      </c>
      <c r="BW164" s="5">
        <f t="shared" si="451"/>
        <v>0</v>
      </c>
      <c r="BX164" s="5">
        <f t="shared" si="451"/>
        <v>0</v>
      </c>
      <c r="BY164" s="5">
        <f t="shared" si="451"/>
        <v>0</v>
      </c>
      <c r="BZ164" s="5">
        <f t="shared" si="451"/>
        <v>0</v>
      </c>
      <c r="CA164" s="5">
        <f t="shared" si="451"/>
        <v>0</v>
      </c>
      <c r="CB164" s="5"/>
      <c r="CC164" s="5">
        <f t="shared" si="452"/>
        <v>395280</v>
      </c>
    </row>
    <row r="165" spans="1:81">
      <c r="A165" s="29" t="s">
        <v>145</v>
      </c>
      <c r="B165" s="11">
        <v>25000</v>
      </c>
      <c r="C165" s="5"/>
      <c r="D165" s="5"/>
      <c r="E165" s="5"/>
      <c r="F165" s="5"/>
      <c r="G165" s="5"/>
      <c r="H165" s="5"/>
      <c r="I165" s="5">
        <f t="shared" si="443"/>
        <v>25000</v>
      </c>
      <c r="K165" s="11">
        <v>27500</v>
      </c>
      <c r="L165" s="5"/>
      <c r="M165" s="5"/>
      <c r="N165" s="5"/>
      <c r="O165" s="5"/>
      <c r="P165" s="5"/>
      <c r="Q165" s="5"/>
      <c r="R165" s="5">
        <f t="shared" si="444"/>
        <v>27500</v>
      </c>
      <c r="T165" s="11">
        <v>30000</v>
      </c>
      <c r="U165" s="5"/>
      <c r="V165" s="5"/>
      <c r="W165" s="5"/>
      <c r="X165" s="5"/>
      <c r="Y165" s="5"/>
      <c r="Z165" s="5"/>
      <c r="AA165" s="5">
        <f t="shared" si="445"/>
        <v>30000</v>
      </c>
      <c r="AC165" s="11">
        <v>32500</v>
      </c>
      <c r="AD165" s="5"/>
      <c r="AE165" s="5"/>
      <c r="AF165" s="5"/>
      <c r="AG165" s="5"/>
      <c r="AH165" s="5"/>
      <c r="AI165" s="5"/>
      <c r="AJ165" s="5">
        <f t="shared" si="446"/>
        <v>32500</v>
      </c>
      <c r="AL165" s="11">
        <v>40000</v>
      </c>
      <c r="AM165" s="5"/>
      <c r="AN165" s="5"/>
      <c r="AO165" s="5"/>
      <c r="AP165" s="5"/>
      <c r="AQ165" s="5"/>
      <c r="AR165" s="5"/>
      <c r="AS165" s="5">
        <f t="shared" si="447"/>
        <v>40000</v>
      </c>
      <c r="AU165" s="11">
        <v>17000</v>
      </c>
      <c r="AV165" s="5"/>
      <c r="AW165" s="5"/>
      <c r="AX165" s="5"/>
      <c r="AY165" s="5"/>
      <c r="AZ165" s="5"/>
      <c r="BA165" s="5"/>
      <c r="BB165" s="5">
        <f t="shared" si="448"/>
        <v>17000</v>
      </c>
      <c r="BD165" s="11">
        <v>8500</v>
      </c>
      <c r="BE165" s="5"/>
      <c r="BF165" s="5"/>
      <c r="BG165" s="5"/>
      <c r="BH165" s="5"/>
      <c r="BI165" s="5"/>
      <c r="BJ165" s="5"/>
      <c r="BK165" s="5">
        <f t="shared" si="449"/>
        <v>8500</v>
      </c>
      <c r="BM165" s="11">
        <v>0</v>
      </c>
      <c r="BN165" s="5"/>
      <c r="BO165" s="5"/>
      <c r="BP165" s="5"/>
      <c r="BQ165" s="5"/>
      <c r="BR165" s="5"/>
      <c r="BS165" s="5"/>
      <c r="BT165" s="5">
        <f t="shared" si="450"/>
        <v>0</v>
      </c>
      <c r="BV165" s="5">
        <f t="shared" si="451"/>
        <v>180500</v>
      </c>
      <c r="BW165" s="5">
        <f t="shared" si="451"/>
        <v>0</v>
      </c>
      <c r="BX165" s="5">
        <f t="shared" si="451"/>
        <v>0</v>
      </c>
      <c r="BY165" s="5">
        <f t="shared" si="451"/>
        <v>0</v>
      </c>
      <c r="BZ165" s="5">
        <f t="shared" si="451"/>
        <v>0</v>
      </c>
      <c r="CA165" s="5">
        <f t="shared" si="451"/>
        <v>0</v>
      </c>
      <c r="CB165" s="5"/>
      <c r="CC165" s="5">
        <f t="shared" si="452"/>
        <v>180500</v>
      </c>
    </row>
    <row r="166" spans="1:81">
      <c r="A166" s="29" t="s">
        <v>146</v>
      </c>
      <c r="B166" s="11">
        <f>B74*0.0125</f>
        <v>106495.875</v>
      </c>
      <c r="C166" s="5"/>
      <c r="D166" s="5"/>
      <c r="E166" s="5"/>
      <c r="F166" s="5"/>
      <c r="G166" s="5"/>
      <c r="H166" s="5"/>
      <c r="I166" s="5">
        <f t="shared" si="443"/>
        <v>106495.875</v>
      </c>
      <c r="J166" s="80"/>
      <c r="K166" s="11">
        <f>K74*0.0125</f>
        <v>120263.85</v>
      </c>
      <c r="L166" s="5"/>
      <c r="M166" s="5"/>
      <c r="N166" s="5"/>
      <c r="O166" s="5"/>
      <c r="P166" s="5"/>
      <c r="Q166" s="5"/>
      <c r="R166" s="5">
        <f t="shared" si="444"/>
        <v>120263.85</v>
      </c>
      <c r="T166" s="11">
        <f>T74*0.0125</f>
        <v>140386.27499999999</v>
      </c>
      <c r="U166" s="5"/>
      <c r="V166" s="5"/>
      <c r="W166" s="5"/>
      <c r="X166" s="5"/>
      <c r="Y166" s="5"/>
      <c r="Z166" s="5"/>
      <c r="AA166" s="5">
        <f t="shared" si="445"/>
        <v>140386.27499999999</v>
      </c>
      <c r="AC166" s="11">
        <f>AC74*0.0125</f>
        <v>275124.15000000002</v>
      </c>
      <c r="AD166" s="5"/>
      <c r="AE166" s="5"/>
      <c r="AF166" s="5"/>
      <c r="AG166" s="5"/>
      <c r="AH166" s="5"/>
      <c r="AI166" s="5"/>
      <c r="AJ166" s="5">
        <f t="shared" si="446"/>
        <v>275124.15000000002</v>
      </c>
      <c r="AL166" s="11">
        <f>AL74*0.0125</f>
        <v>267239.92499999999</v>
      </c>
      <c r="AM166" s="5"/>
      <c r="AN166" s="5"/>
      <c r="AO166" s="5"/>
      <c r="AP166" s="5"/>
      <c r="AQ166" s="5"/>
      <c r="AR166" s="5"/>
      <c r="AS166" s="5">
        <f t="shared" si="447"/>
        <v>267239.92499999999</v>
      </c>
      <c r="AU166" s="11">
        <f>AU74*0.0125</f>
        <v>15886.125</v>
      </c>
      <c r="AV166" s="5"/>
      <c r="AW166" s="5"/>
      <c r="AX166" s="5"/>
      <c r="AY166" s="5"/>
      <c r="AZ166" s="5"/>
      <c r="BA166" s="5"/>
      <c r="BB166" s="5">
        <f t="shared" si="448"/>
        <v>15886.125</v>
      </c>
      <c r="BD166" s="11">
        <f>BD74*0.0125</f>
        <v>31301.550000000003</v>
      </c>
      <c r="BE166" s="5"/>
      <c r="BF166" s="5"/>
      <c r="BG166" s="5"/>
      <c r="BH166" s="5"/>
      <c r="BI166" s="5"/>
      <c r="BJ166" s="5"/>
      <c r="BK166" s="5">
        <f t="shared" si="449"/>
        <v>31301.550000000003</v>
      </c>
      <c r="BM166" s="11">
        <f>BM74*0.0125</f>
        <v>0</v>
      </c>
      <c r="BN166" s="5"/>
      <c r="BO166" s="5"/>
      <c r="BP166" s="5"/>
      <c r="BQ166" s="5"/>
      <c r="BR166" s="5"/>
      <c r="BS166" s="5"/>
      <c r="BT166" s="5">
        <f t="shared" si="450"/>
        <v>0</v>
      </c>
      <c r="BV166" s="5">
        <f t="shared" si="451"/>
        <v>956697.75</v>
      </c>
      <c r="BW166" s="5">
        <f t="shared" si="451"/>
        <v>0</v>
      </c>
      <c r="BX166" s="5">
        <f t="shared" si="451"/>
        <v>0</v>
      </c>
      <c r="BY166" s="5">
        <f t="shared" si="451"/>
        <v>0</v>
      </c>
      <c r="BZ166" s="5">
        <f t="shared" si="451"/>
        <v>0</v>
      </c>
      <c r="CA166" s="5">
        <f t="shared" si="451"/>
        <v>0</v>
      </c>
      <c r="CB166" s="5"/>
      <c r="CC166" s="5">
        <f t="shared" si="452"/>
        <v>956697.75</v>
      </c>
    </row>
    <row r="167" spans="1:81">
      <c r="A167" s="29" t="s">
        <v>147</v>
      </c>
      <c r="B167" s="11">
        <f>B74*0.005</f>
        <v>42598.35</v>
      </c>
      <c r="C167" s="5"/>
      <c r="D167" s="5"/>
      <c r="E167" s="5"/>
      <c r="F167" s="5"/>
      <c r="G167" s="5"/>
      <c r="H167" s="5"/>
      <c r="I167" s="5">
        <f t="shared" si="443"/>
        <v>42598.35</v>
      </c>
      <c r="J167" s="80"/>
      <c r="K167" s="11">
        <f>K74*0.005</f>
        <v>48105.54</v>
      </c>
      <c r="L167" s="5"/>
      <c r="M167" s="5"/>
      <c r="N167" s="5"/>
      <c r="O167" s="5"/>
      <c r="P167" s="5"/>
      <c r="Q167" s="5"/>
      <c r="R167" s="5">
        <f t="shared" si="444"/>
        <v>48105.54</v>
      </c>
      <c r="T167" s="11">
        <f>T74*0.005</f>
        <v>56154.51</v>
      </c>
      <c r="U167" s="5"/>
      <c r="V167" s="5"/>
      <c r="W167" s="5"/>
      <c r="X167" s="5"/>
      <c r="Y167" s="5"/>
      <c r="Z167" s="5"/>
      <c r="AA167" s="5">
        <f t="shared" si="445"/>
        <v>56154.51</v>
      </c>
      <c r="AC167" s="11">
        <f>AC74*0.005</f>
        <v>110049.66</v>
      </c>
      <c r="AD167" s="5"/>
      <c r="AE167" s="5"/>
      <c r="AF167" s="5"/>
      <c r="AG167" s="5"/>
      <c r="AH167" s="5"/>
      <c r="AI167" s="5"/>
      <c r="AJ167" s="5">
        <f t="shared" si="446"/>
        <v>110049.66</v>
      </c>
      <c r="AL167" s="11">
        <f>AL74*0.005</f>
        <v>106895.97</v>
      </c>
      <c r="AM167" s="5"/>
      <c r="AN167" s="5"/>
      <c r="AO167" s="5"/>
      <c r="AP167" s="5"/>
      <c r="AQ167" s="5"/>
      <c r="AR167" s="5"/>
      <c r="AS167" s="5">
        <f t="shared" si="447"/>
        <v>106895.97</v>
      </c>
      <c r="AU167" s="11">
        <f>AU74*0.005</f>
        <v>6354.45</v>
      </c>
      <c r="AV167" s="5"/>
      <c r="AW167" s="5"/>
      <c r="AX167" s="5"/>
      <c r="AY167" s="5"/>
      <c r="AZ167" s="5"/>
      <c r="BA167" s="5"/>
      <c r="BB167" s="5">
        <f t="shared" si="448"/>
        <v>6354.45</v>
      </c>
      <c r="BD167" s="11">
        <f>BD74*0.005</f>
        <v>12520.62</v>
      </c>
      <c r="BE167" s="5"/>
      <c r="BF167" s="5"/>
      <c r="BG167" s="5"/>
      <c r="BH167" s="5"/>
      <c r="BI167" s="5"/>
      <c r="BJ167" s="5"/>
      <c r="BK167" s="5">
        <f t="shared" si="449"/>
        <v>12520.62</v>
      </c>
      <c r="BM167" s="11">
        <f>BM74*0.005</f>
        <v>0</v>
      </c>
      <c r="BN167" s="5"/>
      <c r="BO167" s="5"/>
      <c r="BP167" s="5"/>
      <c r="BQ167" s="5"/>
      <c r="BR167" s="5"/>
      <c r="BS167" s="5"/>
      <c r="BT167" s="5">
        <f t="shared" si="450"/>
        <v>0</v>
      </c>
      <c r="BV167" s="5">
        <f t="shared" si="451"/>
        <v>382679.10000000003</v>
      </c>
      <c r="BW167" s="5">
        <f t="shared" si="451"/>
        <v>0</v>
      </c>
      <c r="BX167" s="5">
        <f t="shared" si="451"/>
        <v>0</v>
      </c>
      <c r="BY167" s="5">
        <f t="shared" si="451"/>
        <v>0</v>
      </c>
      <c r="BZ167" s="5">
        <f t="shared" si="451"/>
        <v>0</v>
      </c>
      <c r="CA167" s="5">
        <f t="shared" si="451"/>
        <v>0</v>
      </c>
      <c r="CB167" s="5"/>
      <c r="CC167" s="5">
        <f t="shared" si="452"/>
        <v>382679.10000000003</v>
      </c>
    </row>
    <row r="168" spans="1:81">
      <c r="A168" s="29" t="s">
        <v>148</v>
      </c>
      <c r="B168" s="11">
        <f>B74*0.005</f>
        <v>42598.35</v>
      </c>
      <c r="C168" s="5"/>
      <c r="D168" s="5"/>
      <c r="E168" s="5"/>
      <c r="F168" s="5"/>
      <c r="G168" s="5"/>
      <c r="H168" s="5"/>
      <c r="I168" s="5">
        <f t="shared" si="443"/>
        <v>42598.35</v>
      </c>
      <c r="J168" s="80"/>
      <c r="K168" s="11">
        <f>K74*0.005</f>
        <v>48105.54</v>
      </c>
      <c r="L168" s="5"/>
      <c r="M168" s="5"/>
      <c r="N168" s="5"/>
      <c r="O168" s="5"/>
      <c r="P168" s="5"/>
      <c r="Q168" s="5"/>
      <c r="R168" s="5">
        <f t="shared" si="444"/>
        <v>48105.54</v>
      </c>
      <c r="T168" s="11">
        <f>T74*0.005</f>
        <v>56154.51</v>
      </c>
      <c r="U168" s="5"/>
      <c r="V168" s="5"/>
      <c r="W168" s="5"/>
      <c r="X168" s="5"/>
      <c r="Y168" s="5"/>
      <c r="Z168" s="5"/>
      <c r="AA168" s="5">
        <f t="shared" si="445"/>
        <v>56154.51</v>
      </c>
      <c r="AC168" s="11">
        <f>AC74*0.005</f>
        <v>110049.66</v>
      </c>
      <c r="AD168" s="5"/>
      <c r="AE168" s="5"/>
      <c r="AF168" s="5"/>
      <c r="AG168" s="5"/>
      <c r="AH168" s="5"/>
      <c r="AI168" s="5"/>
      <c r="AJ168" s="5">
        <f t="shared" si="446"/>
        <v>110049.66</v>
      </c>
      <c r="AL168" s="11">
        <f>AL74*0.005</f>
        <v>106895.97</v>
      </c>
      <c r="AM168" s="5"/>
      <c r="AN168" s="5"/>
      <c r="AO168" s="5"/>
      <c r="AP168" s="5"/>
      <c r="AQ168" s="5"/>
      <c r="AR168" s="5"/>
      <c r="AS168" s="5">
        <f t="shared" si="447"/>
        <v>106895.97</v>
      </c>
      <c r="AU168" s="11">
        <f>AU74*0.005</f>
        <v>6354.45</v>
      </c>
      <c r="AV168" s="5"/>
      <c r="AW168" s="5"/>
      <c r="AX168" s="5"/>
      <c r="AY168" s="5"/>
      <c r="AZ168" s="5"/>
      <c r="BA168" s="5"/>
      <c r="BB168" s="5">
        <f t="shared" si="448"/>
        <v>6354.45</v>
      </c>
      <c r="BD168" s="11">
        <f>BD74*0.005</f>
        <v>12520.62</v>
      </c>
      <c r="BE168" s="5"/>
      <c r="BF168" s="5"/>
      <c r="BG168" s="5"/>
      <c r="BH168" s="5"/>
      <c r="BI168" s="5"/>
      <c r="BJ168" s="5"/>
      <c r="BK168" s="5">
        <f t="shared" si="449"/>
        <v>12520.62</v>
      </c>
      <c r="BM168" s="11">
        <f>BM74*0.005</f>
        <v>0</v>
      </c>
      <c r="BN168" s="5"/>
      <c r="BO168" s="5"/>
      <c r="BP168" s="5"/>
      <c r="BQ168" s="5"/>
      <c r="BR168" s="5"/>
      <c r="BS168" s="5"/>
      <c r="BT168" s="5">
        <f t="shared" si="450"/>
        <v>0</v>
      </c>
      <c r="BV168" s="5">
        <f t="shared" si="451"/>
        <v>382679.10000000003</v>
      </c>
      <c r="BW168" s="5">
        <f t="shared" si="451"/>
        <v>0</v>
      </c>
      <c r="BX168" s="5">
        <f t="shared" si="451"/>
        <v>0</v>
      </c>
      <c r="BY168" s="5">
        <f t="shared" si="451"/>
        <v>0</v>
      </c>
      <c r="BZ168" s="5">
        <f t="shared" si="451"/>
        <v>0</v>
      </c>
      <c r="CA168" s="5">
        <f t="shared" si="451"/>
        <v>0</v>
      </c>
      <c r="CB168" s="5"/>
      <c r="CC168" s="5">
        <f t="shared" si="452"/>
        <v>382679.10000000003</v>
      </c>
    </row>
    <row r="169" spans="1:81">
      <c r="A169" s="78" t="s">
        <v>149</v>
      </c>
      <c r="B169" s="11">
        <v>0</v>
      </c>
      <c r="C169" s="5"/>
      <c r="D169" s="5"/>
      <c r="E169" s="5"/>
      <c r="F169" s="5"/>
      <c r="G169" s="5"/>
      <c r="H169" s="5"/>
      <c r="I169" s="5">
        <f t="shared" si="443"/>
        <v>0</v>
      </c>
      <c r="J169" s="80"/>
      <c r="K169" s="11">
        <v>0</v>
      </c>
      <c r="L169" s="5"/>
      <c r="M169" s="5"/>
      <c r="N169" s="5"/>
      <c r="O169" s="5"/>
      <c r="P169" s="5"/>
      <c r="Q169" s="5"/>
      <c r="R169" s="5">
        <f t="shared" si="444"/>
        <v>0</v>
      </c>
      <c r="T169" s="11">
        <v>0</v>
      </c>
      <c r="U169" s="5"/>
      <c r="V169" s="5"/>
      <c r="W169" s="5"/>
      <c r="X169" s="5"/>
      <c r="Y169" s="5"/>
      <c r="Z169" s="5"/>
      <c r="AA169" s="5">
        <f t="shared" si="445"/>
        <v>0</v>
      </c>
      <c r="AC169" s="11">
        <v>0</v>
      </c>
      <c r="AD169" s="5"/>
      <c r="AE169" s="5"/>
      <c r="AF169" s="5"/>
      <c r="AG169" s="5"/>
      <c r="AH169" s="5"/>
      <c r="AI169" s="5"/>
      <c r="AJ169" s="5">
        <f t="shared" si="446"/>
        <v>0</v>
      </c>
      <c r="AL169" s="11">
        <v>0</v>
      </c>
      <c r="AM169" s="5"/>
      <c r="AN169" s="5"/>
      <c r="AO169" s="5"/>
      <c r="AP169" s="5"/>
      <c r="AQ169" s="5"/>
      <c r="AR169" s="5"/>
      <c r="AS169" s="5">
        <f t="shared" si="447"/>
        <v>0</v>
      </c>
      <c r="AU169" s="11">
        <v>0</v>
      </c>
      <c r="AV169" s="5"/>
      <c r="AW169" s="5"/>
      <c r="AX169" s="5"/>
      <c r="AY169" s="5"/>
      <c r="AZ169" s="5"/>
      <c r="BA169" s="5"/>
      <c r="BB169" s="5">
        <f t="shared" si="448"/>
        <v>0</v>
      </c>
      <c r="BD169" s="11">
        <v>0</v>
      </c>
      <c r="BE169" s="5"/>
      <c r="BF169" s="5"/>
      <c r="BG169" s="5"/>
      <c r="BH169" s="5"/>
      <c r="BI169" s="5"/>
      <c r="BJ169" s="5"/>
      <c r="BK169" s="5">
        <f t="shared" si="449"/>
        <v>0</v>
      </c>
      <c r="BM169" s="11">
        <v>0</v>
      </c>
      <c r="BN169" s="5"/>
      <c r="BO169" s="5"/>
      <c r="BP169" s="5"/>
      <c r="BQ169" s="5"/>
      <c r="BR169" s="5"/>
      <c r="BS169" s="5"/>
      <c r="BT169" s="5">
        <f t="shared" si="450"/>
        <v>0</v>
      </c>
      <c r="BV169" s="5">
        <f t="shared" si="451"/>
        <v>0</v>
      </c>
      <c r="BW169" s="5">
        <f t="shared" si="451"/>
        <v>0</v>
      </c>
      <c r="BX169" s="5">
        <f t="shared" si="451"/>
        <v>0</v>
      </c>
      <c r="BY169" s="5">
        <f t="shared" si="451"/>
        <v>0</v>
      </c>
      <c r="BZ169" s="5">
        <f t="shared" si="451"/>
        <v>0</v>
      </c>
      <c r="CA169" s="5">
        <f t="shared" si="451"/>
        <v>0</v>
      </c>
      <c r="CB169" s="5"/>
      <c r="CC169" s="5">
        <f t="shared" si="452"/>
        <v>0</v>
      </c>
    </row>
    <row r="170" spans="1:81" ht="15">
      <c r="A170" s="70" t="s">
        <v>150</v>
      </c>
      <c r="B170" s="71">
        <f>SUM(B156:B169)</f>
        <v>772027.57499999995</v>
      </c>
      <c r="C170" s="71">
        <f t="shared" ref="C170:H170" si="453">SUM(C156:C169)</f>
        <v>523375</v>
      </c>
      <c r="D170" s="71">
        <f t="shared" si="453"/>
        <v>0</v>
      </c>
      <c r="E170" s="71">
        <f t="shared" si="453"/>
        <v>0</v>
      </c>
      <c r="F170" s="71">
        <f t="shared" si="453"/>
        <v>0</v>
      </c>
      <c r="G170" s="71">
        <f t="shared" si="453"/>
        <v>0</v>
      </c>
      <c r="H170" s="71">
        <f t="shared" si="453"/>
        <v>0</v>
      </c>
      <c r="I170" s="71">
        <f>SUM(I156:I169)</f>
        <v>1295402.5750000002</v>
      </c>
      <c r="J170" s="7"/>
      <c r="K170" s="71">
        <f>SUM(K156:K169)</f>
        <v>908263.93</v>
      </c>
      <c r="L170" s="71">
        <f t="shared" ref="L170:Q170" si="454">SUM(L156:L169)</f>
        <v>166520</v>
      </c>
      <c r="M170" s="71">
        <f t="shared" si="454"/>
        <v>0</v>
      </c>
      <c r="N170" s="71">
        <f t="shared" si="454"/>
        <v>0</v>
      </c>
      <c r="O170" s="71">
        <f t="shared" si="454"/>
        <v>0</v>
      </c>
      <c r="P170" s="71">
        <f t="shared" si="454"/>
        <v>0</v>
      </c>
      <c r="Q170" s="71">
        <f t="shared" si="454"/>
        <v>0</v>
      </c>
      <c r="R170" s="71">
        <f>SUM(R156:R169)</f>
        <v>1074783.93</v>
      </c>
      <c r="T170" s="71">
        <f>SUM(T156:T169)</f>
        <v>1002214.295</v>
      </c>
      <c r="U170" s="71">
        <f t="shared" ref="U170:Z170" si="455">SUM(U156:U169)</f>
        <v>98940</v>
      </c>
      <c r="V170" s="71">
        <f t="shared" si="455"/>
        <v>0</v>
      </c>
      <c r="W170" s="71">
        <f t="shared" si="455"/>
        <v>0</v>
      </c>
      <c r="X170" s="71">
        <f t="shared" si="455"/>
        <v>0</v>
      </c>
      <c r="Y170" s="71">
        <f t="shared" si="455"/>
        <v>0</v>
      </c>
      <c r="Z170" s="71">
        <f t="shared" si="455"/>
        <v>0</v>
      </c>
      <c r="AA170" s="71">
        <f>SUM(AA156:AA169)</f>
        <v>1101154.2949999999</v>
      </c>
      <c r="AC170" s="71">
        <f>SUM(AC156:AC169)</f>
        <v>1915477.4699999997</v>
      </c>
      <c r="AD170" s="71">
        <f t="shared" ref="AD170:AI170" si="456">SUM(AD156:AD169)</f>
        <v>334320</v>
      </c>
      <c r="AE170" s="71">
        <f t="shared" si="456"/>
        <v>0</v>
      </c>
      <c r="AF170" s="71">
        <f t="shared" si="456"/>
        <v>0</v>
      </c>
      <c r="AG170" s="71">
        <f t="shared" si="456"/>
        <v>0</v>
      </c>
      <c r="AH170" s="71">
        <f t="shared" si="456"/>
        <v>0</v>
      </c>
      <c r="AI170" s="71">
        <f t="shared" si="456"/>
        <v>0</v>
      </c>
      <c r="AJ170" s="71">
        <f>SUM(AJ156:AJ169)</f>
        <v>2249797.4700000002</v>
      </c>
      <c r="AL170" s="71">
        <f>SUM(AL156:AL169)</f>
        <v>1850904.865</v>
      </c>
      <c r="AM170" s="71">
        <f t="shared" ref="AM170:AR170" si="457">SUM(AM156:AM169)</f>
        <v>516475</v>
      </c>
      <c r="AN170" s="71">
        <f t="shared" si="457"/>
        <v>0</v>
      </c>
      <c r="AO170" s="71">
        <f t="shared" si="457"/>
        <v>0</v>
      </c>
      <c r="AP170" s="71">
        <f t="shared" si="457"/>
        <v>0</v>
      </c>
      <c r="AQ170" s="71">
        <f t="shared" si="457"/>
        <v>0</v>
      </c>
      <c r="AR170" s="71">
        <f t="shared" si="457"/>
        <v>0</v>
      </c>
      <c r="AS170" s="71">
        <f>SUM(AS156:AS169)</f>
        <v>2367379.8650000002</v>
      </c>
      <c r="AU170" s="71">
        <f>SUM(AU156:AU169)</f>
        <v>428620.02500000002</v>
      </c>
      <c r="AV170" s="71">
        <f t="shared" ref="AV170:BA170" si="458">SUM(AV156:AV169)</f>
        <v>28100</v>
      </c>
      <c r="AW170" s="71">
        <f t="shared" si="458"/>
        <v>0</v>
      </c>
      <c r="AX170" s="71">
        <f t="shared" si="458"/>
        <v>0</v>
      </c>
      <c r="AY170" s="71">
        <f t="shared" si="458"/>
        <v>0</v>
      </c>
      <c r="AZ170" s="71">
        <f t="shared" si="458"/>
        <v>0</v>
      </c>
      <c r="BA170" s="71">
        <f t="shared" si="458"/>
        <v>0</v>
      </c>
      <c r="BB170" s="71">
        <f>SUM(BB156:BB169)</f>
        <v>456720.02500000002</v>
      </c>
      <c r="BD170" s="71">
        <f>SUM(BD156:BD169)</f>
        <v>226000.78999999998</v>
      </c>
      <c r="BE170" s="71">
        <f t="shared" ref="BE170:BJ170" si="459">SUM(BE156:BE169)</f>
        <v>260250</v>
      </c>
      <c r="BF170" s="71">
        <f t="shared" si="459"/>
        <v>0</v>
      </c>
      <c r="BG170" s="71">
        <f t="shared" si="459"/>
        <v>0</v>
      </c>
      <c r="BH170" s="71">
        <f t="shared" si="459"/>
        <v>0</v>
      </c>
      <c r="BI170" s="71">
        <f t="shared" si="459"/>
        <v>0</v>
      </c>
      <c r="BJ170" s="71">
        <f t="shared" si="459"/>
        <v>0</v>
      </c>
      <c r="BK170" s="71">
        <f>SUM(BK156:BK169)</f>
        <v>486250.79</v>
      </c>
      <c r="BM170" s="71">
        <f>SUM(BM156:BM169)</f>
        <v>2000</v>
      </c>
      <c r="BN170" s="71">
        <f t="shared" ref="BN170:BS170" si="460">SUM(BN156:BN169)</f>
        <v>0</v>
      </c>
      <c r="BO170" s="71">
        <f t="shared" si="460"/>
        <v>0</v>
      </c>
      <c r="BP170" s="71">
        <f t="shared" si="460"/>
        <v>0</v>
      </c>
      <c r="BQ170" s="71">
        <f t="shared" si="460"/>
        <v>0</v>
      </c>
      <c r="BR170" s="71">
        <f t="shared" si="460"/>
        <v>0</v>
      </c>
      <c r="BS170" s="71">
        <f t="shared" si="460"/>
        <v>0</v>
      </c>
      <c r="BT170" s="71">
        <f>SUM(BT156:BT169)</f>
        <v>2000</v>
      </c>
      <c r="BV170" s="71">
        <f>SUM(BV156:BV169)</f>
        <v>7105508.9499999993</v>
      </c>
      <c r="BW170" s="71">
        <f t="shared" ref="BW170:CB170" si="461">SUM(BW156:BW169)</f>
        <v>1927980</v>
      </c>
      <c r="BX170" s="71">
        <f t="shared" si="461"/>
        <v>0</v>
      </c>
      <c r="BY170" s="71">
        <f t="shared" si="461"/>
        <v>0</v>
      </c>
      <c r="BZ170" s="71">
        <f t="shared" si="461"/>
        <v>0</v>
      </c>
      <c r="CA170" s="71">
        <f t="shared" si="461"/>
        <v>0</v>
      </c>
      <c r="CB170" s="71">
        <f t="shared" si="461"/>
        <v>0</v>
      </c>
      <c r="CC170" s="71">
        <f>SUM(CC156:CC169)</f>
        <v>9033488.9499999993</v>
      </c>
    </row>
    <row r="171" spans="1:81" ht="15">
      <c r="A171" s="75" t="s">
        <v>151</v>
      </c>
      <c r="B171" s="18" t="str">
        <f t="shared" ref="B171:I171" si="462">B1</f>
        <v>Operating</v>
      </c>
      <c r="C171" s="18" t="str">
        <f t="shared" si="462"/>
        <v>SPED</v>
      </c>
      <c r="D171" s="18" t="str">
        <f t="shared" si="462"/>
        <v>NSLP</v>
      </c>
      <c r="E171" s="18" t="str">
        <f t="shared" si="462"/>
        <v>Other</v>
      </c>
      <c r="F171" s="18" t="str">
        <f t="shared" si="462"/>
        <v>Title I</v>
      </c>
      <c r="G171" s="18" t="str">
        <f t="shared" si="462"/>
        <v>SGF</v>
      </c>
      <c r="H171" s="18" t="str">
        <f t="shared" si="462"/>
        <v>Title III</v>
      </c>
      <c r="I171" s="18" t="str">
        <f t="shared" si="462"/>
        <v>Horizon</v>
      </c>
      <c r="J171" s="7"/>
      <c r="K171" s="18" t="str">
        <f t="shared" ref="K171:R171" si="463">K1</f>
        <v>Operating</v>
      </c>
      <c r="L171" s="18" t="str">
        <f t="shared" si="463"/>
        <v>SPED</v>
      </c>
      <c r="M171" s="18" t="str">
        <f t="shared" si="463"/>
        <v>NSLP</v>
      </c>
      <c r="N171" s="18" t="str">
        <f t="shared" si="463"/>
        <v>Other</v>
      </c>
      <c r="O171" s="18" t="str">
        <f t="shared" si="463"/>
        <v>Title I</v>
      </c>
      <c r="P171" s="18" t="str">
        <f t="shared" si="463"/>
        <v>SGF</v>
      </c>
      <c r="Q171" s="18" t="str">
        <f t="shared" si="463"/>
        <v>Title III</v>
      </c>
      <c r="R171" s="18" t="str">
        <f t="shared" si="463"/>
        <v>St. Rose</v>
      </c>
      <c r="T171" s="18" t="str">
        <f t="shared" ref="T171:AA171" si="464">T1</f>
        <v>Operating</v>
      </c>
      <c r="U171" s="18" t="str">
        <f t="shared" si="464"/>
        <v>SPED</v>
      </c>
      <c r="V171" s="18" t="str">
        <f t="shared" si="464"/>
        <v>NSLP</v>
      </c>
      <c r="W171" s="18" t="str">
        <f t="shared" si="464"/>
        <v>Other</v>
      </c>
      <c r="X171" s="18" t="str">
        <f t="shared" si="464"/>
        <v>Title I</v>
      </c>
      <c r="Y171" s="18" t="str">
        <f t="shared" si="464"/>
        <v>SGF</v>
      </c>
      <c r="Z171" s="18" t="str">
        <f t="shared" si="464"/>
        <v>Title III</v>
      </c>
      <c r="AA171" s="18" t="str">
        <f t="shared" si="464"/>
        <v>Inspirada</v>
      </c>
      <c r="AC171" s="18" t="str">
        <f t="shared" ref="AC171:AJ171" si="465">AC1</f>
        <v>Operating</v>
      </c>
      <c r="AD171" s="18" t="str">
        <f t="shared" si="465"/>
        <v>SPED</v>
      </c>
      <c r="AE171" s="18" t="str">
        <f t="shared" si="465"/>
        <v>NSLP</v>
      </c>
      <c r="AF171" s="18" t="str">
        <f t="shared" si="465"/>
        <v>Other</v>
      </c>
      <c r="AG171" s="18" t="str">
        <f t="shared" si="465"/>
        <v>Title I</v>
      </c>
      <c r="AH171" s="18" t="str">
        <f t="shared" si="465"/>
        <v>SGF</v>
      </c>
      <c r="AI171" s="18" t="str">
        <f t="shared" si="465"/>
        <v>Title III</v>
      </c>
      <c r="AJ171" s="18" t="str">
        <f t="shared" si="465"/>
        <v>Cadence</v>
      </c>
      <c r="AL171" s="18" t="str">
        <f t="shared" ref="AL171:AS171" si="466">AL1</f>
        <v>Operating</v>
      </c>
      <c r="AM171" s="18" t="str">
        <f t="shared" si="466"/>
        <v>SPED</v>
      </c>
      <c r="AN171" s="18" t="str">
        <f t="shared" si="466"/>
        <v>NSLP</v>
      </c>
      <c r="AO171" s="18" t="str">
        <f t="shared" si="466"/>
        <v>Other</v>
      </c>
      <c r="AP171" s="18" t="str">
        <f t="shared" si="466"/>
        <v>Title I</v>
      </c>
      <c r="AQ171" s="18" t="str">
        <f t="shared" si="466"/>
        <v>SGF</v>
      </c>
      <c r="AR171" s="18" t="str">
        <f t="shared" si="466"/>
        <v>Title III</v>
      </c>
      <c r="AS171" s="18" t="str">
        <f t="shared" si="466"/>
        <v>Sloan</v>
      </c>
      <c r="AU171" s="18" t="str">
        <f t="shared" ref="AU171:BB171" si="467">AU1</f>
        <v>Operating</v>
      </c>
      <c r="AV171" s="18" t="str">
        <f t="shared" si="467"/>
        <v>SPED</v>
      </c>
      <c r="AW171" s="18" t="str">
        <f t="shared" si="467"/>
        <v>NSLP</v>
      </c>
      <c r="AX171" s="18" t="str">
        <f t="shared" si="467"/>
        <v>Other</v>
      </c>
      <c r="AY171" s="18" t="str">
        <f t="shared" si="467"/>
        <v>Title I</v>
      </c>
      <c r="AZ171" s="18" t="str">
        <f t="shared" si="467"/>
        <v>SGF</v>
      </c>
      <c r="BA171" s="18" t="str">
        <f t="shared" si="467"/>
        <v>Title III</v>
      </c>
      <c r="BB171" s="18" t="str">
        <f t="shared" si="467"/>
        <v>Virtual</v>
      </c>
      <c r="BD171" s="18" t="str">
        <f t="shared" ref="BD171:BK171" si="468">BD1</f>
        <v>Operating</v>
      </c>
      <c r="BE171" s="18" t="str">
        <f t="shared" si="468"/>
        <v>SPED</v>
      </c>
      <c r="BF171" s="18" t="str">
        <f t="shared" si="468"/>
        <v>NSLP</v>
      </c>
      <c r="BG171" s="18" t="str">
        <f t="shared" si="468"/>
        <v>Other</v>
      </c>
      <c r="BH171" s="18" t="str">
        <f t="shared" si="468"/>
        <v>Title I</v>
      </c>
      <c r="BI171" s="18" t="str">
        <f t="shared" si="468"/>
        <v>SGF</v>
      </c>
      <c r="BJ171" s="18" t="str">
        <f t="shared" si="468"/>
        <v>Title III</v>
      </c>
      <c r="BK171" s="18" t="str">
        <f t="shared" si="468"/>
        <v>Springs</v>
      </c>
      <c r="BM171" s="18" t="str">
        <f t="shared" ref="BM171:BT171" si="469">BM1</f>
        <v>Operating</v>
      </c>
      <c r="BN171" s="18" t="str">
        <f t="shared" si="469"/>
        <v>SPED</v>
      </c>
      <c r="BO171" s="18" t="str">
        <f t="shared" si="469"/>
        <v>NSLP</v>
      </c>
      <c r="BP171" s="18" t="str">
        <f t="shared" si="469"/>
        <v>Other</v>
      </c>
      <c r="BQ171" s="18" t="str">
        <f t="shared" si="469"/>
        <v>Title I</v>
      </c>
      <c r="BR171" s="18" t="str">
        <f t="shared" si="469"/>
        <v>SGF</v>
      </c>
      <c r="BS171" s="18" t="str">
        <f t="shared" si="469"/>
        <v>Title III</v>
      </c>
      <c r="BT171" s="18" t="str">
        <f t="shared" si="469"/>
        <v>Exec. Office</v>
      </c>
      <c r="BV171" s="18" t="str">
        <f t="shared" ref="BV171:CC171" si="470">BV1</f>
        <v>Operating</v>
      </c>
      <c r="BW171" s="18" t="str">
        <f t="shared" si="470"/>
        <v>SPED</v>
      </c>
      <c r="BX171" s="18" t="str">
        <f t="shared" si="470"/>
        <v>NSLP</v>
      </c>
      <c r="BY171" s="18" t="str">
        <f t="shared" si="470"/>
        <v>Other</v>
      </c>
      <c r="BZ171" s="18" t="str">
        <f t="shared" si="470"/>
        <v>Title I</v>
      </c>
      <c r="CA171" s="18" t="str">
        <f t="shared" si="470"/>
        <v>SGF</v>
      </c>
      <c r="CB171" s="18" t="str">
        <f t="shared" si="470"/>
        <v>Title III</v>
      </c>
      <c r="CC171" s="18" t="str">
        <f t="shared" si="470"/>
        <v>Systemwide</v>
      </c>
    </row>
    <row r="172" spans="1:81">
      <c r="A172" s="81" t="s">
        <v>152</v>
      </c>
      <c r="B172" s="79">
        <f>225*12.5</f>
        <v>2812.5</v>
      </c>
      <c r="C172" s="5"/>
      <c r="D172" s="5"/>
      <c r="E172" s="5"/>
      <c r="F172" s="5"/>
      <c r="G172" s="5"/>
      <c r="H172" s="5"/>
      <c r="I172" s="5">
        <f t="shared" ref="I172:I178" si="471">SUM(B172:H172)</f>
        <v>2812.5</v>
      </c>
      <c r="K172" s="79">
        <f>300*12</f>
        <v>3600</v>
      </c>
      <c r="L172" s="5"/>
      <c r="M172" s="5"/>
      <c r="N172" s="5"/>
      <c r="O172" s="5"/>
      <c r="P172" s="5"/>
      <c r="Q172" s="5"/>
      <c r="R172" s="5">
        <f t="shared" ref="R172:R178" si="472">SUM(K172:Q172)</f>
        <v>3600</v>
      </c>
      <c r="T172" s="62">
        <f>225*12</f>
        <v>2700</v>
      </c>
      <c r="U172" s="5"/>
      <c r="V172" s="5"/>
      <c r="W172" s="5"/>
      <c r="X172" s="5"/>
      <c r="Y172" s="5"/>
      <c r="Z172" s="5"/>
      <c r="AA172" s="5">
        <f t="shared" ref="AA172:AA178" si="473">SUM(T172:Z172)</f>
        <v>2700</v>
      </c>
      <c r="AC172" s="62">
        <f>550*12</f>
        <v>6600</v>
      </c>
      <c r="AD172" s="5"/>
      <c r="AE172" s="5"/>
      <c r="AF172" s="5"/>
      <c r="AG172" s="5"/>
      <c r="AH172" s="5"/>
      <c r="AI172" s="5"/>
      <c r="AJ172" s="5">
        <f t="shared" ref="AJ172:AJ178" si="474">SUM(AC172:AI172)</f>
        <v>6600</v>
      </c>
      <c r="AL172" s="79">
        <f>550*12</f>
        <v>6600</v>
      </c>
      <c r="AM172" s="5"/>
      <c r="AN172" s="5"/>
      <c r="AO172" s="5"/>
      <c r="AP172" s="5"/>
      <c r="AQ172" s="5"/>
      <c r="AR172" s="5"/>
      <c r="AS172" s="5">
        <f t="shared" ref="AS172:AS178" si="475">SUM(AL172:AR172)</f>
        <v>6600</v>
      </c>
      <c r="AU172" s="79"/>
      <c r="AV172" s="5"/>
      <c r="AW172" s="5"/>
      <c r="AX172" s="5"/>
      <c r="AY172" s="5"/>
      <c r="AZ172" s="5"/>
      <c r="BA172" s="5"/>
      <c r="BB172" s="5">
        <f t="shared" ref="BB172:BB178" si="476">SUM(AU172:BA172)</f>
        <v>0</v>
      </c>
      <c r="BD172" s="62">
        <f>200*12</f>
        <v>2400</v>
      </c>
      <c r="BE172" s="5"/>
      <c r="BF172" s="5"/>
      <c r="BG172" s="5"/>
      <c r="BH172" s="5"/>
      <c r="BI172" s="5"/>
      <c r="BJ172" s="5"/>
      <c r="BK172" s="5">
        <f t="shared" ref="BK172:BK178" si="477">SUM(BD172:BJ172)</f>
        <v>2400</v>
      </c>
      <c r="BM172" s="79"/>
      <c r="BN172" s="5"/>
      <c r="BO172" s="5"/>
      <c r="BP172" s="5"/>
      <c r="BQ172" s="5"/>
      <c r="BR172" s="5"/>
      <c r="BS172" s="5"/>
      <c r="BT172" s="5">
        <f t="shared" ref="BT172:BT178" si="478">SUM(BM172:BS172)</f>
        <v>0</v>
      </c>
      <c r="BV172" s="5">
        <f t="shared" ref="BV172:CA187" si="479">B172+K172+T172+AC172+AL172+AU172+BD172+BM172</f>
        <v>24712.5</v>
      </c>
      <c r="BW172" s="5">
        <f t="shared" si="479"/>
        <v>0</v>
      </c>
      <c r="BX172" s="5">
        <f t="shared" si="479"/>
        <v>0</v>
      </c>
      <c r="BY172" s="5">
        <f t="shared" si="479"/>
        <v>0</v>
      </c>
      <c r="BZ172" s="5">
        <f t="shared" si="479"/>
        <v>0</v>
      </c>
      <c r="CA172" s="5">
        <f t="shared" si="479"/>
        <v>0</v>
      </c>
      <c r="CB172" s="5"/>
      <c r="CC172" s="5">
        <f t="shared" ref="CC172:CC178" si="480">SUM(BV172:CB172)</f>
        <v>24712.5</v>
      </c>
    </row>
    <row r="173" spans="1:81">
      <c r="A173" s="29" t="s">
        <v>153</v>
      </c>
      <c r="B173" s="62">
        <f>1500*12.5</f>
        <v>18750</v>
      </c>
      <c r="C173" s="5"/>
      <c r="D173" s="5"/>
      <c r="E173" s="5"/>
      <c r="F173" s="5"/>
      <c r="G173" s="5"/>
      <c r="H173" s="5"/>
      <c r="I173" s="5">
        <f t="shared" si="471"/>
        <v>18750</v>
      </c>
      <c r="K173" s="79">
        <f>1350*13</f>
        <v>17550</v>
      </c>
      <c r="L173" s="5"/>
      <c r="M173" s="5"/>
      <c r="N173" s="5"/>
      <c r="O173" s="5"/>
      <c r="P173" s="5"/>
      <c r="Q173" s="5"/>
      <c r="R173" s="5">
        <f t="shared" si="472"/>
        <v>17550</v>
      </c>
      <c r="T173" s="62">
        <f>(2200*12)</f>
        <v>26400</v>
      </c>
      <c r="U173" s="5"/>
      <c r="V173" s="5"/>
      <c r="W173" s="5"/>
      <c r="X173" s="5"/>
      <c r="Y173" s="5"/>
      <c r="Z173" s="5"/>
      <c r="AA173" s="5">
        <f t="shared" si="473"/>
        <v>26400</v>
      </c>
      <c r="AC173" s="62">
        <f>1300*12</f>
        <v>15600</v>
      </c>
      <c r="AD173" s="5"/>
      <c r="AE173" s="5"/>
      <c r="AF173" s="5"/>
      <c r="AG173" s="5"/>
      <c r="AH173" s="5"/>
      <c r="AI173" s="5"/>
      <c r="AJ173" s="5">
        <f t="shared" si="474"/>
        <v>15600</v>
      </c>
      <c r="AL173" s="79">
        <f>1250*12</f>
        <v>15000</v>
      </c>
      <c r="AM173" s="5"/>
      <c r="AN173" s="5"/>
      <c r="AO173" s="5"/>
      <c r="AP173" s="5"/>
      <c r="AQ173" s="5"/>
      <c r="AR173" s="5"/>
      <c r="AS173" s="5">
        <f t="shared" si="475"/>
        <v>15000</v>
      </c>
      <c r="AU173" s="62"/>
      <c r="AV173" s="5"/>
      <c r="AW173" s="5"/>
      <c r="AX173" s="5"/>
      <c r="AY173" s="5"/>
      <c r="AZ173" s="5"/>
      <c r="BA173" s="5"/>
      <c r="BB173" s="5">
        <f t="shared" si="476"/>
        <v>0</v>
      </c>
      <c r="BD173" s="62">
        <f>715*12</f>
        <v>8580</v>
      </c>
      <c r="BE173" s="5"/>
      <c r="BF173" s="5"/>
      <c r="BG173" s="5"/>
      <c r="BH173" s="5"/>
      <c r="BI173" s="5"/>
      <c r="BJ173" s="5"/>
      <c r="BK173" s="5">
        <f t="shared" si="477"/>
        <v>8580</v>
      </c>
      <c r="BM173" s="62"/>
      <c r="BN173" s="5"/>
      <c r="BO173" s="5"/>
      <c r="BP173" s="5"/>
      <c r="BQ173" s="5"/>
      <c r="BR173" s="5"/>
      <c r="BS173" s="5"/>
      <c r="BT173" s="5">
        <f t="shared" si="478"/>
        <v>0</v>
      </c>
      <c r="BV173" s="5">
        <f t="shared" si="479"/>
        <v>101880</v>
      </c>
      <c r="BW173" s="5">
        <f t="shared" si="479"/>
        <v>0</v>
      </c>
      <c r="BX173" s="5">
        <f t="shared" si="479"/>
        <v>0</v>
      </c>
      <c r="BY173" s="5">
        <f t="shared" si="479"/>
        <v>0</v>
      </c>
      <c r="BZ173" s="5">
        <f t="shared" si="479"/>
        <v>0</v>
      </c>
      <c r="CA173" s="5">
        <f t="shared" si="479"/>
        <v>0</v>
      </c>
      <c r="CB173" s="5"/>
      <c r="CC173" s="5">
        <f t="shared" si="480"/>
        <v>101880</v>
      </c>
    </row>
    <row r="174" spans="1:81">
      <c r="A174" s="29" t="s">
        <v>154</v>
      </c>
      <c r="B174" s="79"/>
      <c r="C174" s="5"/>
      <c r="D174" s="5"/>
      <c r="E174" s="5"/>
      <c r="F174" s="5"/>
      <c r="G174" s="5"/>
      <c r="H174" s="5"/>
      <c r="I174" s="5">
        <f t="shared" si="471"/>
        <v>0</v>
      </c>
      <c r="K174" s="79"/>
      <c r="L174" s="5"/>
      <c r="M174" s="5"/>
      <c r="N174" s="5"/>
      <c r="O174" s="5"/>
      <c r="P174" s="5"/>
      <c r="Q174" s="5"/>
      <c r="R174" s="5">
        <f t="shared" si="472"/>
        <v>0</v>
      </c>
      <c r="T174" s="79"/>
      <c r="U174" s="5"/>
      <c r="V174" s="5"/>
      <c r="W174" s="5"/>
      <c r="X174" s="5"/>
      <c r="Y174" s="5"/>
      <c r="Z174" s="5"/>
      <c r="AA174" s="5">
        <f t="shared" si="473"/>
        <v>0</v>
      </c>
      <c r="AC174" s="79"/>
      <c r="AD174" s="5"/>
      <c r="AE174" s="5"/>
      <c r="AF174" s="5"/>
      <c r="AG174" s="5"/>
      <c r="AH174" s="5"/>
      <c r="AI174" s="5"/>
      <c r="AJ174" s="5">
        <f t="shared" si="474"/>
        <v>0</v>
      </c>
      <c r="AL174" s="79"/>
      <c r="AM174" s="5"/>
      <c r="AN174" s="5"/>
      <c r="AO174" s="5"/>
      <c r="AP174" s="5"/>
      <c r="AQ174" s="5"/>
      <c r="AR174" s="5"/>
      <c r="AS174" s="5">
        <f t="shared" si="475"/>
        <v>0</v>
      </c>
      <c r="AU174" s="79"/>
      <c r="AV174" s="5"/>
      <c r="AW174" s="5"/>
      <c r="AX174" s="5"/>
      <c r="AY174" s="5"/>
      <c r="AZ174" s="5"/>
      <c r="BA174" s="5"/>
      <c r="BB174" s="5">
        <f t="shared" si="476"/>
        <v>0</v>
      </c>
      <c r="BD174" s="79"/>
      <c r="BE174" s="5"/>
      <c r="BF174" s="5"/>
      <c r="BG174" s="5"/>
      <c r="BH174" s="5"/>
      <c r="BI174" s="5"/>
      <c r="BJ174" s="5"/>
      <c r="BK174" s="5">
        <f t="shared" si="477"/>
        <v>0</v>
      </c>
      <c r="BM174" s="79"/>
      <c r="BN174" s="5"/>
      <c r="BO174" s="5"/>
      <c r="BP174" s="5"/>
      <c r="BQ174" s="5"/>
      <c r="BR174" s="5"/>
      <c r="BS174" s="5"/>
      <c r="BT174" s="5">
        <f t="shared" si="478"/>
        <v>0</v>
      </c>
      <c r="BV174" s="5">
        <f t="shared" si="479"/>
        <v>0</v>
      </c>
      <c r="BW174" s="5">
        <f t="shared" si="479"/>
        <v>0</v>
      </c>
      <c r="BX174" s="5">
        <f t="shared" si="479"/>
        <v>0</v>
      </c>
      <c r="BY174" s="5">
        <f t="shared" si="479"/>
        <v>0</v>
      </c>
      <c r="BZ174" s="5">
        <f t="shared" si="479"/>
        <v>0</v>
      </c>
      <c r="CA174" s="5">
        <f t="shared" si="479"/>
        <v>0</v>
      </c>
      <c r="CB174" s="5"/>
      <c r="CC174" s="5">
        <f t="shared" si="480"/>
        <v>0</v>
      </c>
    </row>
    <row r="175" spans="1:81">
      <c r="A175" s="29" t="s">
        <v>155</v>
      </c>
      <c r="B175" s="79">
        <v>1100</v>
      </c>
      <c r="C175" s="5"/>
      <c r="D175" s="5"/>
      <c r="E175" s="5"/>
      <c r="F175" s="5"/>
      <c r="G175" s="5"/>
      <c r="H175" s="5"/>
      <c r="I175" s="5">
        <f t="shared" si="471"/>
        <v>1100</v>
      </c>
      <c r="K175" s="79">
        <v>1250</v>
      </c>
      <c r="L175" s="5"/>
      <c r="M175" s="5"/>
      <c r="N175" s="5"/>
      <c r="O175" s="5"/>
      <c r="P175" s="5"/>
      <c r="Q175" s="5"/>
      <c r="R175" s="5">
        <f t="shared" si="472"/>
        <v>1250</v>
      </c>
      <c r="T175" s="79">
        <v>1250</v>
      </c>
      <c r="U175" s="5"/>
      <c r="V175" s="5"/>
      <c r="W175" s="5"/>
      <c r="X175" s="5"/>
      <c r="Y175" s="5"/>
      <c r="Z175" s="5"/>
      <c r="AA175" s="5">
        <f t="shared" si="473"/>
        <v>1250</v>
      </c>
      <c r="AC175" s="79">
        <v>2000</v>
      </c>
      <c r="AD175" s="5"/>
      <c r="AE175" s="5"/>
      <c r="AF175" s="5"/>
      <c r="AG175" s="5"/>
      <c r="AH175" s="5"/>
      <c r="AI175" s="5"/>
      <c r="AJ175" s="5">
        <f t="shared" si="474"/>
        <v>2000</v>
      </c>
      <c r="AL175" s="79">
        <v>1250</v>
      </c>
      <c r="AM175" s="5"/>
      <c r="AN175" s="5"/>
      <c r="AO175" s="5"/>
      <c r="AP175" s="5"/>
      <c r="AQ175" s="5"/>
      <c r="AR175" s="5"/>
      <c r="AS175" s="5">
        <f t="shared" si="475"/>
        <v>1250</v>
      </c>
      <c r="AU175" s="79"/>
      <c r="AV175" s="5"/>
      <c r="AW175" s="5"/>
      <c r="AX175" s="5"/>
      <c r="AY175" s="5"/>
      <c r="AZ175" s="5"/>
      <c r="BA175" s="5"/>
      <c r="BB175" s="5">
        <f t="shared" si="476"/>
        <v>0</v>
      </c>
      <c r="BD175" s="79">
        <v>1000</v>
      </c>
      <c r="BE175" s="5"/>
      <c r="BF175" s="5"/>
      <c r="BG175" s="5"/>
      <c r="BH175" s="5"/>
      <c r="BI175" s="5"/>
      <c r="BJ175" s="5"/>
      <c r="BK175" s="5">
        <f t="shared" si="477"/>
        <v>1000</v>
      </c>
      <c r="BM175" s="79"/>
      <c r="BN175" s="5"/>
      <c r="BO175" s="5"/>
      <c r="BP175" s="5"/>
      <c r="BQ175" s="5"/>
      <c r="BR175" s="5"/>
      <c r="BS175" s="5"/>
      <c r="BT175" s="5">
        <f t="shared" si="478"/>
        <v>0</v>
      </c>
      <c r="BV175" s="5">
        <f t="shared" si="479"/>
        <v>7850</v>
      </c>
      <c r="BW175" s="5">
        <f t="shared" si="479"/>
        <v>0</v>
      </c>
      <c r="BX175" s="5">
        <f t="shared" si="479"/>
        <v>0</v>
      </c>
      <c r="BY175" s="5">
        <f t="shared" si="479"/>
        <v>0</v>
      </c>
      <c r="BZ175" s="5">
        <f t="shared" si="479"/>
        <v>0</v>
      </c>
      <c r="CA175" s="5">
        <f t="shared" si="479"/>
        <v>0</v>
      </c>
      <c r="CB175" s="5"/>
      <c r="CC175" s="5">
        <f t="shared" si="480"/>
        <v>7850</v>
      </c>
    </row>
    <row r="176" spans="1:81">
      <c r="A176" s="29" t="s">
        <v>156</v>
      </c>
      <c r="B176" s="79">
        <v>6500</v>
      </c>
      <c r="C176" s="5"/>
      <c r="D176" s="5"/>
      <c r="E176" s="5"/>
      <c r="F176" s="5"/>
      <c r="G176" s="5"/>
      <c r="H176" s="5"/>
      <c r="I176" s="5">
        <f t="shared" si="471"/>
        <v>6500</v>
      </c>
      <c r="K176" s="79">
        <v>6500</v>
      </c>
      <c r="L176" s="5"/>
      <c r="M176" s="5"/>
      <c r="N176" s="5"/>
      <c r="O176" s="5"/>
      <c r="P176" s="5"/>
      <c r="Q176" s="5"/>
      <c r="R176" s="5">
        <f t="shared" si="472"/>
        <v>6500</v>
      </c>
      <c r="T176" s="79">
        <v>6500</v>
      </c>
      <c r="U176" s="5"/>
      <c r="V176" s="5"/>
      <c r="W176" s="5"/>
      <c r="X176" s="5"/>
      <c r="Y176" s="5"/>
      <c r="Z176" s="5"/>
      <c r="AA176" s="5">
        <f t="shared" si="473"/>
        <v>6500</v>
      </c>
      <c r="AC176" s="79">
        <v>6500</v>
      </c>
      <c r="AD176" s="5"/>
      <c r="AE176" s="5"/>
      <c r="AF176" s="5"/>
      <c r="AG176" s="5"/>
      <c r="AH176" s="5"/>
      <c r="AI176" s="5"/>
      <c r="AJ176" s="5">
        <f t="shared" si="474"/>
        <v>6500</v>
      </c>
      <c r="AL176" s="79">
        <v>5500</v>
      </c>
      <c r="AM176" s="5"/>
      <c r="AN176" s="5"/>
      <c r="AO176" s="5"/>
      <c r="AP176" s="5"/>
      <c r="AQ176" s="5"/>
      <c r="AR176" s="5"/>
      <c r="AS176" s="5">
        <f t="shared" si="475"/>
        <v>5500</v>
      </c>
      <c r="AU176" s="79">
        <v>6500</v>
      </c>
      <c r="AV176" s="5"/>
      <c r="AW176" s="5"/>
      <c r="AX176" s="5"/>
      <c r="AY176" s="5"/>
      <c r="AZ176" s="5"/>
      <c r="BA176" s="5"/>
      <c r="BB176" s="5">
        <f t="shared" si="476"/>
        <v>6500</v>
      </c>
      <c r="BD176" s="79">
        <v>6500</v>
      </c>
      <c r="BE176" s="5"/>
      <c r="BF176" s="5"/>
      <c r="BG176" s="5"/>
      <c r="BH176" s="5"/>
      <c r="BI176" s="5"/>
      <c r="BJ176" s="5"/>
      <c r="BK176" s="5">
        <f t="shared" si="477"/>
        <v>6500</v>
      </c>
      <c r="BM176" s="79"/>
      <c r="BN176" s="5"/>
      <c r="BO176" s="5"/>
      <c r="BP176" s="5"/>
      <c r="BQ176" s="5"/>
      <c r="BR176" s="5"/>
      <c r="BS176" s="5"/>
      <c r="BT176" s="5">
        <f t="shared" si="478"/>
        <v>0</v>
      </c>
      <c r="BV176" s="5">
        <f t="shared" si="479"/>
        <v>44500</v>
      </c>
      <c r="BW176" s="5">
        <f t="shared" si="479"/>
        <v>0</v>
      </c>
      <c r="BX176" s="5">
        <f t="shared" si="479"/>
        <v>0</v>
      </c>
      <c r="BY176" s="5">
        <f t="shared" si="479"/>
        <v>0</v>
      </c>
      <c r="BZ176" s="5">
        <f t="shared" si="479"/>
        <v>0</v>
      </c>
      <c r="CA176" s="5">
        <f t="shared" si="479"/>
        <v>0</v>
      </c>
      <c r="CB176" s="5"/>
      <c r="CC176" s="5">
        <f t="shared" si="480"/>
        <v>44500</v>
      </c>
    </row>
    <row r="177" spans="1:81">
      <c r="A177" s="29" t="s">
        <v>157</v>
      </c>
      <c r="B177" s="62">
        <v>45000</v>
      </c>
      <c r="C177" s="5"/>
      <c r="D177" s="5"/>
      <c r="E177" s="5"/>
      <c r="F177" s="5"/>
      <c r="G177" s="5"/>
      <c r="H177" s="5"/>
      <c r="I177" s="5">
        <f t="shared" si="471"/>
        <v>45000</v>
      </c>
      <c r="K177" s="62">
        <v>50000</v>
      </c>
      <c r="L177" s="5"/>
      <c r="M177" s="5"/>
      <c r="N177" s="5"/>
      <c r="O177" s="5"/>
      <c r="P177" s="5"/>
      <c r="Q177" s="5"/>
      <c r="R177" s="5">
        <f t="shared" si="472"/>
        <v>50000</v>
      </c>
      <c r="T177" s="62">
        <v>60000</v>
      </c>
      <c r="U177" s="5"/>
      <c r="V177" s="5"/>
      <c r="W177" s="5"/>
      <c r="X177" s="5"/>
      <c r="Y177" s="5"/>
      <c r="Z177" s="5"/>
      <c r="AA177" s="5">
        <f t="shared" si="473"/>
        <v>60000</v>
      </c>
      <c r="AC177" s="62">
        <v>100000</v>
      </c>
      <c r="AD177" s="5"/>
      <c r="AE177" s="5"/>
      <c r="AF177" s="5"/>
      <c r="AG177" s="5"/>
      <c r="AH177" s="5"/>
      <c r="AI177" s="5"/>
      <c r="AJ177" s="5">
        <f t="shared" si="474"/>
        <v>100000</v>
      </c>
      <c r="AL177" s="62">
        <v>100000</v>
      </c>
      <c r="AM177" s="5"/>
      <c r="AN177" s="5"/>
      <c r="AO177" s="5"/>
      <c r="AP177" s="5"/>
      <c r="AQ177" s="5"/>
      <c r="AR177" s="5"/>
      <c r="AS177" s="5">
        <f t="shared" si="475"/>
        <v>100000</v>
      </c>
      <c r="AU177" s="62"/>
      <c r="AV177" s="5"/>
      <c r="AW177" s="5"/>
      <c r="AX177" s="5"/>
      <c r="AY177" s="5"/>
      <c r="AZ177" s="5"/>
      <c r="BA177" s="5"/>
      <c r="BB177" s="5">
        <f t="shared" si="476"/>
        <v>0</v>
      </c>
      <c r="BD177" s="62">
        <v>7500</v>
      </c>
      <c r="BE177" s="5"/>
      <c r="BF177" s="5"/>
      <c r="BG177" s="5"/>
      <c r="BH177" s="5"/>
      <c r="BI177" s="5"/>
      <c r="BJ177" s="5"/>
      <c r="BK177" s="5">
        <f t="shared" si="477"/>
        <v>7500</v>
      </c>
      <c r="BM177" s="62"/>
      <c r="BN177" s="5"/>
      <c r="BO177" s="5"/>
      <c r="BP177" s="5"/>
      <c r="BQ177" s="5"/>
      <c r="BR177" s="5"/>
      <c r="BS177" s="5"/>
      <c r="BT177" s="5">
        <f t="shared" si="478"/>
        <v>0</v>
      </c>
      <c r="BV177" s="5">
        <f t="shared" si="479"/>
        <v>362500</v>
      </c>
      <c r="BW177" s="5">
        <f t="shared" si="479"/>
        <v>0</v>
      </c>
      <c r="BX177" s="5">
        <f t="shared" si="479"/>
        <v>0</v>
      </c>
      <c r="BY177" s="5">
        <f t="shared" si="479"/>
        <v>0</v>
      </c>
      <c r="BZ177" s="5">
        <f t="shared" si="479"/>
        <v>0</v>
      </c>
      <c r="CA177" s="5">
        <f t="shared" si="479"/>
        <v>0</v>
      </c>
      <c r="CB177" s="5"/>
      <c r="CC177" s="5">
        <f t="shared" si="480"/>
        <v>362500</v>
      </c>
    </row>
    <row r="178" spans="1:81">
      <c r="A178" s="78" t="s">
        <v>158</v>
      </c>
      <c r="B178" s="62">
        <v>5235</v>
      </c>
      <c r="C178" s="5"/>
      <c r="D178" s="5"/>
      <c r="E178" s="5"/>
      <c r="F178" s="5"/>
      <c r="G178" s="5"/>
      <c r="H178" s="5"/>
      <c r="I178" s="5">
        <f t="shared" si="471"/>
        <v>5235</v>
      </c>
      <c r="K178" s="62">
        <v>5910</v>
      </c>
      <c r="L178" s="5"/>
      <c r="M178" s="5"/>
      <c r="N178" s="5"/>
      <c r="O178" s="5"/>
      <c r="P178" s="5"/>
      <c r="Q178" s="5"/>
      <c r="R178" s="5">
        <f t="shared" si="472"/>
        <v>5910</v>
      </c>
      <c r="T178" s="62">
        <v>6895</v>
      </c>
      <c r="U178" s="5"/>
      <c r="V178" s="5"/>
      <c r="W178" s="5"/>
      <c r="X178" s="5"/>
      <c r="Y178" s="5"/>
      <c r="Z178" s="5"/>
      <c r="AA178" s="5">
        <f t="shared" si="473"/>
        <v>6895</v>
      </c>
      <c r="AC178" s="62">
        <v>13515</v>
      </c>
      <c r="AD178" s="5"/>
      <c r="AE178" s="5"/>
      <c r="AF178" s="5"/>
      <c r="AG178" s="5"/>
      <c r="AH178" s="5"/>
      <c r="AI178" s="5"/>
      <c r="AJ178" s="5">
        <f t="shared" si="474"/>
        <v>13515</v>
      </c>
      <c r="AL178" s="62">
        <v>13105</v>
      </c>
      <c r="AM178" s="5"/>
      <c r="AN178" s="5"/>
      <c r="AO178" s="5"/>
      <c r="AP178" s="5"/>
      <c r="AQ178" s="5"/>
      <c r="AR178" s="5"/>
      <c r="AS178" s="5">
        <f t="shared" si="475"/>
        <v>13105</v>
      </c>
      <c r="AU178" s="62">
        <v>800</v>
      </c>
      <c r="AV178" s="5"/>
      <c r="AW178" s="5"/>
      <c r="AX178" s="5"/>
      <c r="AY178" s="5"/>
      <c r="AZ178" s="5"/>
      <c r="BA178" s="5"/>
      <c r="BB178" s="5">
        <f t="shared" si="476"/>
        <v>800</v>
      </c>
      <c r="BD178" s="62">
        <v>1540</v>
      </c>
      <c r="BE178" s="5"/>
      <c r="BF178" s="5"/>
      <c r="BG178" s="5"/>
      <c r="BH178" s="5"/>
      <c r="BI178" s="5"/>
      <c r="BJ178" s="5"/>
      <c r="BK178" s="5">
        <f t="shared" si="477"/>
        <v>1540</v>
      </c>
      <c r="BM178" s="62"/>
      <c r="BN178" s="5"/>
      <c r="BO178" s="5"/>
      <c r="BP178" s="5"/>
      <c r="BQ178" s="5"/>
      <c r="BR178" s="5"/>
      <c r="BS178" s="5"/>
      <c r="BT178" s="5">
        <f t="shared" si="478"/>
        <v>0</v>
      </c>
      <c r="BV178" s="5">
        <f t="shared" si="479"/>
        <v>47000</v>
      </c>
      <c r="BW178" s="5">
        <f t="shared" si="479"/>
        <v>0</v>
      </c>
      <c r="BX178" s="5">
        <f t="shared" si="479"/>
        <v>0</v>
      </c>
      <c r="BY178" s="5">
        <f t="shared" si="479"/>
        <v>0</v>
      </c>
      <c r="BZ178" s="5">
        <f t="shared" si="479"/>
        <v>0</v>
      </c>
      <c r="CA178" s="5">
        <f t="shared" si="479"/>
        <v>0</v>
      </c>
      <c r="CB178" s="5"/>
      <c r="CC178" s="5">
        <f t="shared" si="480"/>
        <v>47000</v>
      </c>
    </row>
    <row r="179" spans="1:81">
      <c r="A179" s="81" t="s">
        <v>159</v>
      </c>
      <c r="B179" s="62"/>
      <c r="C179" s="5"/>
      <c r="D179" s="5"/>
      <c r="E179" s="5"/>
      <c r="F179" s="5"/>
      <c r="G179" s="5"/>
      <c r="H179" s="5"/>
      <c r="I179" s="5">
        <f>SUM(B179:H179)</f>
        <v>0</v>
      </c>
      <c r="K179" s="62"/>
      <c r="L179" s="5"/>
      <c r="M179" s="5"/>
      <c r="N179" s="5"/>
      <c r="O179" s="5"/>
      <c r="P179" s="5"/>
      <c r="Q179" s="5"/>
      <c r="R179" s="5">
        <f>SUM(K179:Q179)</f>
        <v>0</v>
      </c>
      <c r="T179" s="62"/>
      <c r="U179" s="5"/>
      <c r="V179" s="5"/>
      <c r="W179" s="5"/>
      <c r="X179" s="5"/>
      <c r="Y179" s="5"/>
      <c r="Z179" s="5"/>
      <c r="AA179" s="5">
        <f>SUM(T179:Z179)</f>
        <v>0</v>
      </c>
      <c r="AC179" s="62"/>
      <c r="AD179" s="5"/>
      <c r="AE179" s="5"/>
      <c r="AF179" s="5"/>
      <c r="AG179" s="5"/>
      <c r="AH179" s="5"/>
      <c r="AI179" s="5"/>
      <c r="AJ179" s="5">
        <f>SUM(AC179:AI179)</f>
        <v>0</v>
      </c>
      <c r="AL179" s="62"/>
      <c r="AM179" s="5"/>
      <c r="AN179" s="5"/>
      <c r="AO179" s="5"/>
      <c r="AP179" s="5"/>
      <c r="AQ179" s="5"/>
      <c r="AR179" s="5"/>
      <c r="AS179" s="5">
        <f>SUM(AL179:AR179)</f>
        <v>0</v>
      </c>
      <c r="AU179" s="62"/>
      <c r="AV179" s="5"/>
      <c r="AW179" s="5"/>
      <c r="AX179" s="5"/>
      <c r="AY179" s="5"/>
      <c r="AZ179" s="5"/>
      <c r="BA179" s="5"/>
      <c r="BB179" s="5">
        <f>SUM(AU179:BA179)</f>
        <v>0</v>
      </c>
      <c r="BD179" s="62"/>
      <c r="BE179" s="5"/>
      <c r="BF179" s="5"/>
      <c r="BG179" s="5"/>
      <c r="BH179" s="5"/>
      <c r="BI179" s="5"/>
      <c r="BJ179" s="5"/>
      <c r="BK179" s="5">
        <f>SUM(BD179:BJ179)</f>
        <v>0</v>
      </c>
      <c r="BM179" s="62"/>
      <c r="BN179" s="5"/>
      <c r="BO179" s="5"/>
      <c r="BP179" s="5"/>
      <c r="BQ179" s="5"/>
      <c r="BR179" s="5"/>
      <c r="BS179" s="5"/>
      <c r="BT179" s="5">
        <f>SUM(BM179:BS179)</f>
        <v>0</v>
      </c>
      <c r="BV179" s="5">
        <f t="shared" si="479"/>
        <v>0</v>
      </c>
      <c r="BW179" s="5">
        <f t="shared" si="479"/>
        <v>0</v>
      </c>
      <c r="BX179" s="5">
        <f t="shared" si="479"/>
        <v>0</v>
      </c>
      <c r="BY179" s="5">
        <f t="shared" si="479"/>
        <v>0</v>
      </c>
      <c r="BZ179" s="5">
        <f t="shared" si="479"/>
        <v>0</v>
      </c>
      <c r="CA179" s="5">
        <f t="shared" si="479"/>
        <v>0</v>
      </c>
      <c r="CB179" s="5"/>
      <c r="CC179" s="5">
        <f>SUM(BV179:CB179)</f>
        <v>0</v>
      </c>
    </row>
    <row r="180" spans="1:81">
      <c r="A180" s="29" t="s">
        <v>160</v>
      </c>
      <c r="B180" s="79"/>
      <c r="C180" s="5"/>
      <c r="D180" s="5"/>
      <c r="E180" s="5"/>
      <c r="F180" s="5"/>
      <c r="G180" s="5"/>
      <c r="H180" s="5"/>
      <c r="I180" s="5">
        <f>SUM(B180:H180)</f>
        <v>0</v>
      </c>
      <c r="K180" s="79"/>
      <c r="L180" s="5"/>
      <c r="M180" s="5"/>
      <c r="N180" s="5"/>
      <c r="O180" s="5"/>
      <c r="P180" s="5"/>
      <c r="Q180" s="5"/>
      <c r="R180" s="5">
        <f>SUM(K180:Q180)</f>
        <v>0</v>
      </c>
      <c r="T180" s="79"/>
      <c r="U180" s="5"/>
      <c r="V180" s="5"/>
      <c r="W180" s="5"/>
      <c r="X180" s="5"/>
      <c r="Y180" s="5"/>
      <c r="Z180" s="5"/>
      <c r="AA180" s="5">
        <f>SUM(T180:Z180)</f>
        <v>0</v>
      </c>
      <c r="AC180" s="79"/>
      <c r="AD180" s="5"/>
      <c r="AE180" s="5"/>
      <c r="AF180" s="5"/>
      <c r="AG180" s="5"/>
      <c r="AH180" s="5"/>
      <c r="AI180" s="5"/>
      <c r="AJ180" s="5">
        <f>SUM(AC180:AI180)</f>
        <v>0</v>
      </c>
      <c r="AL180" s="79"/>
      <c r="AM180" s="5"/>
      <c r="AN180" s="5"/>
      <c r="AO180" s="5"/>
      <c r="AP180" s="5"/>
      <c r="AQ180" s="5"/>
      <c r="AR180" s="5"/>
      <c r="AS180" s="5">
        <f>SUM(AL180:AR180)</f>
        <v>0</v>
      </c>
      <c r="AU180" s="79"/>
      <c r="AV180" s="5"/>
      <c r="AW180" s="5"/>
      <c r="AX180" s="5"/>
      <c r="AY180" s="5"/>
      <c r="AZ180" s="5"/>
      <c r="BA180" s="5"/>
      <c r="BB180" s="5">
        <f>SUM(AU180:BA180)</f>
        <v>0</v>
      </c>
      <c r="BD180" s="62"/>
      <c r="BE180" s="5"/>
      <c r="BF180" s="5"/>
      <c r="BG180" s="5"/>
      <c r="BH180" s="5"/>
      <c r="BI180" s="5"/>
      <c r="BJ180" s="5"/>
      <c r="BK180" s="5">
        <f>SUM(BD180:BJ180)</f>
        <v>0</v>
      </c>
      <c r="BM180" s="79"/>
      <c r="BN180" s="5"/>
      <c r="BO180" s="5"/>
      <c r="BP180" s="5"/>
      <c r="BQ180" s="5"/>
      <c r="BR180" s="5"/>
      <c r="BS180" s="5"/>
      <c r="BT180" s="5">
        <f>SUM(BM180:BS180)</f>
        <v>0</v>
      </c>
      <c r="BV180" s="5">
        <f t="shared" si="479"/>
        <v>0</v>
      </c>
      <c r="BW180" s="5">
        <f t="shared" si="479"/>
        <v>0</v>
      </c>
      <c r="BX180" s="5">
        <f t="shared" si="479"/>
        <v>0</v>
      </c>
      <c r="BY180" s="5">
        <f t="shared" si="479"/>
        <v>0</v>
      </c>
      <c r="BZ180" s="5">
        <f t="shared" si="479"/>
        <v>0</v>
      </c>
      <c r="CA180" s="5">
        <f t="shared" si="479"/>
        <v>0</v>
      </c>
      <c r="CB180" s="5"/>
      <c r="CC180" s="5">
        <f>SUM(BV180:CB180)</f>
        <v>0</v>
      </c>
    </row>
    <row r="181" spans="1:81">
      <c r="A181" s="78" t="s">
        <v>161</v>
      </c>
      <c r="B181" s="79">
        <v>53000</v>
      </c>
      <c r="C181" s="5"/>
      <c r="D181" s="5"/>
      <c r="E181" s="5"/>
      <c r="F181" s="5"/>
      <c r="G181" s="5"/>
      <c r="H181" s="5"/>
      <c r="I181" s="5">
        <f>SUM(B181:H181)</f>
        <v>53000</v>
      </c>
      <c r="K181" s="79">
        <v>60100</v>
      </c>
      <c r="L181" s="5"/>
      <c r="M181" s="5"/>
      <c r="N181" s="5"/>
      <c r="O181" s="5"/>
      <c r="P181" s="5"/>
      <c r="Q181" s="5"/>
      <c r="R181" s="5">
        <f>SUM(K181:Q181)</f>
        <v>60100</v>
      </c>
      <c r="T181" s="79">
        <v>70000</v>
      </c>
      <c r="U181" s="5"/>
      <c r="V181" s="5"/>
      <c r="W181" s="5"/>
      <c r="X181" s="5"/>
      <c r="Y181" s="5"/>
      <c r="Z181" s="5"/>
      <c r="AA181" s="5">
        <f>SUM(T181:Z181)</f>
        <v>70000</v>
      </c>
      <c r="AC181" s="79">
        <v>135000</v>
      </c>
      <c r="AD181" s="5"/>
      <c r="AE181" s="5"/>
      <c r="AF181" s="5"/>
      <c r="AG181" s="5"/>
      <c r="AH181" s="5"/>
      <c r="AI181" s="5"/>
      <c r="AJ181" s="5">
        <f>SUM(AC181:AI181)</f>
        <v>135000</v>
      </c>
      <c r="AL181" s="79">
        <v>115625</v>
      </c>
      <c r="AM181" s="5"/>
      <c r="AN181" s="5"/>
      <c r="AO181" s="5"/>
      <c r="AP181" s="5"/>
      <c r="AQ181" s="5"/>
      <c r="AR181" s="5"/>
      <c r="AS181" s="5">
        <f>SUM(AL181:AR181)</f>
        <v>115625</v>
      </c>
      <c r="AU181" s="79">
        <v>9000</v>
      </c>
      <c r="AV181" s="5"/>
      <c r="AW181" s="5"/>
      <c r="AX181" s="5"/>
      <c r="AY181" s="5"/>
      <c r="AZ181" s="5"/>
      <c r="BA181" s="5"/>
      <c r="BB181" s="5">
        <f>SUM(AU181:BA181)</f>
        <v>9000</v>
      </c>
      <c r="BD181" s="100">
        <v>11000</v>
      </c>
      <c r="BE181" s="5"/>
      <c r="BF181" s="5"/>
      <c r="BG181" s="5"/>
      <c r="BH181" s="5"/>
      <c r="BI181" s="5"/>
      <c r="BJ181" s="5"/>
      <c r="BK181" s="5">
        <f>SUM(BD181:BJ181)</f>
        <v>11000</v>
      </c>
      <c r="BM181" s="79"/>
      <c r="BN181" s="5"/>
      <c r="BO181" s="5"/>
      <c r="BP181" s="5"/>
      <c r="BQ181" s="5"/>
      <c r="BR181" s="5"/>
      <c r="BS181" s="5"/>
      <c r="BT181" s="5">
        <f>SUM(BM181:BS181)</f>
        <v>0</v>
      </c>
      <c r="BV181" s="5">
        <f t="shared" si="479"/>
        <v>453725</v>
      </c>
      <c r="BW181" s="5">
        <f t="shared" si="479"/>
        <v>0</v>
      </c>
      <c r="BX181" s="5">
        <f t="shared" si="479"/>
        <v>0</v>
      </c>
      <c r="BY181" s="5">
        <f t="shared" si="479"/>
        <v>0</v>
      </c>
      <c r="BZ181" s="5">
        <f t="shared" si="479"/>
        <v>0</v>
      </c>
      <c r="CA181" s="5">
        <f t="shared" si="479"/>
        <v>0</v>
      </c>
      <c r="CB181" s="5"/>
      <c r="CC181" s="5">
        <f>SUM(BV181:CB181)</f>
        <v>453725</v>
      </c>
    </row>
    <row r="182" spans="1:81">
      <c r="A182" s="81" t="s">
        <v>162</v>
      </c>
      <c r="B182" s="5"/>
      <c r="C182" s="5"/>
      <c r="D182" s="5"/>
      <c r="E182" s="5"/>
      <c r="F182" s="5"/>
      <c r="G182" s="5"/>
      <c r="H182" s="5"/>
      <c r="I182" s="5">
        <f t="shared" ref="I182:I190" si="481">SUM(B182:H182)</f>
        <v>0</v>
      </c>
      <c r="J182" s="82"/>
      <c r="K182" s="5"/>
      <c r="L182" s="5"/>
      <c r="M182" s="5">
        <v>0</v>
      </c>
      <c r="N182" s="5"/>
      <c r="O182" s="5"/>
      <c r="P182" s="5"/>
      <c r="Q182" s="5"/>
      <c r="R182" s="5">
        <f t="shared" ref="R182:R190" si="482">SUM(K182:Q182)</f>
        <v>0</v>
      </c>
      <c r="T182" s="5"/>
      <c r="U182" s="5"/>
      <c r="V182" s="5"/>
      <c r="W182" s="5"/>
      <c r="X182" s="5"/>
      <c r="Y182" s="5"/>
      <c r="Z182" s="5"/>
      <c r="AA182" s="5">
        <f t="shared" ref="AA182:AA190" si="483">SUM(T182:Z182)</f>
        <v>0</v>
      </c>
      <c r="AC182" s="5"/>
      <c r="AD182" s="5"/>
      <c r="AE182" s="5"/>
      <c r="AF182" s="5"/>
      <c r="AG182" s="5"/>
      <c r="AH182" s="5"/>
      <c r="AI182" s="5"/>
      <c r="AJ182" s="5">
        <f t="shared" ref="AJ182:AJ190" si="484">SUM(AC182:AI182)</f>
        <v>0</v>
      </c>
      <c r="AL182" s="5"/>
      <c r="AM182" s="5"/>
      <c r="AN182" s="5"/>
      <c r="AO182" s="5"/>
      <c r="AP182" s="5"/>
      <c r="AQ182" s="5"/>
      <c r="AR182" s="5"/>
      <c r="AS182" s="5">
        <f t="shared" ref="AS182:AS190" si="485">SUM(AL182:AR182)</f>
        <v>0</v>
      </c>
      <c r="AU182" s="5"/>
      <c r="AV182" s="5"/>
      <c r="AW182" s="5"/>
      <c r="AX182" s="5"/>
      <c r="AY182" s="5"/>
      <c r="AZ182" s="5"/>
      <c r="BA182" s="5"/>
      <c r="BB182" s="5">
        <f t="shared" ref="BB182:BB190" si="486">SUM(AU182:BA182)</f>
        <v>0</v>
      </c>
      <c r="BD182" s="5"/>
      <c r="BE182" s="5"/>
      <c r="BF182" s="11">
        <f>((BD17*0.93)*2.3*180)</f>
        <v>102415.32</v>
      </c>
      <c r="BG182" s="5"/>
      <c r="BH182" s="5"/>
      <c r="BI182" s="5"/>
      <c r="BJ182" s="5"/>
      <c r="BK182" s="5">
        <f t="shared" ref="BK182:BK190" si="487">SUM(BD182:BJ182)</f>
        <v>102415.32</v>
      </c>
      <c r="BM182" s="5"/>
      <c r="BN182" s="5"/>
      <c r="BO182" s="5"/>
      <c r="BP182" s="5"/>
      <c r="BQ182" s="5"/>
      <c r="BR182" s="5"/>
      <c r="BS182" s="5"/>
      <c r="BT182" s="5">
        <f t="shared" ref="BT182:BT190" si="488">SUM(BM182:BS182)</f>
        <v>0</v>
      </c>
      <c r="BV182" s="5">
        <f t="shared" si="479"/>
        <v>0</v>
      </c>
      <c r="BW182" s="5">
        <f t="shared" si="479"/>
        <v>0</v>
      </c>
      <c r="BX182" s="5">
        <f t="shared" si="479"/>
        <v>102415.32</v>
      </c>
      <c r="BY182" s="5">
        <f t="shared" si="479"/>
        <v>0</v>
      </c>
      <c r="BZ182" s="5">
        <f t="shared" si="479"/>
        <v>0</v>
      </c>
      <c r="CA182" s="5">
        <f t="shared" si="479"/>
        <v>0</v>
      </c>
      <c r="CB182" s="5"/>
      <c r="CC182" s="5">
        <f t="shared" ref="CC182:CC190" si="489">SUM(BV182:CB182)</f>
        <v>102415.32</v>
      </c>
    </row>
    <row r="183" spans="1:81">
      <c r="A183" s="29" t="s">
        <v>163</v>
      </c>
      <c r="B183" s="5"/>
      <c r="C183" s="5"/>
      <c r="D183" s="5">
        <f>((B17*0.5)*3.75*180)</f>
        <v>305437.5</v>
      </c>
      <c r="E183" s="5"/>
      <c r="F183" s="5"/>
      <c r="G183" s="5"/>
      <c r="H183" s="5"/>
      <c r="I183" s="5">
        <f t="shared" si="481"/>
        <v>305437.5</v>
      </c>
      <c r="J183" s="82"/>
      <c r="K183" s="5"/>
      <c r="L183" s="5"/>
      <c r="M183" s="11">
        <f>((K17*0.34)*3.75*180)</f>
        <v>234549.00000000003</v>
      </c>
      <c r="N183" s="5"/>
      <c r="O183" s="5"/>
      <c r="P183" s="5"/>
      <c r="Q183" s="5"/>
      <c r="R183" s="5">
        <f t="shared" si="482"/>
        <v>234549.00000000003</v>
      </c>
      <c r="T183" s="5"/>
      <c r="U183" s="5"/>
      <c r="V183" s="11">
        <f>((T17*0.165)*3.75*180)</f>
        <v>132870.375</v>
      </c>
      <c r="W183" s="5"/>
      <c r="X183" s="5"/>
      <c r="Y183" s="5"/>
      <c r="Z183" s="5"/>
      <c r="AA183" s="5">
        <f t="shared" si="483"/>
        <v>132870.375</v>
      </c>
      <c r="AC183" s="5"/>
      <c r="AD183" s="5"/>
      <c r="AE183" s="5">
        <f>((AC17*0.44)*3.75*180)</f>
        <v>694386</v>
      </c>
      <c r="AF183" s="5"/>
      <c r="AG183" s="5"/>
      <c r="AH183" s="5"/>
      <c r="AI183" s="5"/>
      <c r="AJ183" s="5">
        <f t="shared" si="484"/>
        <v>694386</v>
      </c>
      <c r="AL183" s="5"/>
      <c r="AM183" s="5"/>
      <c r="AN183" s="11">
        <f>((AL17*0.3)*3.75*180)</f>
        <v>459877.5</v>
      </c>
      <c r="AO183" s="5"/>
      <c r="AP183" s="5"/>
      <c r="AQ183" s="5"/>
      <c r="AR183" s="5"/>
      <c r="AS183" s="5">
        <f t="shared" si="485"/>
        <v>459877.5</v>
      </c>
      <c r="AU183" s="5"/>
      <c r="AV183" s="5"/>
      <c r="AW183" s="5">
        <f>((AU17*0.03)*3.75*180)</f>
        <v>2733.75</v>
      </c>
      <c r="AX183" s="5"/>
      <c r="AY183" s="5"/>
      <c r="AZ183" s="5"/>
      <c r="BA183" s="5"/>
      <c r="BB183" s="5">
        <f t="shared" si="486"/>
        <v>2733.75</v>
      </c>
      <c r="BD183" s="5"/>
      <c r="BE183" s="5"/>
      <c r="BF183" s="11">
        <f>((BD17*0.97)*3.75*180)</f>
        <v>174163.5</v>
      </c>
      <c r="BG183" s="5"/>
      <c r="BH183" s="5"/>
      <c r="BI183" s="5"/>
      <c r="BJ183" s="5"/>
      <c r="BK183" s="5">
        <f t="shared" si="487"/>
        <v>174163.5</v>
      </c>
      <c r="BM183" s="5"/>
      <c r="BN183" s="5"/>
      <c r="BO183" s="5">
        <f>((BM17*0.25)*3.75*180)</f>
        <v>0</v>
      </c>
      <c r="BP183" s="5"/>
      <c r="BQ183" s="5"/>
      <c r="BR183" s="5"/>
      <c r="BS183" s="5"/>
      <c r="BT183" s="5">
        <f t="shared" si="488"/>
        <v>0</v>
      </c>
      <c r="BV183" s="5">
        <f t="shared" si="479"/>
        <v>0</v>
      </c>
      <c r="BW183" s="5">
        <f t="shared" si="479"/>
        <v>0</v>
      </c>
      <c r="BX183" s="5">
        <f t="shared" si="479"/>
        <v>2004017.625</v>
      </c>
      <c r="BY183" s="5">
        <f t="shared" si="479"/>
        <v>0</v>
      </c>
      <c r="BZ183" s="5">
        <f t="shared" si="479"/>
        <v>0</v>
      </c>
      <c r="CA183" s="5">
        <f t="shared" si="479"/>
        <v>0</v>
      </c>
      <c r="CB183" s="5"/>
      <c r="CC183" s="5">
        <f t="shared" si="489"/>
        <v>2004017.625</v>
      </c>
    </row>
    <row r="184" spans="1:81">
      <c r="A184" s="29" t="s">
        <v>164</v>
      </c>
      <c r="B184" s="5">
        <v>7500</v>
      </c>
      <c r="C184" s="5"/>
      <c r="D184" s="5"/>
      <c r="E184" s="5"/>
      <c r="F184" s="5"/>
      <c r="G184" s="5"/>
      <c r="H184" s="5"/>
      <c r="I184" s="5">
        <f t="shared" si="481"/>
        <v>7500</v>
      </c>
      <c r="K184" s="5">
        <v>7500</v>
      </c>
      <c r="L184" s="5"/>
      <c r="M184" s="5"/>
      <c r="N184" s="5"/>
      <c r="O184" s="5"/>
      <c r="P184" s="5"/>
      <c r="Q184" s="5"/>
      <c r="R184" s="5">
        <f t="shared" si="482"/>
        <v>7500</v>
      </c>
      <c r="T184" s="5">
        <v>7500</v>
      </c>
      <c r="U184" s="5"/>
      <c r="V184" s="5"/>
      <c r="W184" s="5"/>
      <c r="X184" s="5"/>
      <c r="Y184" s="5"/>
      <c r="Z184" s="5"/>
      <c r="AA184" s="5">
        <f t="shared" si="483"/>
        <v>7500</v>
      </c>
      <c r="AC184" s="5">
        <v>10000</v>
      </c>
      <c r="AD184" s="5"/>
      <c r="AE184" s="5"/>
      <c r="AF184" s="5"/>
      <c r="AG184" s="5"/>
      <c r="AH184" s="5"/>
      <c r="AI184" s="5"/>
      <c r="AJ184" s="5">
        <f t="shared" si="484"/>
        <v>10000</v>
      </c>
      <c r="AL184" s="5">
        <v>7500</v>
      </c>
      <c r="AM184" s="5"/>
      <c r="AN184" s="5"/>
      <c r="AO184" s="5"/>
      <c r="AP184" s="5"/>
      <c r="AQ184" s="5"/>
      <c r="AR184" s="5"/>
      <c r="AS184" s="5">
        <f t="shared" si="485"/>
        <v>7500</v>
      </c>
      <c r="AU184" s="5">
        <v>15000</v>
      </c>
      <c r="AV184" s="5"/>
      <c r="AW184" s="5"/>
      <c r="AX184" s="5"/>
      <c r="AY184" s="5"/>
      <c r="AZ184" s="5"/>
      <c r="BA184" s="5"/>
      <c r="BB184" s="5">
        <f t="shared" si="486"/>
        <v>15000</v>
      </c>
      <c r="BD184" s="5">
        <v>5000</v>
      </c>
      <c r="BE184" s="5"/>
      <c r="BF184" s="5">
        <v>0</v>
      </c>
      <c r="BG184" s="5"/>
      <c r="BH184" s="5"/>
      <c r="BI184" s="5"/>
      <c r="BJ184" s="5"/>
      <c r="BK184" s="5">
        <f t="shared" si="487"/>
        <v>5000</v>
      </c>
      <c r="BM184" s="5"/>
      <c r="BN184" s="5"/>
      <c r="BO184" s="5"/>
      <c r="BP184" s="5"/>
      <c r="BQ184" s="5"/>
      <c r="BR184" s="5"/>
      <c r="BS184" s="5"/>
      <c r="BT184" s="5">
        <f t="shared" si="488"/>
        <v>0</v>
      </c>
      <c r="BV184" s="5">
        <f t="shared" si="479"/>
        <v>60000</v>
      </c>
      <c r="BW184" s="5">
        <f t="shared" si="479"/>
        <v>0</v>
      </c>
      <c r="BX184" s="5">
        <f t="shared" si="479"/>
        <v>0</v>
      </c>
      <c r="BY184" s="5">
        <f t="shared" si="479"/>
        <v>0</v>
      </c>
      <c r="BZ184" s="5">
        <f t="shared" si="479"/>
        <v>0</v>
      </c>
      <c r="CA184" s="5">
        <f t="shared" si="479"/>
        <v>0</v>
      </c>
      <c r="CB184" s="5"/>
      <c r="CC184" s="5">
        <f t="shared" si="489"/>
        <v>60000</v>
      </c>
    </row>
    <row r="185" spans="1:81">
      <c r="A185" s="29" t="s">
        <v>165</v>
      </c>
      <c r="B185" s="5">
        <v>2000</v>
      </c>
      <c r="C185" s="5"/>
      <c r="D185" s="5"/>
      <c r="E185" s="5"/>
      <c r="F185" s="5"/>
      <c r="G185" s="5"/>
      <c r="H185" s="5"/>
      <c r="I185" s="5">
        <f t="shared" si="481"/>
        <v>2000</v>
      </c>
      <c r="K185" s="5">
        <v>2000</v>
      </c>
      <c r="L185" s="5"/>
      <c r="M185" s="5"/>
      <c r="N185" s="5"/>
      <c r="O185" s="5"/>
      <c r="P185" s="5"/>
      <c r="Q185" s="5"/>
      <c r="R185" s="5">
        <f t="shared" si="482"/>
        <v>2000</v>
      </c>
      <c r="T185" s="5">
        <v>2000</v>
      </c>
      <c r="U185" s="5"/>
      <c r="V185" s="5"/>
      <c r="W185" s="5"/>
      <c r="X185" s="5"/>
      <c r="Y185" s="5"/>
      <c r="Z185" s="5"/>
      <c r="AA185" s="5">
        <f t="shared" si="483"/>
        <v>2000</v>
      </c>
      <c r="AC185" s="5">
        <v>2000</v>
      </c>
      <c r="AD185" s="5"/>
      <c r="AE185" s="5"/>
      <c r="AF185" s="5"/>
      <c r="AG185" s="5"/>
      <c r="AH185" s="5"/>
      <c r="AI185" s="5"/>
      <c r="AJ185" s="5">
        <f t="shared" si="484"/>
        <v>2000</v>
      </c>
      <c r="AL185" s="5">
        <v>2500</v>
      </c>
      <c r="AM185" s="5"/>
      <c r="AN185" s="5"/>
      <c r="AO185" s="5"/>
      <c r="AP185" s="5"/>
      <c r="AQ185" s="5"/>
      <c r="AR185" s="5"/>
      <c r="AS185" s="5">
        <f t="shared" si="485"/>
        <v>2500</v>
      </c>
      <c r="AU185" s="5">
        <v>1200</v>
      </c>
      <c r="AV185" s="5"/>
      <c r="AW185" s="5"/>
      <c r="AX185" s="5"/>
      <c r="AY185" s="5"/>
      <c r="AZ185" s="5"/>
      <c r="BA185" s="5"/>
      <c r="BB185" s="5">
        <f t="shared" si="486"/>
        <v>1200</v>
      </c>
      <c r="BD185" s="5">
        <v>1000</v>
      </c>
      <c r="BE185" s="5"/>
      <c r="BF185" s="5"/>
      <c r="BG185" s="5"/>
      <c r="BH185" s="5"/>
      <c r="BI185" s="5"/>
      <c r="BJ185" s="5"/>
      <c r="BK185" s="5">
        <f t="shared" si="487"/>
        <v>1000</v>
      </c>
      <c r="BM185" s="5">
        <v>2500</v>
      </c>
      <c r="BN185" s="5"/>
      <c r="BO185" s="5"/>
      <c r="BP185" s="5"/>
      <c r="BQ185" s="5"/>
      <c r="BR185" s="5"/>
      <c r="BS185" s="5"/>
      <c r="BT185" s="5">
        <f t="shared" si="488"/>
        <v>2500</v>
      </c>
      <c r="BV185" s="5">
        <f t="shared" si="479"/>
        <v>15200</v>
      </c>
      <c r="BW185" s="5">
        <f t="shared" si="479"/>
        <v>0</v>
      </c>
      <c r="BX185" s="5">
        <f t="shared" si="479"/>
        <v>0</v>
      </c>
      <c r="BY185" s="5">
        <f t="shared" si="479"/>
        <v>0</v>
      </c>
      <c r="BZ185" s="5">
        <f t="shared" si="479"/>
        <v>0</v>
      </c>
      <c r="CA185" s="5">
        <f t="shared" si="479"/>
        <v>0</v>
      </c>
      <c r="CB185" s="5"/>
      <c r="CC185" s="5">
        <f t="shared" si="489"/>
        <v>15200</v>
      </c>
    </row>
    <row r="186" spans="1:81">
      <c r="A186" s="29" t="s">
        <v>166</v>
      </c>
      <c r="B186" s="5">
        <v>1250</v>
      </c>
      <c r="C186" s="5">
        <v>0</v>
      </c>
      <c r="D186" s="5">
        <v>0</v>
      </c>
      <c r="E186" s="5"/>
      <c r="F186" s="5">
        <v>0</v>
      </c>
      <c r="G186" s="5">
        <v>0</v>
      </c>
      <c r="H186" s="5">
        <v>0</v>
      </c>
      <c r="I186" s="5">
        <f t="shared" si="481"/>
        <v>1250</v>
      </c>
      <c r="K186" s="5">
        <v>1500</v>
      </c>
      <c r="L186" s="5">
        <v>0</v>
      </c>
      <c r="M186" s="5">
        <v>0</v>
      </c>
      <c r="N186" s="5"/>
      <c r="O186" s="5">
        <v>0</v>
      </c>
      <c r="P186" s="5">
        <v>0</v>
      </c>
      <c r="Q186" s="5">
        <v>0</v>
      </c>
      <c r="R186" s="5">
        <f t="shared" si="482"/>
        <v>1500</v>
      </c>
      <c r="T186" s="5">
        <v>1500</v>
      </c>
      <c r="U186" s="5"/>
      <c r="V186" s="5"/>
      <c r="W186" s="5"/>
      <c r="X186" s="5">
        <v>0</v>
      </c>
      <c r="Y186" s="5">
        <v>0</v>
      </c>
      <c r="Z186" s="5">
        <v>0</v>
      </c>
      <c r="AA186" s="5">
        <f t="shared" si="483"/>
        <v>1500</v>
      </c>
      <c r="AC186" s="5">
        <v>5000</v>
      </c>
      <c r="AD186" s="5">
        <v>0</v>
      </c>
      <c r="AE186" s="5">
        <v>0</v>
      </c>
      <c r="AF186" s="5"/>
      <c r="AG186" s="5">
        <v>0</v>
      </c>
      <c r="AH186" s="5">
        <v>0</v>
      </c>
      <c r="AI186" s="5">
        <v>0</v>
      </c>
      <c r="AJ186" s="5">
        <f t="shared" si="484"/>
        <v>5000</v>
      </c>
      <c r="AL186" s="5">
        <v>2500</v>
      </c>
      <c r="AM186" s="5">
        <v>0</v>
      </c>
      <c r="AN186" s="5">
        <v>0</v>
      </c>
      <c r="AO186" s="5"/>
      <c r="AP186" s="5">
        <v>0</v>
      </c>
      <c r="AQ186" s="5">
        <v>0</v>
      </c>
      <c r="AR186" s="5">
        <v>0</v>
      </c>
      <c r="AS186" s="5">
        <f t="shared" si="485"/>
        <v>2500</v>
      </c>
      <c r="AU186" s="5">
        <v>500</v>
      </c>
      <c r="AV186" s="5">
        <v>0</v>
      </c>
      <c r="AW186" s="5">
        <v>0</v>
      </c>
      <c r="AX186" s="5"/>
      <c r="AY186" s="5">
        <v>0</v>
      </c>
      <c r="AZ186" s="5">
        <v>0</v>
      </c>
      <c r="BA186" s="5">
        <v>0</v>
      </c>
      <c r="BB186" s="5">
        <f t="shared" si="486"/>
        <v>500</v>
      </c>
      <c r="BD186" s="5">
        <v>800</v>
      </c>
      <c r="BE186" s="5">
        <v>0</v>
      </c>
      <c r="BF186" s="5">
        <v>0</v>
      </c>
      <c r="BG186" s="5"/>
      <c r="BH186" s="5">
        <v>0</v>
      </c>
      <c r="BI186" s="5">
        <v>0</v>
      </c>
      <c r="BJ186" s="5">
        <v>0</v>
      </c>
      <c r="BK186" s="5">
        <f t="shared" si="487"/>
        <v>800</v>
      </c>
      <c r="BM186" s="5"/>
      <c r="BN186" s="5">
        <v>0</v>
      </c>
      <c r="BO186" s="5">
        <v>0</v>
      </c>
      <c r="BP186" s="5"/>
      <c r="BQ186" s="5">
        <v>0</v>
      </c>
      <c r="BR186" s="5">
        <v>0</v>
      </c>
      <c r="BS186" s="5">
        <v>0</v>
      </c>
      <c r="BT186" s="5">
        <f t="shared" si="488"/>
        <v>0</v>
      </c>
      <c r="BV186" s="5">
        <f t="shared" si="479"/>
        <v>13050</v>
      </c>
      <c r="BW186" s="5">
        <f t="shared" si="479"/>
        <v>0</v>
      </c>
      <c r="BX186" s="5">
        <f t="shared" si="479"/>
        <v>0</v>
      </c>
      <c r="BY186" s="5">
        <f t="shared" si="479"/>
        <v>0</v>
      </c>
      <c r="BZ186" s="5">
        <f t="shared" si="479"/>
        <v>0</v>
      </c>
      <c r="CA186" s="5">
        <f t="shared" si="479"/>
        <v>0</v>
      </c>
      <c r="CB186" s="5">
        <v>0</v>
      </c>
      <c r="CC186" s="5">
        <f t="shared" si="489"/>
        <v>13050</v>
      </c>
    </row>
    <row r="187" spans="1:81">
      <c r="A187" s="29" t="s">
        <v>167</v>
      </c>
      <c r="B187" s="11">
        <f>(5*B17)+2000+3000+2000+2500</f>
        <v>14025</v>
      </c>
      <c r="C187" s="5"/>
      <c r="D187" s="5"/>
      <c r="E187" s="5"/>
      <c r="F187" s="5"/>
      <c r="G187" s="5"/>
      <c r="H187" s="5"/>
      <c r="I187" s="5">
        <f t="shared" si="481"/>
        <v>14025</v>
      </c>
      <c r="K187" s="11">
        <f>(5*K17)+1200+2000+3000+2500</f>
        <v>13810</v>
      </c>
      <c r="L187" s="5"/>
      <c r="M187" s="5"/>
      <c r="N187" s="5"/>
      <c r="O187" s="5"/>
      <c r="P187" s="5"/>
      <c r="Q187" s="5"/>
      <c r="R187" s="5">
        <f t="shared" si="482"/>
        <v>13810</v>
      </c>
      <c r="T187" s="11">
        <f>(5*T17)+2000+3000+2000+1500</f>
        <v>14465</v>
      </c>
      <c r="U187" s="5"/>
      <c r="V187" s="5"/>
      <c r="W187" s="5"/>
      <c r="X187" s="5"/>
      <c r="Y187" s="5"/>
      <c r="Z187" s="5"/>
      <c r="AA187" s="5">
        <f t="shared" si="483"/>
        <v>14465</v>
      </c>
      <c r="AC187" s="11">
        <f>(5*AC17)+3000+5000+2000+2000+2500</f>
        <v>26190</v>
      </c>
      <c r="AD187" s="5"/>
      <c r="AE187" s="5"/>
      <c r="AF187" s="5"/>
      <c r="AG187" s="5"/>
      <c r="AH187" s="5"/>
      <c r="AI187" s="5"/>
      <c r="AJ187" s="5">
        <f t="shared" si="484"/>
        <v>26190</v>
      </c>
      <c r="AL187" s="11">
        <f>(5*AL17)+3000+3000+2000+1500</f>
        <v>20855</v>
      </c>
      <c r="AM187" s="5"/>
      <c r="AN187" s="5"/>
      <c r="AO187" s="5"/>
      <c r="AP187" s="5"/>
      <c r="AQ187" s="5"/>
      <c r="AR187" s="5"/>
      <c r="AS187" s="5">
        <f t="shared" si="485"/>
        <v>20855</v>
      </c>
      <c r="AU187" s="11">
        <f>(5*AU17)+1200</f>
        <v>1875</v>
      </c>
      <c r="AV187" s="5"/>
      <c r="AW187" s="5"/>
      <c r="AX187" s="5"/>
      <c r="AY187" s="5"/>
      <c r="AZ187" s="5"/>
      <c r="BA187" s="5"/>
      <c r="BB187" s="5">
        <f t="shared" si="486"/>
        <v>1875</v>
      </c>
      <c r="BD187" s="11">
        <f>(5*BD17)+1200+1500</f>
        <v>4030</v>
      </c>
      <c r="BE187" s="5"/>
      <c r="BF187" s="5"/>
      <c r="BG187" s="5"/>
      <c r="BH187" s="5"/>
      <c r="BI187" s="5"/>
      <c r="BJ187" s="5"/>
      <c r="BK187" s="5">
        <f t="shared" si="487"/>
        <v>4030</v>
      </c>
      <c r="BM187" s="11"/>
      <c r="BN187" s="5"/>
      <c r="BO187" s="5"/>
      <c r="BP187" s="5"/>
      <c r="BQ187" s="5"/>
      <c r="BR187" s="5"/>
      <c r="BS187" s="5"/>
      <c r="BT187" s="5">
        <f t="shared" si="488"/>
        <v>0</v>
      </c>
      <c r="BV187" s="5">
        <f t="shared" si="479"/>
        <v>95250</v>
      </c>
      <c r="BW187" s="5">
        <f t="shared" si="479"/>
        <v>0</v>
      </c>
      <c r="BX187" s="5">
        <f t="shared" si="479"/>
        <v>0</v>
      </c>
      <c r="BY187" s="5">
        <f t="shared" si="479"/>
        <v>0</v>
      </c>
      <c r="BZ187" s="5">
        <f t="shared" si="479"/>
        <v>0</v>
      </c>
      <c r="CA187" s="5">
        <f t="shared" si="479"/>
        <v>0</v>
      </c>
      <c r="CB187" s="5"/>
      <c r="CC187" s="5">
        <f t="shared" si="489"/>
        <v>95250</v>
      </c>
    </row>
    <row r="188" spans="1:81">
      <c r="A188" s="29" t="s">
        <v>168</v>
      </c>
      <c r="B188" s="11"/>
      <c r="C188" s="5"/>
      <c r="D188" s="5"/>
      <c r="E188" s="5"/>
      <c r="F188" s="5"/>
      <c r="G188" s="5"/>
      <c r="H188" s="5"/>
      <c r="I188" s="5">
        <f t="shared" si="481"/>
        <v>0</v>
      </c>
      <c r="K188" s="11"/>
      <c r="L188" s="5"/>
      <c r="M188" s="5"/>
      <c r="N188" s="5"/>
      <c r="O188" s="5"/>
      <c r="P188" s="5"/>
      <c r="Q188" s="5"/>
      <c r="R188" s="5">
        <f t="shared" si="482"/>
        <v>0</v>
      </c>
      <c r="T188" s="11"/>
      <c r="U188" s="5"/>
      <c r="V188" s="5"/>
      <c r="W188" s="5"/>
      <c r="X188" s="5"/>
      <c r="Y188" s="5"/>
      <c r="Z188" s="5"/>
      <c r="AA188" s="5">
        <f t="shared" si="483"/>
        <v>0</v>
      </c>
      <c r="AC188" s="11"/>
      <c r="AD188" s="5"/>
      <c r="AE188" s="5"/>
      <c r="AF188" s="5"/>
      <c r="AG188" s="5"/>
      <c r="AH188" s="5"/>
      <c r="AI188" s="5"/>
      <c r="AJ188" s="5">
        <f t="shared" si="484"/>
        <v>0</v>
      </c>
      <c r="AL188" s="11"/>
      <c r="AM188" s="5"/>
      <c r="AN188" s="5"/>
      <c r="AO188" s="5"/>
      <c r="AP188" s="5"/>
      <c r="AQ188" s="5"/>
      <c r="AR188" s="5"/>
      <c r="AS188" s="5">
        <f t="shared" si="485"/>
        <v>0</v>
      </c>
      <c r="AU188" s="11"/>
      <c r="AV188" s="5"/>
      <c r="AW188" s="5"/>
      <c r="AX188" s="5"/>
      <c r="AY188" s="5"/>
      <c r="AZ188" s="5"/>
      <c r="BA188" s="5"/>
      <c r="BB188" s="5">
        <f t="shared" si="486"/>
        <v>0</v>
      </c>
      <c r="BD188" s="11"/>
      <c r="BE188" s="5"/>
      <c r="BF188" s="5"/>
      <c r="BG188" s="5"/>
      <c r="BH188" s="5"/>
      <c r="BI188" s="5"/>
      <c r="BJ188" s="5"/>
      <c r="BK188" s="5">
        <f t="shared" si="487"/>
        <v>0</v>
      </c>
      <c r="BM188" s="11"/>
      <c r="BN188" s="5"/>
      <c r="BO188" s="5"/>
      <c r="BP188" s="5"/>
      <c r="BQ188" s="5"/>
      <c r="BR188" s="5"/>
      <c r="BS188" s="5"/>
      <c r="BT188" s="5">
        <f t="shared" si="488"/>
        <v>0</v>
      </c>
      <c r="BV188" s="5">
        <f t="shared" ref="BV188:CA196" si="490">B188+K188+T188+AC188+AL188+AU188+BD188+BM188</f>
        <v>0</v>
      </c>
      <c r="BW188" s="5">
        <f t="shared" si="490"/>
        <v>0</v>
      </c>
      <c r="BX188" s="5">
        <f t="shared" si="490"/>
        <v>0</v>
      </c>
      <c r="BY188" s="5">
        <f t="shared" si="490"/>
        <v>0</v>
      </c>
      <c r="BZ188" s="5">
        <f t="shared" si="490"/>
        <v>0</v>
      </c>
      <c r="CA188" s="5">
        <f t="shared" si="490"/>
        <v>0</v>
      </c>
      <c r="CB188" s="5"/>
      <c r="CC188" s="5">
        <f t="shared" si="489"/>
        <v>0</v>
      </c>
    </row>
    <row r="189" spans="1:81">
      <c r="A189" s="29" t="s">
        <v>169</v>
      </c>
      <c r="B189" s="5"/>
      <c r="C189" s="5"/>
      <c r="D189" s="5"/>
      <c r="E189" s="5"/>
      <c r="F189" s="5"/>
      <c r="G189" s="5"/>
      <c r="H189" s="5"/>
      <c r="I189" s="5">
        <f t="shared" si="481"/>
        <v>0</v>
      </c>
      <c r="K189" s="5"/>
      <c r="L189" s="5"/>
      <c r="M189" s="5"/>
      <c r="N189" s="5"/>
      <c r="O189" s="5"/>
      <c r="P189" s="5"/>
      <c r="Q189" s="5"/>
      <c r="R189" s="5">
        <f t="shared" si="482"/>
        <v>0</v>
      </c>
      <c r="T189" s="5"/>
      <c r="U189" s="5"/>
      <c r="V189" s="5"/>
      <c r="W189" s="5"/>
      <c r="X189" s="5"/>
      <c r="Y189" s="5"/>
      <c r="Z189" s="5"/>
      <c r="AA189" s="5">
        <f t="shared" si="483"/>
        <v>0</v>
      </c>
      <c r="AC189" s="5">
        <v>30000</v>
      </c>
      <c r="AD189" s="5"/>
      <c r="AE189" s="5"/>
      <c r="AF189" s="5"/>
      <c r="AG189" s="5"/>
      <c r="AH189" s="5"/>
      <c r="AI189" s="5"/>
      <c r="AJ189" s="5">
        <f t="shared" si="484"/>
        <v>30000</v>
      </c>
      <c r="AL189" s="5">
        <v>30000</v>
      </c>
      <c r="AM189" s="5"/>
      <c r="AN189" s="5"/>
      <c r="AO189" s="5"/>
      <c r="AP189" s="5"/>
      <c r="AQ189" s="5"/>
      <c r="AR189" s="5"/>
      <c r="AS189" s="5">
        <f t="shared" si="485"/>
        <v>30000</v>
      </c>
      <c r="AU189" s="5"/>
      <c r="AV189" s="5"/>
      <c r="AW189" s="5"/>
      <c r="AX189" s="5"/>
      <c r="AY189" s="5"/>
      <c r="AZ189" s="5"/>
      <c r="BA189" s="5"/>
      <c r="BB189" s="5">
        <f t="shared" si="486"/>
        <v>0</v>
      </c>
      <c r="BD189" s="5"/>
      <c r="BE189" s="5"/>
      <c r="BF189" s="5"/>
      <c r="BG189" s="5"/>
      <c r="BH189" s="5"/>
      <c r="BI189" s="5"/>
      <c r="BJ189" s="5"/>
      <c r="BK189" s="5">
        <f t="shared" si="487"/>
        <v>0</v>
      </c>
      <c r="BM189" s="5"/>
      <c r="BN189" s="5"/>
      <c r="BO189" s="5"/>
      <c r="BP189" s="5"/>
      <c r="BQ189" s="5"/>
      <c r="BR189" s="5"/>
      <c r="BS189" s="5"/>
      <c r="BT189" s="5">
        <f t="shared" si="488"/>
        <v>0</v>
      </c>
      <c r="BV189" s="5">
        <f t="shared" si="490"/>
        <v>60000</v>
      </c>
      <c r="BW189" s="5">
        <f t="shared" si="490"/>
        <v>0</v>
      </c>
      <c r="BX189" s="5">
        <f t="shared" si="490"/>
        <v>0</v>
      </c>
      <c r="BY189" s="5">
        <f t="shared" si="490"/>
        <v>0</v>
      </c>
      <c r="BZ189" s="5">
        <f t="shared" si="490"/>
        <v>0</v>
      </c>
      <c r="CA189" s="5">
        <f t="shared" si="490"/>
        <v>0</v>
      </c>
      <c r="CB189" s="5"/>
      <c r="CC189" s="5">
        <f t="shared" si="489"/>
        <v>60000</v>
      </c>
    </row>
    <row r="190" spans="1:81">
      <c r="A190" s="29" t="s">
        <v>170</v>
      </c>
      <c r="B190" s="11">
        <v>0</v>
      </c>
      <c r="C190" s="5"/>
      <c r="D190" s="5"/>
      <c r="E190" s="5"/>
      <c r="F190" s="5"/>
      <c r="G190" s="5"/>
      <c r="H190" s="5"/>
      <c r="I190" s="5">
        <f t="shared" si="481"/>
        <v>0</v>
      </c>
      <c r="K190" s="11">
        <v>0</v>
      </c>
      <c r="L190" s="5"/>
      <c r="M190" s="5"/>
      <c r="N190" s="5"/>
      <c r="O190" s="5"/>
      <c r="P190" s="5"/>
      <c r="Q190" s="5"/>
      <c r="R190" s="5">
        <f t="shared" si="482"/>
        <v>0</v>
      </c>
      <c r="T190" s="11">
        <v>0</v>
      </c>
      <c r="U190" s="5"/>
      <c r="V190" s="5"/>
      <c r="W190" s="5"/>
      <c r="X190" s="5"/>
      <c r="Y190" s="5"/>
      <c r="Z190" s="5"/>
      <c r="AA190" s="5">
        <f t="shared" si="483"/>
        <v>0</v>
      </c>
      <c r="AC190" s="11">
        <v>0</v>
      </c>
      <c r="AD190" s="5"/>
      <c r="AE190" s="5"/>
      <c r="AF190" s="5"/>
      <c r="AG190" s="5"/>
      <c r="AH190" s="5"/>
      <c r="AI190" s="5"/>
      <c r="AJ190" s="5">
        <f t="shared" si="484"/>
        <v>0</v>
      </c>
      <c r="AL190" s="11">
        <v>0</v>
      </c>
      <c r="AM190" s="5"/>
      <c r="AN190" s="5"/>
      <c r="AO190" s="5"/>
      <c r="AP190" s="5"/>
      <c r="AQ190" s="5"/>
      <c r="AR190" s="5"/>
      <c r="AS190" s="5">
        <f t="shared" si="485"/>
        <v>0</v>
      </c>
      <c r="AU190" s="11">
        <v>0</v>
      </c>
      <c r="AV190" s="5"/>
      <c r="AW190" s="5"/>
      <c r="AX190" s="5"/>
      <c r="AY190" s="5"/>
      <c r="AZ190" s="5"/>
      <c r="BA190" s="5"/>
      <c r="BB190" s="5">
        <f t="shared" si="486"/>
        <v>0</v>
      </c>
      <c r="BD190" s="11">
        <v>0</v>
      </c>
      <c r="BE190" s="5"/>
      <c r="BF190" s="5"/>
      <c r="BG190" s="5"/>
      <c r="BH190" s="5"/>
      <c r="BI190" s="5"/>
      <c r="BJ190" s="5"/>
      <c r="BK190" s="5">
        <f t="shared" si="487"/>
        <v>0</v>
      </c>
      <c r="BM190" s="11"/>
      <c r="BN190" s="5"/>
      <c r="BO190" s="5"/>
      <c r="BP190" s="5"/>
      <c r="BQ190" s="5"/>
      <c r="BR190" s="5"/>
      <c r="BS190" s="5"/>
      <c r="BT190" s="5">
        <f t="shared" si="488"/>
        <v>0</v>
      </c>
      <c r="BV190" s="5">
        <f t="shared" si="490"/>
        <v>0</v>
      </c>
      <c r="BW190" s="5">
        <f t="shared" si="490"/>
        <v>0</v>
      </c>
      <c r="BX190" s="5">
        <f t="shared" si="490"/>
        <v>0</v>
      </c>
      <c r="BY190" s="5">
        <f t="shared" si="490"/>
        <v>0</v>
      </c>
      <c r="BZ190" s="5">
        <f t="shared" si="490"/>
        <v>0</v>
      </c>
      <c r="CA190" s="5">
        <f t="shared" si="490"/>
        <v>0</v>
      </c>
      <c r="CB190" s="5"/>
      <c r="CC190" s="5">
        <f t="shared" si="489"/>
        <v>0</v>
      </c>
    </row>
    <row r="191" spans="1:81">
      <c r="A191" s="29" t="s">
        <v>171</v>
      </c>
      <c r="B191" s="11">
        <v>0</v>
      </c>
      <c r="C191" s="11"/>
      <c r="D191" s="11"/>
      <c r="E191" s="11"/>
      <c r="F191" s="11"/>
      <c r="G191" s="11"/>
      <c r="H191" s="11"/>
      <c r="I191" s="5">
        <f>SUM(B191:H191)</f>
        <v>0</v>
      </c>
      <c r="K191" s="11">
        <v>0</v>
      </c>
      <c r="L191" s="11"/>
      <c r="M191" s="11"/>
      <c r="N191" s="11"/>
      <c r="O191" s="11"/>
      <c r="P191" s="11"/>
      <c r="Q191" s="11"/>
      <c r="R191" s="5">
        <f>SUM(K191:Q191)</f>
        <v>0</v>
      </c>
      <c r="T191" s="11">
        <v>0</v>
      </c>
      <c r="U191" s="11"/>
      <c r="V191" s="11"/>
      <c r="W191" s="11"/>
      <c r="X191" s="11"/>
      <c r="Y191" s="11"/>
      <c r="Z191" s="11"/>
      <c r="AA191" s="5">
        <f>SUM(T191:Z191)</f>
        <v>0</v>
      </c>
      <c r="AC191" s="11">
        <v>120000</v>
      </c>
      <c r="AD191" s="11"/>
      <c r="AE191" s="11"/>
      <c r="AF191" s="11"/>
      <c r="AG191" s="11"/>
      <c r="AH191" s="11"/>
      <c r="AI191" s="11"/>
      <c r="AJ191" s="5">
        <f>SUM(AC191:AI191)</f>
        <v>120000</v>
      </c>
      <c r="AL191" s="11">
        <f>65000</f>
        <v>65000</v>
      </c>
      <c r="AM191" s="11"/>
      <c r="AN191" s="11"/>
      <c r="AO191" s="11"/>
      <c r="AP191" s="11"/>
      <c r="AQ191" s="11"/>
      <c r="AR191" s="11"/>
      <c r="AS191" s="5">
        <f>SUM(AL191:AR191)</f>
        <v>65000</v>
      </c>
      <c r="AU191" s="11"/>
      <c r="AV191" s="11"/>
      <c r="AW191" s="11"/>
      <c r="AX191" s="11"/>
      <c r="AY191" s="11"/>
      <c r="AZ191" s="11"/>
      <c r="BA191" s="11"/>
      <c r="BB191" s="5">
        <f>SUM(AU191:BA191)</f>
        <v>0</v>
      </c>
      <c r="BD191" s="11">
        <v>0</v>
      </c>
      <c r="BE191" s="11"/>
      <c r="BF191" s="11"/>
      <c r="BG191" s="11"/>
      <c r="BH191" s="11"/>
      <c r="BI191" s="11"/>
      <c r="BJ191" s="11"/>
      <c r="BK191" s="5">
        <f>SUM(BD191:BJ191)</f>
        <v>0</v>
      </c>
      <c r="BM191" s="11"/>
      <c r="BN191" s="11"/>
      <c r="BO191" s="11"/>
      <c r="BP191" s="11"/>
      <c r="BQ191" s="11"/>
      <c r="BR191" s="11"/>
      <c r="BS191" s="11"/>
      <c r="BT191" s="5">
        <f>SUM(BM191:BS191)</f>
        <v>0</v>
      </c>
      <c r="BV191" s="5">
        <f t="shared" si="490"/>
        <v>185000</v>
      </c>
      <c r="BW191" s="5">
        <f t="shared" si="490"/>
        <v>0</v>
      </c>
      <c r="BX191" s="5">
        <f t="shared" si="490"/>
        <v>0</v>
      </c>
      <c r="BY191" s="5">
        <f t="shared" si="490"/>
        <v>0</v>
      </c>
      <c r="BZ191" s="5">
        <f t="shared" si="490"/>
        <v>0</v>
      </c>
      <c r="CA191" s="5">
        <f t="shared" si="490"/>
        <v>0</v>
      </c>
      <c r="CB191" s="11"/>
      <c r="CC191" s="5">
        <f>SUM(BV191:CB191)</f>
        <v>185000</v>
      </c>
    </row>
    <row r="192" spans="1:81">
      <c r="A192" s="29" t="s">
        <v>172</v>
      </c>
      <c r="B192" s="11"/>
      <c r="C192" s="5"/>
      <c r="D192" s="5"/>
      <c r="E192" s="5"/>
      <c r="F192" s="5"/>
      <c r="G192" s="5"/>
      <c r="H192" s="5"/>
      <c r="I192" s="5">
        <f t="shared" ref="I192:I196" si="491">SUM(B192:H192)</f>
        <v>0</v>
      </c>
      <c r="K192" s="11"/>
      <c r="L192" s="5"/>
      <c r="M192" s="5"/>
      <c r="N192" s="5"/>
      <c r="O192" s="5"/>
      <c r="P192" s="5"/>
      <c r="Q192" s="5"/>
      <c r="R192" s="5">
        <f t="shared" ref="R192:R196" si="492">SUM(K192:Q192)</f>
        <v>0</v>
      </c>
      <c r="T192" s="11"/>
      <c r="U192" s="5"/>
      <c r="V192" s="5"/>
      <c r="W192" s="5"/>
      <c r="X192" s="5"/>
      <c r="Y192" s="5"/>
      <c r="Z192" s="5"/>
      <c r="AA192" s="5">
        <f t="shared" ref="AA192:AA196" si="493">SUM(T192:Z192)</f>
        <v>0</v>
      </c>
      <c r="AC192" s="11"/>
      <c r="AD192" s="5"/>
      <c r="AE192" s="5"/>
      <c r="AF192" s="5"/>
      <c r="AG192" s="5"/>
      <c r="AH192" s="5"/>
      <c r="AI192" s="5"/>
      <c r="AJ192" s="5">
        <f t="shared" ref="AJ192:AJ196" si="494">SUM(AC192:AI192)</f>
        <v>0</v>
      </c>
      <c r="AL192" s="11"/>
      <c r="AM192" s="5"/>
      <c r="AN192" s="5"/>
      <c r="AO192" s="5"/>
      <c r="AP192" s="5"/>
      <c r="AQ192" s="5"/>
      <c r="AR192" s="5"/>
      <c r="AS192" s="5">
        <f t="shared" ref="AS192:AS196" si="495">SUM(AL192:AR192)</f>
        <v>0</v>
      </c>
      <c r="AU192" s="11"/>
      <c r="AV192" s="5"/>
      <c r="AW192" s="5"/>
      <c r="AX192" s="5"/>
      <c r="AY192" s="5"/>
      <c r="AZ192" s="5"/>
      <c r="BA192" s="5"/>
      <c r="BB192" s="5">
        <f t="shared" ref="BB192:BB196" si="496">SUM(AU192:BA192)</f>
        <v>0</v>
      </c>
      <c r="BD192" s="11"/>
      <c r="BE192" s="5"/>
      <c r="BF192" s="5"/>
      <c r="BG192" s="5"/>
      <c r="BH192" s="5"/>
      <c r="BI192" s="5"/>
      <c r="BJ192" s="5"/>
      <c r="BK192" s="5">
        <f t="shared" ref="BK192:BK196" si="497">SUM(BD192:BJ192)</f>
        <v>0</v>
      </c>
      <c r="BM192" s="11"/>
      <c r="BN192" s="5"/>
      <c r="BO192" s="5"/>
      <c r="BP192" s="5"/>
      <c r="BQ192" s="5"/>
      <c r="BR192" s="5"/>
      <c r="BS192" s="5"/>
      <c r="BT192" s="5">
        <f t="shared" ref="BT192:BT196" si="498">SUM(BM192:BS192)</f>
        <v>0</v>
      </c>
      <c r="BV192" s="5">
        <f t="shared" si="490"/>
        <v>0</v>
      </c>
      <c r="BW192" s="5">
        <f t="shared" si="490"/>
        <v>0</v>
      </c>
      <c r="BX192" s="5">
        <f t="shared" si="490"/>
        <v>0</v>
      </c>
      <c r="BY192" s="5">
        <f t="shared" si="490"/>
        <v>0</v>
      </c>
      <c r="BZ192" s="5">
        <f t="shared" si="490"/>
        <v>0</v>
      </c>
      <c r="CA192" s="5">
        <f t="shared" si="490"/>
        <v>0</v>
      </c>
      <c r="CB192" s="5"/>
      <c r="CC192" s="5">
        <f t="shared" ref="CC192:CC196" si="499">SUM(BV192:CB192)</f>
        <v>0</v>
      </c>
    </row>
    <row r="193" spans="1:81">
      <c r="A193" s="29" t="s">
        <v>173</v>
      </c>
      <c r="B193" s="11">
        <v>0</v>
      </c>
      <c r="C193" s="5"/>
      <c r="D193" s="5"/>
      <c r="E193" s="5"/>
      <c r="F193" s="5"/>
      <c r="G193" s="5"/>
      <c r="H193" s="5"/>
      <c r="I193" s="5">
        <f t="shared" si="491"/>
        <v>0</v>
      </c>
      <c r="K193" s="11">
        <v>0</v>
      </c>
      <c r="L193" s="5"/>
      <c r="M193" s="5"/>
      <c r="N193" s="5"/>
      <c r="O193" s="5"/>
      <c r="P193" s="5"/>
      <c r="Q193" s="5"/>
      <c r="R193" s="5">
        <f t="shared" si="492"/>
        <v>0</v>
      </c>
      <c r="T193" s="11">
        <v>0</v>
      </c>
      <c r="U193" s="5"/>
      <c r="V193" s="5"/>
      <c r="W193" s="5"/>
      <c r="X193" s="5"/>
      <c r="Y193" s="5"/>
      <c r="Z193" s="5"/>
      <c r="AA193" s="5">
        <f t="shared" si="493"/>
        <v>0</v>
      </c>
      <c r="AC193" s="11">
        <v>0</v>
      </c>
      <c r="AD193" s="5"/>
      <c r="AE193" s="5"/>
      <c r="AF193" s="5"/>
      <c r="AG193" s="5"/>
      <c r="AH193" s="5"/>
      <c r="AI193" s="5"/>
      <c r="AJ193" s="5">
        <f t="shared" si="494"/>
        <v>0</v>
      </c>
      <c r="AL193" s="11">
        <v>0</v>
      </c>
      <c r="AM193" s="5"/>
      <c r="AN193" s="5"/>
      <c r="AO193" s="5"/>
      <c r="AP193" s="5"/>
      <c r="AQ193" s="5"/>
      <c r="AR193" s="5"/>
      <c r="AS193" s="5">
        <f t="shared" si="495"/>
        <v>0</v>
      </c>
      <c r="AU193" s="11">
        <v>0</v>
      </c>
      <c r="AV193" s="5"/>
      <c r="AW193" s="5"/>
      <c r="AX193" s="5"/>
      <c r="AY193" s="5"/>
      <c r="AZ193" s="5"/>
      <c r="BA193" s="5"/>
      <c r="BB193" s="5">
        <f t="shared" si="496"/>
        <v>0</v>
      </c>
      <c r="BD193" s="11">
        <v>0</v>
      </c>
      <c r="BE193" s="5"/>
      <c r="BF193" s="5"/>
      <c r="BG193" s="5"/>
      <c r="BH193" s="5"/>
      <c r="BI193" s="5"/>
      <c r="BJ193" s="5"/>
      <c r="BK193" s="5">
        <f t="shared" si="497"/>
        <v>0</v>
      </c>
      <c r="BM193" s="11"/>
      <c r="BN193" s="5"/>
      <c r="BO193" s="5"/>
      <c r="BP193" s="5"/>
      <c r="BQ193" s="5"/>
      <c r="BR193" s="5"/>
      <c r="BS193" s="5"/>
      <c r="BT193" s="5">
        <f t="shared" si="498"/>
        <v>0</v>
      </c>
      <c r="BV193" s="5">
        <f t="shared" si="490"/>
        <v>0</v>
      </c>
      <c r="BW193" s="5">
        <f t="shared" si="490"/>
        <v>0</v>
      </c>
      <c r="BX193" s="5">
        <f t="shared" si="490"/>
        <v>0</v>
      </c>
      <c r="BY193" s="5">
        <f t="shared" si="490"/>
        <v>0</v>
      </c>
      <c r="BZ193" s="5">
        <f t="shared" si="490"/>
        <v>0</v>
      </c>
      <c r="CA193" s="5">
        <f t="shared" si="490"/>
        <v>0</v>
      </c>
      <c r="CB193" s="5"/>
      <c r="CC193" s="5">
        <f t="shared" si="499"/>
        <v>0</v>
      </c>
    </row>
    <row r="194" spans="1:81">
      <c r="A194" s="29" t="s">
        <v>174</v>
      </c>
      <c r="B194" s="11"/>
      <c r="C194" s="5"/>
      <c r="D194" s="5"/>
      <c r="E194" s="5"/>
      <c r="F194" s="5"/>
      <c r="G194" s="5">
        <v>275000</v>
      </c>
      <c r="H194" s="5"/>
      <c r="I194" s="5">
        <f t="shared" si="491"/>
        <v>275000</v>
      </c>
      <c r="K194" s="11"/>
      <c r="L194" s="5"/>
      <c r="M194" s="5"/>
      <c r="N194" s="5"/>
      <c r="O194" s="5"/>
      <c r="P194" s="5">
        <v>800000</v>
      </c>
      <c r="Q194" s="5"/>
      <c r="R194" s="5">
        <f t="shared" si="492"/>
        <v>800000</v>
      </c>
      <c r="T194" s="11"/>
      <c r="U194" s="5"/>
      <c r="V194" s="5"/>
      <c r="W194" s="5"/>
      <c r="X194" s="5"/>
      <c r="Y194" s="5">
        <v>800000</v>
      </c>
      <c r="Z194" s="5"/>
      <c r="AA194" s="5">
        <f t="shared" si="493"/>
        <v>800000</v>
      </c>
      <c r="AC194" s="11"/>
      <c r="AD194" s="5"/>
      <c r="AE194" s="5"/>
      <c r="AF194" s="5"/>
      <c r="AG194" s="5"/>
      <c r="AH194" s="5">
        <v>1250000</v>
      </c>
      <c r="AI194" s="5"/>
      <c r="AJ194" s="5">
        <f t="shared" si="494"/>
        <v>1250000</v>
      </c>
      <c r="AL194" s="11"/>
      <c r="AM194" s="5"/>
      <c r="AN194" s="5"/>
      <c r="AO194" s="5"/>
      <c r="AP194" s="5"/>
      <c r="AQ194" s="5">
        <v>2000000</v>
      </c>
      <c r="AR194" s="5"/>
      <c r="AS194" s="5">
        <f t="shared" si="495"/>
        <v>2000000</v>
      </c>
      <c r="AU194" s="11"/>
      <c r="AV194" s="5"/>
      <c r="AW194" s="5"/>
      <c r="AX194" s="5"/>
      <c r="AY194" s="5"/>
      <c r="AZ194" s="5"/>
      <c r="BA194" s="5"/>
      <c r="BB194" s="5"/>
      <c r="BD194" s="11"/>
      <c r="BE194" s="5"/>
      <c r="BF194" s="5"/>
      <c r="BG194" s="5"/>
      <c r="BH194" s="5"/>
      <c r="BI194" s="5">
        <v>50000</v>
      </c>
      <c r="BJ194" s="5"/>
      <c r="BK194" s="5">
        <f t="shared" si="497"/>
        <v>50000</v>
      </c>
      <c r="BM194" s="11"/>
      <c r="BN194" s="5"/>
      <c r="BO194" s="5"/>
      <c r="BP194" s="5"/>
      <c r="BQ194" s="5"/>
      <c r="BR194" s="5"/>
      <c r="BS194" s="5"/>
      <c r="BT194" s="5"/>
      <c r="BV194" s="5">
        <f t="shared" si="490"/>
        <v>0</v>
      </c>
      <c r="BW194" s="5">
        <f t="shared" si="490"/>
        <v>0</v>
      </c>
      <c r="BX194" s="5">
        <f t="shared" si="490"/>
        <v>0</v>
      </c>
      <c r="BY194" s="5">
        <f t="shared" si="490"/>
        <v>0</v>
      </c>
      <c r="BZ194" s="5">
        <f t="shared" si="490"/>
        <v>0</v>
      </c>
      <c r="CA194" s="5">
        <f t="shared" si="490"/>
        <v>5175000</v>
      </c>
      <c r="CB194" s="5"/>
      <c r="CC194" s="5">
        <f t="shared" si="499"/>
        <v>5175000</v>
      </c>
    </row>
    <row r="195" spans="1:81">
      <c r="A195" s="29" t="s">
        <v>175</v>
      </c>
      <c r="B195" s="11">
        <v>12000</v>
      </c>
      <c r="C195" s="5"/>
      <c r="D195" s="5"/>
      <c r="E195" s="5"/>
      <c r="F195" s="5"/>
      <c r="G195" s="5"/>
      <c r="H195" s="5"/>
      <c r="I195" s="5">
        <f t="shared" si="491"/>
        <v>12000</v>
      </c>
      <c r="K195" s="11">
        <v>15000</v>
      </c>
      <c r="L195" s="5"/>
      <c r="M195" s="5"/>
      <c r="N195" s="5"/>
      <c r="O195" s="5"/>
      <c r="P195" s="5"/>
      <c r="Q195" s="5"/>
      <c r="R195" s="5">
        <f t="shared" si="492"/>
        <v>15000</v>
      </c>
      <c r="T195" s="11">
        <v>12500</v>
      </c>
      <c r="U195" s="5"/>
      <c r="V195" s="5"/>
      <c r="W195" s="5"/>
      <c r="X195" s="5"/>
      <c r="Y195" s="5"/>
      <c r="Z195" s="5"/>
      <c r="AA195" s="5">
        <f t="shared" si="493"/>
        <v>12500</v>
      </c>
      <c r="AC195" s="11">
        <v>20000</v>
      </c>
      <c r="AD195" s="5"/>
      <c r="AE195" s="5"/>
      <c r="AF195" s="5"/>
      <c r="AG195" s="5"/>
      <c r="AH195" s="5"/>
      <c r="AI195" s="5"/>
      <c r="AJ195" s="5">
        <f t="shared" si="494"/>
        <v>20000</v>
      </c>
      <c r="AL195" s="11">
        <v>12000</v>
      </c>
      <c r="AM195" s="5"/>
      <c r="AN195" s="5"/>
      <c r="AO195" s="5"/>
      <c r="AP195" s="5"/>
      <c r="AQ195" s="5"/>
      <c r="AR195" s="5"/>
      <c r="AS195" s="5">
        <f t="shared" si="495"/>
        <v>12000</v>
      </c>
      <c r="AU195" s="11">
        <v>2000</v>
      </c>
      <c r="AV195" s="5"/>
      <c r="AW195" s="5"/>
      <c r="AX195" s="5"/>
      <c r="AY195" s="5"/>
      <c r="AZ195" s="5"/>
      <c r="BA195" s="5"/>
      <c r="BB195" s="5">
        <f t="shared" si="496"/>
        <v>2000</v>
      </c>
      <c r="BD195" s="11">
        <v>3000</v>
      </c>
      <c r="BE195" s="5"/>
      <c r="BF195" s="5"/>
      <c r="BG195" s="5"/>
      <c r="BH195" s="5"/>
      <c r="BI195" s="5"/>
      <c r="BJ195" s="5"/>
      <c r="BK195" s="5">
        <f t="shared" si="497"/>
        <v>3000</v>
      </c>
      <c r="BM195" s="11"/>
      <c r="BN195" s="5"/>
      <c r="BO195" s="5"/>
      <c r="BP195" s="5"/>
      <c r="BQ195" s="5"/>
      <c r="BR195" s="5"/>
      <c r="BS195" s="5"/>
      <c r="BT195" s="5">
        <f t="shared" si="498"/>
        <v>0</v>
      </c>
      <c r="BV195" s="5">
        <f t="shared" si="490"/>
        <v>76500</v>
      </c>
      <c r="BW195" s="5">
        <f t="shared" si="490"/>
        <v>0</v>
      </c>
      <c r="BX195" s="5">
        <f t="shared" si="490"/>
        <v>0</v>
      </c>
      <c r="BY195" s="5">
        <f t="shared" si="490"/>
        <v>0</v>
      </c>
      <c r="BZ195" s="5">
        <f t="shared" si="490"/>
        <v>0</v>
      </c>
      <c r="CA195" s="5">
        <f t="shared" si="490"/>
        <v>0</v>
      </c>
      <c r="CB195" s="5"/>
      <c r="CC195" s="5">
        <f t="shared" si="499"/>
        <v>76500</v>
      </c>
    </row>
    <row r="196" spans="1:81">
      <c r="A196" s="78" t="s">
        <v>176</v>
      </c>
      <c r="B196" s="5">
        <f>B74*0.0285</f>
        <v>242810.595</v>
      </c>
      <c r="C196" s="5"/>
      <c r="D196" s="5"/>
      <c r="E196" s="5"/>
      <c r="F196" s="5"/>
      <c r="G196" s="5"/>
      <c r="H196" s="5"/>
      <c r="I196" s="5">
        <f t="shared" si="491"/>
        <v>242810.595</v>
      </c>
      <c r="J196" s="53"/>
      <c r="K196" s="5">
        <f>K74*0.0425</f>
        <v>408897.09</v>
      </c>
      <c r="L196" s="5"/>
      <c r="M196" s="5"/>
      <c r="N196" s="5"/>
      <c r="O196" s="5"/>
      <c r="P196" s="5"/>
      <c r="Q196" s="5"/>
      <c r="R196" s="5">
        <f t="shared" si="492"/>
        <v>408897.09</v>
      </c>
      <c r="T196" s="5">
        <f>T74*0.04</f>
        <v>449236.08</v>
      </c>
      <c r="U196" s="5"/>
      <c r="V196" s="5"/>
      <c r="W196" s="5"/>
      <c r="X196" s="5"/>
      <c r="Y196" s="5"/>
      <c r="Z196" s="5"/>
      <c r="AA196" s="5">
        <f t="shared" si="493"/>
        <v>449236.08</v>
      </c>
      <c r="AC196" s="5">
        <f>AC74*0.04</f>
        <v>880397.28</v>
      </c>
      <c r="AD196" s="5"/>
      <c r="AE196" s="5"/>
      <c r="AF196" s="5"/>
      <c r="AG196" s="5"/>
      <c r="AH196" s="5"/>
      <c r="AI196" s="5"/>
      <c r="AJ196" s="5">
        <f t="shared" si="494"/>
        <v>880397.28</v>
      </c>
      <c r="AL196" s="5">
        <f>AL74*0.0125</f>
        <v>267239.92499999999</v>
      </c>
      <c r="AM196" s="5"/>
      <c r="AN196" s="5"/>
      <c r="AO196" s="5"/>
      <c r="AP196" s="5"/>
      <c r="AQ196" s="5"/>
      <c r="AR196" s="5"/>
      <c r="AS196" s="5">
        <f t="shared" si="495"/>
        <v>267239.92499999999</v>
      </c>
      <c r="AU196" s="5">
        <f>AU74*0.09</f>
        <v>114380.09999999999</v>
      </c>
      <c r="AV196" s="5"/>
      <c r="AW196" s="5"/>
      <c r="AX196" s="5"/>
      <c r="AY196" s="5"/>
      <c r="AZ196" s="5"/>
      <c r="BA196" s="5"/>
      <c r="BB196" s="5">
        <f t="shared" si="496"/>
        <v>114380.09999999999</v>
      </c>
      <c r="BD196" s="5">
        <v>0</v>
      </c>
      <c r="BE196" s="5"/>
      <c r="BF196" s="5"/>
      <c r="BG196" s="5"/>
      <c r="BH196" s="5"/>
      <c r="BI196" s="5"/>
      <c r="BJ196" s="5"/>
      <c r="BK196" s="5">
        <f t="shared" si="497"/>
        <v>0</v>
      </c>
      <c r="BM196" s="5"/>
      <c r="BN196" s="5"/>
      <c r="BO196" s="5"/>
      <c r="BP196" s="5"/>
      <c r="BQ196" s="5"/>
      <c r="BR196" s="5"/>
      <c r="BS196" s="5"/>
      <c r="BT196" s="5">
        <f t="shared" si="498"/>
        <v>0</v>
      </c>
      <c r="BV196" s="5">
        <f t="shared" si="490"/>
        <v>2362961.0700000003</v>
      </c>
      <c r="BW196" s="5">
        <f t="shared" si="490"/>
        <v>0</v>
      </c>
      <c r="BX196" s="5">
        <f t="shared" si="490"/>
        <v>0</v>
      </c>
      <c r="BY196" s="5">
        <f t="shared" si="490"/>
        <v>0</v>
      </c>
      <c r="BZ196" s="5">
        <f t="shared" si="490"/>
        <v>0</v>
      </c>
      <c r="CA196" s="5">
        <f t="shared" si="490"/>
        <v>0</v>
      </c>
      <c r="CB196" s="5"/>
      <c r="CC196" s="5">
        <f t="shared" si="499"/>
        <v>2362961.0700000003</v>
      </c>
    </row>
    <row r="197" spans="1:81" ht="15">
      <c r="A197" s="70" t="s">
        <v>177</v>
      </c>
      <c r="B197" s="71">
        <f>SUM(B172:B196)</f>
        <v>411983.09499999997</v>
      </c>
      <c r="C197" s="71">
        <f t="shared" ref="C197:I197" si="500">SUM(C172:C196)</f>
        <v>0</v>
      </c>
      <c r="D197" s="71">
        <f t="shared" si="500"/>
        <v>305437.5</v>
      </c>
      <c r="E197" s="71">
        <f t="shared" si="500"/>
        <v>0</v>
      </c>
      <c r="F197" s="71">
        <f t="shared" si="500"/>
        <v>0</v>
      </c>
      <c r="G197" s="71">
        <f t="shared" si="500"/>
        <v>275000</v>
      </c>
      <c r="H197" s="71">
        <f t="shared" si="500"/>
        <v>0</v>
      </c>
      <c r="I197" s="71">
        <f t="shared" si="500"/>
        <v>992420.59499999997</v>
      </c>
      <c r="J197" s="7"/>
      <c r="K197" s="71">
        <f>SUM(K172:K196)</f>
        <v>593617.09000000008</v>
      </c>
      <c r="L197" s="71">
        <f t="shared" ref="L197:R197" si="501">SUM(L172:L196)</f>
        <v>0</v>
      </c>
      <c r="M197" s="71">
        <f t="shared" si="501"/>
        <v>234549.00000000003</v>
      </c>
      <c r="N197" s="71">
        <f t="shared" si="501"/>
        <v>0</v>
      </c>
      <c r="O197" s="71">
        <f t="shared" si="501"/>
        <v>0</v>
      </c>
      <c r="P197" s="71">
        <f t="shared" si="501"/>
        <v>800000</v>
      </c>
      <c r="Q197" s="71">
        <f t="shared" si="501"/>
        <v>0</v>
      </c>
      <c r="R197" s="71">
        <f t="shared" si="501"/>
        <v>1628166.09</v>
      </c>
      <c r="T197" s="71">
        <f t="shared" ref="T197:AA197" si="502">SUM(T172:T196)</f>
        <v>660946.08000000007</v>
      </c>
      <c r="U197" s="71">
        <f t="shared" si="502"/>
        <v>0</v>
      </c>
      <c r="V197" s="71">
        <f t="shared" si="502"/>
        <v>132870.375</v>
      </c>
      <c r="W197" s="71">
        <f t="shared" si="502"/>
        <v>0</v>
      </c>
      <c r="X197" s="71">
        <f t="shared" si="502"/>
        <v>0</v>
      </c>
      <c r="Y197" s="71">
        <f t="shared" si="502"/>
        <v>800000</v>
      </c>
      <c r="Z197" s="71">
        <f t="shared" si="502"/>
        <v>0</v>
      </c>
      <c r="AA197" s="71">
        <f t="shared" si="502"/>
        <v>1593816.4550000001</v>
      </c>
      <c r="AC197" s="71">
        <f>SUM(AC172:AC196)</f>
        <v>1372802.28</v>
      </c>
      <c r="AD197" s="71">
        <f t="shared" ref="AD197:AJ197" si="503">SUM(AD172:AD196)</f>
        <v>0</v>
      </c>
      <c r="AE197" s="71">
        <f t="shared" si="503"/>
        <v>694386</v>
      </c>
      <c r="AF197" s="71">
        <f t="shared" si="503"/>
        <v>0</v>
      </c>
      <c r="AG197" s="71">
        <f t="shared" si="503"/>
        <v>0</v>
      </c>
      <c r="AH197" s="71">
        <f t="shared" si="503"/>
        <v>1250000</v>
      </c>
      <c r="AI197" s="71">
        <f t="shared" si="503"/>
        <v>0</v>
      </c>
      <c r="AJ197" s="71">
        <f t="shared" si="503"/>
        <v>3317188.2800000003</v>
      </c>
      <c r="AL197" s="71">
        <f>SUM(AL172:AL196)</f>
        <v>664674.92500000005</v>
      </c>
      <c r="AM197" s="71">
        <f t="shared" ref="AM197:AS197" si="504">SUM(AM172:AM196)</f>
        <v>0</v>
      </c>
      <c r="AN197" s="71">
        <f t="shared" si="504"/>
        <v>459877.5</v>
      </c>
      <c r="AO197" s="71">
        <f t="shared" si="504"/>
        <v>0</v>
      </c>
      <c r="AP197" s="71">
        <f t="shared" si="504"/>
        <v>0</v>
      </c>
      <c r="AQ197" s="71">
        <f t="shared" si="504"/>
        <v>2000000</v>
      </c>
      <c r="AR197" s="71">
        <f t="shared" si="504"/>
        <v>0</v>
      </c>
      <c r="AS197" s="71">
        <f t="shared" si="504"/>
        <v>3124552.4249999998</v>
      </c>
      <c r="AU197" s="71">
        <f>SUM(AU172:AU196)</f>
        <v>151255.09999999998</v>
      </c>
      <c r="AV197" s="71">
        <f t="shared" ref="AV197:BB197" si="505">SUM(AV172:AV196)</f>
        <v>0</v>
      </c>
      <c r="AW197" s="71">
        <f t="shared" si="505"/>
        <v>2733.75</v>
      </c>
      <c r="AX197" s="71">
        <f t="shared" si="505"/>
        <v>0</v>
      </c>
      <c r="AY197" s="71">
        <f t="shared" si="505"/>
        <v>0</v>
      </c>
      <c r="AZ197" s="71">
        <f t="shared" si="505"/>
        <v>0</v>
      </c>
      <c r="BA197" s="71">
        <f t="shared" si="505"/>
        <v>0</v>
      </c>
      <c r="BB197" s="71">
        <f t="shared" si="505"/>
        <v>153988.84999999998</v>
      </c>
      <c r="BD197" s="71">
        <f>SUM(BD172:BD196)</f>
        <v>52350</v>
      </c>
      <c r="BE197" s="71">
        <f t="shared" ref="BE197:BK197" si="506">SUM(BE172:BE196)</f>
        <v>0</v>
      </c>
      <c r="BF197" s="71">
        <f t="shared" si="506"/>
        <v>276578.82</v>
      </c>
      <c r="BG197" s="71">
        <f t="shared" si="506"/>
        <v>0</v>
      </c>
      <c r="BH197" s="71">
        <f t="shared" si="506"/>
        <v>0</v>
      </c>
      <c r="BI197" s="71">
        <f t="shared" si="506"/>
        <v>50000</v>
      </c>
      <c r="BJ197" s="71">
        <f t="shared" si="506"/>
        <v>0</v>
      </c>
      <c r="BK197" s="71">
        <f t="shared" si="506"/>
        <v>378928.82</v>
      </c>
      <c r="BM197" s="71">
        <f>SUM(BM172:BM196)</f>
        <v>2500</v>
      </c>
      <c r="BN197" s="71">
        <f t="shared" ref="BN197:BT197" si="507">SUM(BN172:BN196)</f>
        <v>0</v>
      </c>
      <c r="BO197" s="71">
        <f t="shared" si="507"/>
        <v>0</v>
      </c>
      <c r="BP197" s="71">
        <f t="shared" si="507"/>
        <v>0</v>
      </c>
      <c r="BQ197" s="71">
        <f t="shared" si="507"/>
        <v>0</v>
      </c>
      <c r="BR197" s="71">
        <f t="shared" si="507"/>
        <v>0</v>
      </c>
      <c r="BS197" s="71">
        <f t="shared" si="507"/>
        <v>0</v>
      </c>
      <c r="BT197" s="71">
        <f t="shared" si="507"/>
        <v>2500</v>
      </c>
      <c r="BV197" s="71">
        <f>SUM(BV172:BV196)</f>
        <v>3910128.5700000003</v>
      </c>
      <c r="BW197" s="71">
        <f t="shared" ref="BW197:CB197" si="508">SUM(BW172:BW196)</f>
        <v>0</v>
      </c>
      <c r="BX197" s="71">
        <f t="shared" si="508"/>
        <v>2106432.9449999998</v>
      </c>
      <c r="BY197" s="71">
        <f t="shared" si="508"/>
        <v>0</v>
      </c>
      <c r="BZ197" s="71">
        <f t="shared" si="508"/>
        <v>0</v>
      </c>
      <c r="CA197" s="71">
        <f t="shared" si="508"/>
        <v>5175000</v>
      </c>
      <c r="CB197" s="71">
        <f t="shared" si="508"/>
        <v>0</v>
      </c>
      <c r="CC197" s="71">
        <f>SUM(CC172:CC196)</f>
        <v>11191561.515000001</v>
      </c>
    </row>
    <row r="198" spans="1:81" ht="15">
      <c r="A198" s="75" t="s">
        <v>178</v>
      </c>
      <c r="B198" s="18" t="str">
        <f t="shared" ref="B198:I198" si="509">B1</f>
        <v>Operating</v>
      </c>
      <c r="C198" s="18" t="str">
        <f t="shared" si="509"/>
        <v>SPED</v>
      </c>
      <c r="D198" s="18" t="str">
        <f t="shared" si="509"/>
        <v>NSLP</v>
      </c>
      <c r="E198" s="18" t="str">
        <f t="shared" si="509"/>
        <v>Other</v>
      </c>
      <c r="F198" s="18" t="str">
        <f t="shared" si="509"/>
        <v>Title I</v>
      </c>
      <c r="G198" s="18" t="str">
        <f t="shared" si="509"/>
        <v>SGF</v>
      </c>
      <c r="H198" s="18" t="str">
        <f t="shared" si="509"/>
        <v>Title III</v>
      </c>
      <c r="I198" s="18" t="str">
        <f t="shared" si="509"/>
        <v>Horizon</v>
      </c>
      <c r="J198" s="7"/>
      <c r="K198" s="18" t="str">
        <f t="shared" ref="K198:R198" si="510">K1</f>
        <v>Operating</v>
      </c>
      <c r="L198" s="18" t="str">
        <f t="shared" si="510"/>
        <v>SPED</v>
      </c>
      <c r="M198" s="18" t="str">
        <f t="shared" si="510"/>
        <v>NSLP</v>
      </c>
      <c r="N198" s="18" t="str">
        <f t="shared" si="510"/>
        <v>Other</v>
      </c>
      <c r="O198" s="18" t="str">
        <f t="shared" si="510"/>
        <v>Title I</v>
      </c>
      <c r="P198" s="18" t="str">
        <f t="shared" si="510"/>
        <v>SGF</v>
      </c>
      <c r="Q198" s="18" t="str">
        <f t="shared" si="510"/>
        <v>Title III</v>
      </c>
      <c r="R198" s="18" t="str">
        <f t="shared" si="510"/>
        <v>St. Rose</v>
      </c>
      <c r="T198" s="18" t="str">
        <f t="shared" ref="T198:AA198" si="511">T1</f>
        <v>Operating</v>
      </c>
      <c r="U198" s="18" t="str">
        <f t="shared" si="511"/>
        <v>SPED</v>
      </c>
      <c r="V198" s="18" t="str">
        <f t="shared" si="511"/>
        <v>NSLP</v>
      </c>
      <c r="W198" s="18" t="str">
        <f t="shared" si="511"/>
        <v>Other</v>
      </c>
      <c r="X198" s="18" t="str">
        <f t="shared" si="511"/>
        <v>Title I</v>
      </c>
      <c r="Y198" s="18" t="str">
        <f t="shared" si="511"/>
        <v>SGF</v>
      </c>
      <c r="Z198" s="18" t="str">
        <f t="shared" si="511"/>
        <v>Title III</v>
      </c>
      <c r="AA198" s="18" t="str">
        <f t="shared" si="511"/>
        <v>Inspirada</v>
      </c>
      <c r="AC198" s="18" t="str">
        <f t="shared" ref="AC198:AJ198" si="512">AC1</f>
        <v>Operating</v>
      </c>
      <c r="AD198" s="18" t="str">
        <f t="shared" si="512"/>
        <v>SPED</v>
      </c>
      <c r="AE198" s="18" t="str">
        <f t="shared" si="512"/>
        <v>NSLP</v>
      </c>
      <c r="AF198" s="18" t="str">
        <f t="shared" si="512"/>
        <v>Other</v>
      </c>
      <c r="AG198" s="18" t="str">
        <f t="shared" si="512"/>
        <v>Title I</v>
      </c>
      <c r="AH198" s="18" t="str">
        <f t="shared" si="512"/>
        <v>SGF</v>
      </c>
      <c r="AI198" s="18" t="str">
        <f t="shared" si="512"/>
        <v>Title III</v>
      </c>
      <c r="AJ198" s="18" t="str">
        <f t="shared" si="512"/>
        <v>Cadence</v>
      </c>
      <c r="AL198" s="18" t="str">
        <f t="shared" ref="AL198:AS198" si="513">AL1</f>
        <v>Operating</v>
      </c>
      <c r="AM198" s="18" t="str">
        <f t="shared" si="513"/>
        <v>SPED</v>
      </c>
      <c r="AN198" s="18" t="str">
        <f t="shared" si="513"/>
        <v>NSLP</v>
      </c>
      <c r="AO198" s="18" t="str">
        <f t="shared" si="513"/>
        <v>Other</v>
      </c>
      <c r="AP198" s="18" t="str">
        <f t="shared" si="513"/>
        <v>Title I</v>
      </c>
      <c r="AQ198" s="18" t="str">
        <f t="shared" si="513"/>
        <v>SGF</v>
      </c>
      <c r="AR198" s="18" t="str">
        <f t="shared" si="513"/>
        <v>Title III</v>
      </c>
      <c r="AS198" s="18" t="str">
        <f t="shared" si="513"/>
        <v>Sloan</v>
      </c>
      <c r="AU198" s="18" t="str">
        <f t="shared" ref="AU198:BB198" si="514">AU1</f>
        <v>Operating</v>
      </c>
      <c r="AV198" s="18" t="str">
        <f t="shared" si="514"/>
        <v>SPED</v>
      </c>
      <c r="AW198" s="18" t="str">
        <f t="shared" si="514"/>
        <v>NSLP</v>
      </c>
      <c r="AX198" s="18" t="str">
        <f t="shared" si="514"/>
        <v>Other</v>
      </c>
      <c r="AY198" s="18" t="str">
        <f t="shared" si="514"/>
        <v>Title I</v>
      </c>
      <c r="AZ198" s="18" t="str">
        <f t="shared" si="514"/>
        <v>SGF</v>
      </c>
      <c r="BA198" s="18" t="str">
        <f t="shared" si="514"/>
        <v>Title III</v>
      </c>
      <c r="BB198" s="18" t="str">
        <f t="shared" si="514"/>
        <v>Virtual</v>
      </c>
      <c r="BD198" s="18" t="str">
        <f t="shared" ref="BD198:BK198" si="515">BD1</f>
        <v>Operating</v>
      </c>
      <c r="BE198" s="18" t="str">
        <f t="shared" si="515"/>
        <v>SPED</v>
      </c>
      <c r="BF198" s="18" t="str">
        <f t="shared" si="515"/>
        <v>NSLP</v>
      </c>
      <c r="BG198" s="18" t="str">
        <f t="shared" si="515"/>
        <v>Other</v>
      </c>
      <c r="BH198" s="18" t="str">
        <f t="shared" si="515"/>
        <v>Title I</v>
      </c>
      <c r="BI198" s="18" t="str">
        <f t="shared" si="515"/>
        <v>SGF</v>
      </c>
      <c r="BJ198" s="18" t="str">
        <f t="shared" si="515"/>
        <v>Title III</v>
      </c>
      <c r="BK198" s="18" t="str">
        <f t="shared" si="515"/>
        <v>Springs</v>
      </c>
      <c r="BM198" s="18" t="str">
        <f t="shared" ref="BM198:BT198" si="516">BM1</f>
        <v>Operating</v>
      </c>
      <c r="BN198" s="18" t="str">
        <f t="shared" si="516"/>
        <v>SPED</v>
      </c>
      <c r="BO198" s="18" t="str">
        <f t="shared" si="516"/>
        <v>NSLP</v>
      </c>
      <c r="BP198" s="18" t="str">
        <f t="shared" si="516"/>
        <v>Other</v>
      </c>
      <c r="BQ198" s="18" t="str">
        <f t="shared" si="516"/>
        <v>Title I</v>
      </c>
      <c r="BR198" s="18" t="str">
        <f t="shared" si="516"/>
        <v>SGF</v>
      </c>
      <c r="BS198" s="18" t="str">
        <f t="shared" si="516"/>
        <v>Title III</v>
      </c>
      <c r="BT198" s="18" t="str">
        <f t="shared" si="516"/>
        <v>Exec. Office</v>
      </c>
      <c r="BV198" s="18" t="str">
        <f t="shared" ref="BV198:CC198" si="517">BV1</f>
        <v>Operating</v>
      </c>
      <c r="BW198" s="18" t="str">
        <f t="shared" si="517"/>
        <v>SPED</v>
      </c>
      <c r="BX198" s="18" t="str">
        <f t="shared" si="517"/>
        <v>NSLP</v>
      </c>
      <c r="BY198" s="18" t="str">
        <f t="shared" si="517"/>
        <v>Other</v>
      </c>
      <c r="BZ198" s="18" t="str">
        <f t="shared" si="517"/>
        <v>Title I</v>
      </c>
      <c r="CA198" s="18" t="str">
        <f t="shared" si="517"/>
        <v>SGF</v>
      </c>
      <c r="CB198" s="18" t="str">
        <f t="shared" si="517"/>
        <v>Title III</v>
      </c>
      <c r="CC198" s="18" t="str">
        <f t="shared" si="517"/>
        <v>Systemwide</v>
      </c>
    </row>
    <row r="199" spans="1:81">
      <c r="A199" s="81" t="s">
        <v>179</v>
      </c>
      <c r="B199" s="83">
        <v>120000</v>
      </c>
      <c r="C199" s="5"/>
      <c r="D199" s="5"/>
      <c r="E199" s="5"/>
      <c r="F199" s="5"/>
      <c r="G199" s="5"/>
      <c r="H199" s="5"/>
      <c r="I199" s="5">
        <f t="shared" ref="I199:I208" si="518">SUM(B199:H199)</f>
        <v>120000</v>
      </c>
      <c r="J199" s="6"/>
      <c r="K199" s="83">
        <v>105000</v>
      </c>
      <c r="L199" s="5"/>
      <c r="M199" s="5"/>
      <c r="N199" s="5"/>
      <c r="O199" s="5"/>
      <c r="P199" s="5"/>
      <c r="Q199" s="5"/>
      <c r="R199" s="5">
        <f t="shared" ref="R199:R208" si="519">SUM(K199:Q199)</f>
        <v>105000</v>
      </c>
      <c r="T199" s="83">
        <v>120000</v>
      </c>
      <c r="U199" s="5"/>
      <c r="V199" s="5"/>
      <c r="W199" s="5"/>
      <c r="X199" s="5"/>
      <c r="Y199" s="5"/>
      <c r="Z199" s="5"/>
      <c r="AA199" s="5">
        <f t="shared" ref="AA199:AA208" si="520">SUM(T199:Z199)</f>
        <v>120000</v>
      </c>
      <c r="AC199" s="83">
        <v>290000</v>
      </c>
      <c r="AD199" s="5"/>
      <c r="AE199" s="5"/>
      <c r="AF199" s="5"/>
      <c r="AG199" s="5"/>
      <c r="AH199" s="5"/>
      <c r="AI199" s="5"/>
      <c r="AJ199" s="5">
        <f t="shared" ref="AJ199:AJ208" si="521">SUM(AC199:AI199)</f>
        <v>290000</v>
      </c>
      <c r="AL199" s="83">
        <v>290000</v>
      </c>
      <c r="AM199" s="5"/>
      <c r="AN199" s="5"/>
      <c r="AO199" s="5"/>
      <c r="AP199" s="5"/>
      <c r="AQ199" s="5"/>
      <c r="AR199" s="5"/>
      <c r="AS199" s="5">
        <f t="shared" ref="AS199:AS208" si="522">SUM(AL199:AR199)</f>
        <v>290000</v>
      </c>
      <c r="AU199" s="83"/>
      <c r="AV199" s="5"/>
      <c r="AW199" s="5"/>
      <c r="AX199" s="5"/>
      <c r="AY199" s="5"/>
      <c r="AZ199" s="5"/>
      <c r="BA199" s="5"/>
      <c r="BB199" s="5">
        <f t="shared" ref="BB199:BB208" si="523">SUM(AU199:BA199)</f>
        <v>0</v>
      </c>
      <c r="BD199" s="83">
        <v>15500</v>
      </c>
      <c r="BE199" s="5"/>
      <c r="BF199" s="5"/>
      <c r="BG199" s="5"/>
      <c r="BH199" s="5"/>
      <c r="BI199" s="5"/>
      <c r="BJ199" s="5"/>
      <c r="BK199" s="5">
        <f t="shared" ref="BK199:BK208" si="524">SUM(BD199:BJ199)</f>
        <v>15500</v>
      </c>
      <c r="BM199" s="83"/>
      <c r="BN199" s="5"/>
      <c r="BO199" s="5"/>
      <c r="BP199" s="5"/>
      <c r="BQ199" s="5"/>
      <c r="BR199" s="5"/>
      <c r="BS199" s="5"/>
      <c r="BT199" s="5">
        <f t="shared" ref="BT199:BT208" si="525">SUM(BM199:BS199)</f>
        <v>0</v>
      </c>
      <c r="BV199" s="5">
        <f t="shared" ref="BV199:CA208" si="526">B199+K199+T199+AC199+AL199+AU199+BD199+BM199</f>
        <v>940500</v>
      </c>
      <c r="BW199" s="5">
        <f t="shared" si="526"/>
        <v>0</v>
      </c>
      <c r="BX199" s="5">
        <f t="shared" si="526"/>
        <v>0</v>
      </c>
      <c r="BY199" s="5">
        <f t="shared" si="526"/>
        <v>0</v>
      </c>
      <c r="BZ199" s="5">
        <f t="shared" si="526"/>
        <v>0</v>
      </c>
      <c r="CA199" s="5">
        <f t="shared" si="526"/>
        <v>0</v>
      </c>
      <c r="CB199" s="5"/>
      <c r="CC199" s="5">
        <f t="shared" ref="CC199:CC208" si="527">SUM(BV199:CB199)</f>
        <v>940500</v>
      </c>
    </row>
    <row r="200" spans="1:81">
      <c r="A200" s="29" t="s">
        <v>180</v>
      </c>
      <c r="B200" s="62">
        <v>8500</v>
      </c>
      <c r="C200" s="5"/>
      <c r="D200" s="5"/>
      <c r="E200" s="5"/>
      <c r="F200" s="5"/>
      <c r="G200" s="5"/>
      <c r="H200" s="5"/>
      <c r="I200" s="5">
        <f t="shared" si="518"/>
        <v>8500</v>
      </c>
      <c r="K200" s="79">
        <v>0</v>
      </c>
      <c r="L200" s="5"/>
      <c r="M200" s="5"/>
      <c r="N200" s="5"/>
      <c r="O200" s="5"/>
      <c r="P200" s="5"/>
      <c r="Q200" s="5"/>
      <c r="R200" s="5">
        <f t="shared" si="519"/>
        <v>0</v>
      </c>
      <c r="T200" s="79">
        <v>0</v>
      </c>
      <c r="U200" s="5"/>
      <c r="V200" s="5"/>
      <c r="W200" s="5"/>
      <c r="X200" s="5"/>
      <c r="Y200" s="5"/>
      <c r="Z200" s="5"/>
      <c r="AA200" s="5">
        <f t="shared" si="520"/>
        <v>0</v>
      </c>
      <c r="AC200" s="79">
        <v>0</v>
      </c>
      <c r="AD200" s="5"/>
      <c r="AE200" s="5"/>
      <c r="AF200" s="5"/>
      <c r="AG200" s="5"/>
      <c r="AH200" s="5"/>
      <c r="AI200" s="5"/>
      <c r="AJ200" s="5">
        <f t="shared" si="521"/>
        <v>0</v>
      </c>
      <c r="AL200" s="79">
        <v>0</v>
      </c>
      <c r="AM200" s="5"/>
      <c r="AN200" s="5"/>
      <c r="AO200" s="5"/>
      <c r="AP200" s="5"/>
      <c r="AQ200" s="5"/>
      <c r="AR200" s="5"/>
      <c r="AS200" s="5">
        <f t="shared" si="522"/>
        <v>0</v>
      </c>
      <c r="AU200" s="62"/>
      <c r="AV200" s="5"/>
      <c r="AW200" s="5"/>
      <c r="AX200" s="5"/>
      <c r="AY200" s="5"/>
      <c r="AZ200" s="5"/>
      <c r="BA200" s="5"/>
      <c r="BB200" s="5">
        <f t="shared" si="523"/>
        <v>0</v>
      </c>
      <c r="BD200" s="62">
        <f>125*10</f>
        <v>1250</v>
      </c>
      <c r="BE200" s="5"/>
      <c r="BF200" s="5"/>
      <c r="BG200" s="5"/>
      <c r="BH200" s="5"/>
      <c r="BI200" s="5"/>
      <c r="BJ200" s="5"/>
      <c r="BK200" s="5">
        <f t="shared" si="524"/>
        <v>1250</v>
      </c>
      <c r="BM200" s="62"/>
      <c r="BN200" s="5"/>
      <c r="BO200" s="5"/>
      <c r="BP200" s="5"/>
      <c r="BQ200" s="5"/>
      <c r="BR200" s="5"/>
      <c r="BS200" s="5"/>
      <c r="BT200" s="5">
        <f t="shared" si="525"/>
        <v>0</v>
      </c>
      <c r="BV200" s="5">
        <f t="shared" si="526"/>
        <v>9750</v>
      </c>
      <c r="BW200" s="5">
        <f t="shared" si="526"/>
        <v>0</v>
      </c>
      <c r="BX200" s="5">
        <f t="shared" si="526"/>
        <v>0</v>
      </c>
      <c r="BY200" s="5">
        <f t="shared" si="526"/>
        <v>0</v>
      </c>
      <c r="BZ200" s="5">
        <f t="shared" si="526"/>
        <v>0</v>
      </c>
      <c r="CA200" s="5">
        <f t="shared" si="526"/>
        <v>0</v>
      </c>
      <c r="CB200" s="5"/>
      <c r="CC200" s="5">
        <f t="shared" si="527"/>
        <v>9750</v>
      </c>
    </row>
    <row r="201" spans="1:81">
      <c r="A201" s="29" t="s">
        <v>181</v>
      </c>
      <c r="B201" s="79">
        <v>32500</v>
      </c>
      <c r="C201" s="5"/>
      <c r="D201" s="5"/>
      <c r="E201" s="5"/>
      <c r="F201" s="5"/>
      <c r="G201" s="5"/>
      <c r="H201" s="5"/>
      <c r="I201" s="5">
        <f t="shared" si="518"/>
        <v>32500</v>
      </c>
      <c r="K201" s="79">
        <v>23000</v>
      </c>
      <c r="L201" s="5"/>
      <c r="M201" s="5"/>
      <c r="N201" s="5"/>
      <c r="O201" s="5"/>
      <c r="P201" s="5"/>
      <c r="Q201" s="5"/>
      <c r="R201" s="5">
        <f t="shared" si="519"/>
        <v>23000</v>
      </c>
      <c r="T201" s="79">
        <v>23500</v>
      </c>
      <c r="U201" s="5"/>
      <c r="V201" s="5"/>
      <c r="W201" s="5"/>
      <c r="X201" s="5"/>
      <c r="Y201" s="5"/>
      <c r="Z201" s="5"/>
      <c r="AA201" s="5">
        <f t="shared" si="520"/>
        <v>23500</v>
      </c>
      <c r="AC201" s="79">
        <v>52500</v>
      </c>
      <c r="AD201" s="5"/>
      <c r="AE201" s="5"/>
      <c r="AF201" s="5"/>
      <c r="AG201" s="5"/>
      <c r="AH201" s="5"/>
      <c r="AI201" s="5"/>
      <c r="AJ201" s="5">
        <f t="shared" si="521"/>
        <v>52500</v>
      </c>
      <c r="AL201" s="79">
        <v>40000</v>
      </c>
      <c r="AM201" s="5"/>
      <c r="AN201" s="5"/>
      <c r="AO201" s="5"/>
      <c r="AP201" s="5"/>
      <c r="AQ201" s="5"/>
      <c r="AR201" s="5"/>
      <c r="AS201" s="5">
        <f t="shared" si="522"/>
        <v>40000</v>
      </c>
      <c r="AU201" s="79"/>
      <c r="AV201" s="5"/>
      <c r="AW201" s="5"/>
      <c r="AX201" s="5"/>
      <c r="AY201" s="5"/>
      <c r="AZ201" s="5"/>
      <c r="BA201" s="5"/>
      <c r="BB201" s="5">
        <f t="shared" si="523"/>
        <v>0</v>
      </c>
      <c r="BD201" s="79">
        <f>14000</f>
        <v>14000</v>
      </c>
      <c r="BE201" s="5"/>
      <c r="BF201" s="5"/>
      <c r="BG201" s="5"/>
      <c r="BH201" s="5"/>
      <c r="BI201" s="5"/>
      <c r="BJ201" s="5"/>
      <c r="BK201" s="5">
        <f t="shared" si="524"/>
        <v>14000</v>
      </c>
      <c r="BM201" s="79"/>
      <c r="BN201" s="5"/>
      <c r="BO201" s="5"/>
      <c r="BP201" s="5"/>
      <c r="BQ201" s="5"/>
      <c r="BR201" s="5"/>
      <c r="BS201" s="5"/>
      <c r="BT201" s="5">
        <f t="shared" si="525"/>
        <v>0</v>
      </c>
      <c r="BV201" s="5">
        <f t="shared" si="526"/>
        <v>185500</v>
      </c>
      <c r="BW201" s="5">
        <f t="shared" si="526"/>
        <v>0</v>
      </c>
      <c r="BX201" s="5">
        <f t="shared" si="526"/>
        <v>0</v>
      </c>
      <c r="BY201" s="5">
        <f t="shared" si="526"/>
        <v>0</v>
      </c>
      <c r="BZ201" s="5">
        <f t="shared" si="526"/>
        <v>0</v>
      </c>
      <c r="CA201" s="5">
        <f t="shared" si="526"/>
        <v>0</v>
      </c>
      <c r="CB201" s="5"/>
      <c r="CC201" s="5">
        <f t="shared" si="527"/>
        <v>185500</v>
      </c>
    </row>
    <row r="202" spans="1:81">
      <c r="A202" s="29" t="s">
        <v>182</v>
      </c>
      <c r="B202" s="79">
        <v>24000</v>
      </c>
      <c r="C202" s="5"/>
      <c r="D202" s="5"/>
      <c r="E202" s="5"/>
      <c r="F202" s="5"/>
      <c r="G202" s="5"/>
      <c r="H202" s="5"/>
      <c r="I202" s="5">
        <f t="shared" si="518"/>
        <v>24000</v>
      </c>
      <c r="K202" s="79">
        <v>19000</v>
      </c>
      <c r="L202" s="5"/>
      <c r="M202" s="5"/>
      <c r="N202" s="5"/>
      <c r="O202" s="5"/>
      <c r="P202" s="5"/>
      <c r="Q202" s="5"/>
      <c r="R202" s="5">
        <f t="shared" si="519"/>
        <v>19000</v>
      </c>
      <c r="T202" s="79">
        <v>33000</v>
      </c>
      <c r="U202" s="5"/>
      <c r="V202" s="5"/>
      <c r="W202" s="5"/>
      <c r="X202" s="5"/>
      <c r="Y202" s="5"/>
      <c r="Z202" s="5"/>
      <c r="AA202" s="5">
        <f t="shared" si="520"/>
        <v>33000</v>
      </c>
      <c r="AC202" s="79">
        <v>62000</v>
      </c>
      <c r="AD202" s="5"/>
      <c r="AE202" s="5"/>
      <c r="AF202" s="5"/>
      <c r="AG202" s="5"/>
      <c r="AH202" s="5"/>
      <c r="AI202" s="5"/>
      <c r="AJ202" s="5">
        <f t="shared" si="521"/>
        <v>62000</v>
      </c>
      <c r="AL202" s="79">
        <v>62500</v>
      </c>
      <c r="AM202" s="5"/>
      <c r="AN202" s="5"/>
      <c r="AO202" s="5"/>
      <c r="AP202" s="5"/>
      <c r="AQ202" s="5"/>
      <c r="AR202" s="5"/>
      <c r="AS202" s="5">
        <f t="shared" si="522"/>
        <v>62500</v>
      </c>
      <c r="AU202" s="79"/>
      <c r="AV202" s="5"/>
      <c r="AW202" s="5"/>
      <c r="AX202" s="5"/>
      <c r="AY202" s="5"/>
      <c r="AZ202" s="5"/>
      <c r="BA202" s="5"/>
      <c r="BB202" s="5">
        <f t="shared" si="523"/>
        <v>0</v>
      </c>
      <c r="BD202" s="79">
        <v>13500</v>
      </c>
      <c r="BE202" s="5"/>
      <c r="BF202" s="5"/>
      <c r="BG202" s="5"/>
      <c r="BH202" s="5"/>
      <c r="BI202" s="5"/>
      <c r="BJ202" s="5"/>
      <c r="BK202" s="5">
        <f t="shared" si="524"/>
        <v>13500</v>
      </c>
      <c r="BM202" s="79"/>
      <c r="BN202" s="5"/>
      <c r="BO202" s="5"/>
      <c r="BP202" s="5"/>
      <c r="BQ202" s="5"/>
      <c r="BR202" s="5"/>
      <c r="BS202" s="5"/>
      <c r="BT202" s="5">
        <f t="shared" si="525"/>
        <v>0</v>
      </c>
      <c r="BV202" s="5">
        <f t="shared" si="526"/>
        <v>214000</v>
      </c>
      <c r="BW202" s="5">
        <f t="shared" si="526"/>
        <v>0</v>
      </c>
      <c r="BX202" s="5">
        <f t="shared" si="526"/>
        <v>0</v>
      </c>
      <c r="BY202" s="5">
        <f t="shared" si="526"/>
        <v>0</v>
      </c>
      <c r="BZ202" s="5">
        <f t="shared" si="526"/>
        <v>0</v>
      </c>
      <c r="CA202" s="5">
        <f t="shared" si="526"/>
        <v>0</v>
      </c>
      <c r="CB202" s="5"/>
      <c r="CC202" s="5">
        <f t="shared" si="527"/>
        <v>214000</v>
      </c>
    </row>
    <row r="203" spans="1:81">
      <c r="A203" s="29" t="s">
        <v>183</v>
      </c>
      <c r="B203" s="79">
        <v>12500</v>
      </c>
      <c r="C203" s="5"/>
      <c r="D203" s="5"/>
      <c r="E203" s="5"/>
      <c r="F203" s="5"/>
      <c r="G203" s="5"/>
      <c r="H203" s="5"/>
      <c r="I203" s="5">
        <f t="shared" si="518"/>
        <v>12500</v>
      </c>
      <c r="K203" s="79">
        <v>8500</v>
      </c>
      <c r="L203" s="5"/>
      <c r="M203" s="5"/>
      <c r="N203" s="5"/>
      <c r="O203" s="5"/>
      <c r="P203" s="5"/>
      <c r="Q203" s="5"/>
      <c r="R203" s="5">
        <f t="shared" si="519"/>
        <v>8500</v>
      </c>
      <c r="T203" s="79">
        <v>15000</v>
      </c>
      <c r="U203" s="5"/>
      <c r="V203" s="5"/>
      <c r="W203" s="5"/>
      <c r="X203" s="5"/>
      <c r="Y203" s="5"/>
      <c r="Z203" s="5"/>
      <c r="AA203" s="5">
        <f t="shared" si="520"/>
        <v>15000</v>
      </c>
      <c r="AC203" s="79">
        <f>(1700+1100)*12</f>
        <v>33600</v>
      </c>
      <c r="AD203" s="5"/>
      <c r="AE203" s="5"/>
      <c r="AF203" s="5"/>
      <c r="AG203" s="5"/>
      <c r="AH203" s="5"/>
      <c r="AI203" s="5"/>
      <c r="AJ203" s="5">
        <f t="shared" si="521"/>
        <v>33600</v>
      </c>
      <c r="AL203" s="79">
        <f>5460*3</f>
        <v>16380</v>
      </c>
      <c r="AM203" s="5"/>
      <c r="AN203" s="5"/>
      <c r="AO203" s="5"/>
      <c r="AP203" s="5"/>
      <c r="AQ203" s="5"/>
      <c r="AR203" s="5"/>
      <c r="AS203" s="5">
        <f t="shared" si="522"/>
        <v>16380</v>
      </c>
      <c r="AU203" s="79"/>
      <c r="AV203" s="5"/>
      <c r="AW203" s="5"/>
      <c r="AX203" s="5"/>
      <c r="AY203" s="5"/>
      <c r="AZ203" s="5"/>
      <c r="BA203" s="5"/>
      <c r="BB203" s="5">
        <f t="shared" si="523"/>
        <v>0</v>
      </c>
      <c r="BD203" s="79">
        <v>6000</v>
      </c>
      <c r="BE203" s="5"/>
      <c r="BF203" s="5"/>
      <c r="BG203" s="5"/>
      <c r="BH203" s="5"/>
      <c r="BI203" s="5"/>
      <c r="BJ203" s="5"/>
      <c r="BK203" s="5">
        <f t="shared" si="524"/>
        <v>6000</v>
      </c>
      <c r="BM203" s="79"/>
      <c r="BN203" s="5"/>
      <c r="BO203" s="5"/>
      <c r="BP203" s="5"/>
      <c r="BQ203" s="5"/>
      <c r="BR203" s="5"/>
      <c r="BS203" s="5"/>
      <c r="BT203" s="5">
        <f t="shared" si="525"/>
        <v>0</v>
      </c>
      <c r="BV203" s="5">
        <f t="shared" si="526"/>
        <v>91980</v>
      </c>
      <c r="BW203" s="5">
        <f t="shared" si="526"/>
        <v>0</v>
      </c>
      <c r="BX203" s="5">
        <f t="shared" si="526"/>
        <v>0</v>
      </c>
      <c r="BY203" s="5">
        <f t="shared" si="526"/>
        <v>0</v>
      </c>
      <c r="BZ203" s="5">
        <f t="shared" si="526"/>
        <v>0</v>
      </c>
      <c r="CA203" s="5">
        <f t="shared" si="526"/>
        <v>0</v>
      </c>
      <c r="CB203" s="5"/>
      <c r="CC203" s="5">
        <f t="shared" si="527"/>
        <v>91980</v>
      </c>
    </row>
    <row r="204" spans="1:81">
      <c r="A204" s="29" t="s">
        <v>184</v>
      </c>
      <c r="B204" s="102">
        <f>8500*13</f>
        <v>110500</v>
      </c>
      <c r="C204" s="5"/>
      <c r="D204" s="5"/>
      <c r="E204" s="5"/>
      <c r="F204" s="5"/>
      <c r="G204" s="5"/>
      <c r="H204" s="5"/>
      <c r="I204" s="5">
        <f t="shared" si="518"/>
        <v>110500</v>
      </c>
      <c r="K204" s="62">
        <f>7850*13</f>
        <v>102050</v>
      </c>
      <c r="L204" s="5"/>
      <c r="M204" s="5"/>
      <c r="N204" s="5"/>
      <c r="O204" s="5"/>
      <c r="P204" s="5"/>
      <c r="Q204" s="5"/>
      <c r="R204" s="5">
        <f t="shared" si="519"/>
        <v>102050</v>
      </c>
      <c r="T204" s="62">
        <f>9100*13</f>
        <v>118300</v>
      </c>
      <c r="U204" s="5"/>
      <c r="V204" s="5"/>
      <c r="W204" s="5"/>
      <c r="X204" s="5"/>
      <c r="Y204" s="5"/>
      <c r="Z204" s="5"/>
      <c r="AA204" s="5">
        <f t="shared" si="520"/>
        <v>118300</v>
      </c>
      <c r="AC204" s="11">
        <f>((19950*13)+12200)+15500</f>
        <v>287050</v>
      </c>
      <c r="AD204" s="5"/>
      <c r="AE204" s="5"/>
      <c r="AF204" s="5"/>
      <c r="AG204" s="5"/>
      <c r="AH204" s="5"/>
      <c r="AI204" s="5"/>
      <c r="AJ204" s="5">
        <f t="shared" si="521"/>
        <v>287050</v>
      </c>
      <c r="AL204" s="62">
        <f>(35000*13)+12200+15500</f>
        <v>482700</v>
      </c>
      <c r="AM204" s="5"/>
      <c r="AN204" s="5"/>
      <c r="AO204" s="5"/>
      <c r="AP204" s="5"/>
      <c r="AQ204" s="5"/>
      <c r="AR204" s="5"/>
      <c r="AS204" s="5">
        <f t="shared" si="522"/>
        <v>482700</v>
      </c>
      <c r="AU204" s="62"/>
      <c r="AV204" s="5"/>
      <c r="AW204" s="5"/>
      <c r="AX204" s="5"/>
      <c r="AY204" s="5"/>
      <c r="AZ204" s="5"/>
      <c r="BA204" s="5"/>
      <c r="BB204" s="5">
        <f t="shared" si="523"/>
        <v>0</v>
      </c>
      <c r="BD204" s="62"/>
      <c r="BE204" s="5"/>
      <c r="BF204" s="5"/>
      <c r="BG204" s="5"/>
      <c r="BH204" s="5"/>
      <c r="BI204" s="5"/>
      <c r="BJ204" s="5"/>
      <c r="BK204" s="5">
        <f t="shared" si="524"/>
        <v>0</v>
      </c>
      <c r="BM204" s="62"/>
      <c r="BN204" s="5"/>
      <c r="BO204" s="5"/>
      <c r="BP204" s="5"/>
      <c r="BQ204" s="5"/>
      <c r="BR204" s="5"/>
      <c r="BS204" s="5"/>
      <c r="BT204" s="5">
        <f t="shared" si="525"/>
        <v>0</v>
      </c>
      <c r="BV204" s="5">
        <f t="shared" si="526"/>
        <v>1100600</v>
      </c>
      <c r="BW204" s="5">
        <f t="shared" si="526"/>
        <v>0</v>
      </c>
      <c r="BX204" s="5">
        <f t="shared" si="526"/>
        <v>0</v>
      </c>
      <c r="BY204" s="5">
        <f t="shared" si="526"/>
        <v>0</v>
      </c>
      <c r="BZ204" s="5">
        <f t="shared" si="526"/>
        <v>0</v>
      </c>
      <c r="CA204" s="5">
        <f t="shared" si="526"/>
        <v>0</v>
      </c>
      <c r="CB204" s="5"/>
      <c r="CC204" s="5">
        <f t="shared" si="527"/>
        <v>1100600</v>
      </c>
    </row>
    <row r="205" spans="1:81">
      <c r="A205" s="29" t="s">
        <v>185</v>
      </c>
      <c r="B205" s="11">
        <v>90000</v>
      </c>
      <c r="C205" s="5"/>
      <c r="D205" s="5"/>
      <c r="E205" s="5"/>
      <c r="F205" s="5"/>
      <c r="G205" s="5"/>
      <c r="H205" s="5"/>
      <c r="I205" s="5">
        <f t="shared" si="518"/>
        <v>90000</v>
      </c>
      <c r="K205" s="11">
        <v>100000</v>
      </c>
      <c r="L205" s="5"/>
      <c r="M205" s="5"/>
      <c r="N205" s="5"/>
      <c r="O205" s="5"/>
      <c r="P205" s="5"/>
      <c r="Q205" s="5"/>
      <c r="R205" s="5">
        <f t="shared" si="519"/>
        <v>100000</v>
      </c>
      <c r="T205" s="11">
        <v>145000</v>
      </c>
      <c r="U205" s="5"/>
      <c r="V205" s="5"/>
      <c r="W205" s="5"/>
      <c r="X205" s="5"/>
      <c r="Y205" s="5"/>
      <c r="Z205" s="5"/>
      <c r="AA205" s="5">
        <f t="shared" si="520"/>
        <v>145000</v>
      </c>
      <c r="AC205" s="11">
        <v>225000</v>
      </c>
      <c r="AD205" s="5"/>
      <c r="AE205" s="5"/>
      <c r="AF205" s="5">
        <v>150000</v>
      </c>
      <c r="AG205" s="5"/>
      <c r="AH205" s="5"/>
      <c r="AI205" s="5"/>
      <c r="AJ205" s="5">
        <f t="shared" si="521"/>
        <v>375000</v>
      </c>
      <c r="AL205" s="11">
        <v>150000</v>
      </c>
      <c r="AM205" s="5"/>
      <c r="AN205" s="5"/>
      <c r="AO205" s="5">
        <v>0</v>
      </c>
      <c r="AP205" s="5"/>
      <c r="AQ205" s="5"/>
      <c r="AR205" s="5"/>
      <c r="AS205" s="5">
        <f t="shared" si="522"/>
        <v>150000</v>
      </c>
      <c r="AU205" s="11"/>
      <c r="AV205" s="5"/>
      <c r="AW205" s="5"/>
      <c r="AX205" s="5"/>
      <c r="AY205" s="5"/>
      <c r="AZ205" s="5"/>
      <c r="BA205" s="5"/>
      <c r="BB205" s="5">
        <f t="shared" si="523"/>
        <v>0</v>
      </c>
      <c r="BD205" s="11">
        <v>40000</v>
      </c>
      <c r="BE205" s="5"/>
      <c r="BF205" s="5"/>
      <c r="BG205" s="5"/>
      <c r="BH205" s="5"/>
      <c r="BI205" s="5"/>
      <c r="BJ205" s="5"/>
      <c r="BK205" s="5">
        <f t="shared" si="524"/>
        <v>40000</v>
      </c>
      <c r="BM205" s="11"/>
      <c r="BN205" s="5"/>
      <c r="BO205" s="5"/>
      <c r="BP205" s="5"/>
      <c r="BQ205" s="5"/>
      <c r="BR205" s="5"/>
      <c r="BS205" s="5"/>
      <c r="BT205" s="5">
        <f t="shared" si="525"/>
        <v>0</v>
      </c>
      <c r="BV205" s="5">
        <f t="shared" si="526"/>
        <v>750000</v>
      </c>
      <c r="BW205" s="5">
        <f t="shared" si="526"/>
        <v>0</v>
      </c>
      <c r="BX205" s="5">
        <f t="shared" si="526"/>
        <v>0</v>
      </c>
      <c r="BY205" s="5">
        <f t="shared" si="526"/>
        <v>150000</v>
      </c>
      <c r="BZ205" s="5">
        <f t="shared" si="526"/>
        <v>0</v>
      </c>
      <c r="CA205" s="5">
        <f t="shared" si="526"/>
        <v>0</v>
      </c>
      <c r="CB205" s="5"/>
      <c r="CC205" s="5">
        <f t="shared" si="527"/>
        <v>900000</v>
      </c>
    </row>
    <row r="206" spans="1:81">
      <c r="A206" s="29" t="s">
        <v>186</v>
      </c>
      <c r="B206" s="11">
        <v>0</v>
      </c>
      <c r="C206" s="5"/>
      <c r="D206" s="5"/>
      <c r="E206" s="5"/>
      <c r="F206" s="5"/>
      <c r="G206" s="5"/>
      <c r="H206" s="5"/>
      <c r="I206" s="5">
        <f t="shared" si="518"/>
        <v>0</v>
      </c>
      <c r="K206" s="11">
        <v>0</v>
      </c>
      <c r="L206" s="5"/>
      <c r="M206" s="5"/>
      <c r="N206" s="5"/>
      <c r="O206" s="5"/>
      <c r="P206" s="5"/>
      <c r="Q206" s="5"/>
      <c r="R206" s="5">
        <f t="shared" si="519"/>
        <v>0</v>
      </c>
      <c r="T206" s="11">
        <v>0</v>
      </c>
      <c r="U206" s="5"/>
      <c r="V206" s="5"/>
      <c r="W206" s="5"/>
      <c r="X206" s="5"/>
      <c r="Y206" s="5"/>
      <c r="Z206" s="5"/>
      <c r="AA206" s="5">
        <f t="shared" si="520"/>
        <v>0</v>
      </c>
      <c r="AC206" s="11">
        <v>0</v>
      </c>
      <c r="AD206" s="5"/>
      <c r="AE206" s="5"/>
      <c r="AF206" s="5"/>
      <c r="AG206" s="5"/>
      <c r="AH206" s="5"/>
      <c r="AI206" s="5"/>
      <c r="AJ206" s="5">
        <f t="shared" si="521"/>
        <v>0</v>
      </c>
      <c r="AL206" s="11">
        <v>0</v>
      </c>
      <c r="AM206" s="5"/>
      <c r="AN206" s="5"/>
      <c r="AO206" s="5"/>
      <c r="AP206" s="5"/>
      <c r="AQ206" s="5"/>
      <c r="AR206" s="5"/>
      <c r="AS206" s="5">
        <f t="shared" si="522"/>
        <v>0</v>
      </c>
      <c r="AU206" s="11"/>
      <c r="AV206" s="5"/>
      <c r="AW206" s="5"/>
      <c r="AX206" s="5"/>
      <c r="AY206" s="5"/>
      <c r="AZ206" s="5"/>
      <c r="BA206" s="5"/>
      <c r="BB206" s="5">
        <f t="shared" si="523"/>
        <v>0</v>
      </c>
      <c r="BD206" s="11">
        <v>0</v>
      </c>
      <c r="BE206" s="5"/>
      <c r="BF206" s="5"/>
      <c r="BG206" s="5"/>
      <c r="BH206" s="5"/>
      <c r="BI206" s="5"/>
      <c r="BJ206" s="5"/>
      <c r="BK206" s="5">
        <f t="shared" si="524"/>
        <v>0</v>
      </c>
      <c r="BM206" s="11"/>
      <c r="BN206" s="5"/>
      <c r="BO206" s="5"/>
      <c r="BP206" s="5"/>
      <c r="BQ206" s="5"/>
      <c r="BR206" s="5"/>
      <c r="BS206" s="5"/>
      <c r="BT206" s="5">
        <f t="shared" si="525"/>
        <v>0</v>
      </c>
      <c r="BV206" s="5">
        <f t="shared" si="526"/>
        <v>0</v>
      </c>
      <c r="BW206" s="5">
        <f t="shared" si="526"/>
        <v>0</v>
      </c>
      <c r="BX206" s="5">
        <f t="shared" si="526"/>
        <v>0</v>
      </c>
      <c r="BY206" s="5">
        <f t="shared" si="526"/>
        <v>0</v>
      </c>
      <c r="BZ206" s="5">
        <f t="shared" si="526"/>
        <v>0</v>
      </c>
      <c r="CA206" s="5">
        <f t="shared" si="526"/>
        <v>0</v>
      </c>
      <c r="CB206" s="5"/>
      <c r="CC206" s="5">
        <f t="shared" si="527"/>
        <v>0</v>
      </c>
    </row>
    <row r="207" spans="1:81">
      <c r="A207" s="29" t="s">
        <v>187</v>
      </c>
      <c r="B207" s="62">
        <f>(650*12)+20000</f>
        <v>27800</v>
      </c>
      <c r="C207" s="5"/>
      <c r="D207" s="5"/>
      <c r="E207" s="5"/>
      <c r="F207" s="5"/>
      <c r="G207" s="5"/>
      <c r="H207" s="5"/>
      <c r="I207" s="5">
        <f t="shared" si="518"/>
        <v>27800</v>
      </c>
      <c r="K207" s="79">
        <f>((665*12)+14000)*1.05</f>
        <v>23079</v>
      </c>
      <c r="L207" s="5"/>
      <c r="M207" s="5"/>
      <c r="N207" s="5"/>
      <c r="O207" s="5"/>
      <c r="P207" s="5"/>
      <c r="Q207" s="5"/>
      <c r="R207" s="5">
        <f t="shared" si="519"/>
        <v>23079</v>
      </c>
      <c r="T207" s="62">
        <f>((650*12)*1.05)+15000</f>
        <v>23190</v>
      </c>
      <c r="U207" s="5"/>
      <c r="V207" s="5"/>
      <c r="W207" s="5"/>
      <c r="X207" s="5"/>
      <c r="Y207" s="5"/>
      <c r="Z207" s="5"/>
      <c r="AA207" s="5">
        <f t="shared" si="520"/>
        <v>23190</v>
      </c>
      <c r="AC207" s="79">
        <f>((1200*12)*1.05)+20000</f>
        <v>35120</v>
      </c>
      <c r="AD207" s="5"/>
      <c r="AE207" s="5"/>
      <c r="AF207" s="5"/>
      <c r="AG207" s="5"/>
      <c r="AH207" s="5"/>
      <c r="AI207" s="5"/>
      <c r="AJ207" s="5">
        <f t="shared" si="521"/>
        <v>35120</v>
      </c>
      <c r="AL207" s="62">
        <f>(1330*12)+20000</f>
        <v>35960</v>
      </c>
      <c r="AM207" s="5"/>
      <c r="AN207" s="5"/>
      <c r="AO207" s="5"/>
      <c r="AP207" s="5"/>
      <c r="AQ207" s="5"/>
      <c r="AR207" s="5"/>
      <c r="AS207" s="5">
        <f t="shared" si="522"/>
        <v>35960</v>
      </c>
      <c r="AU207" s="62"/>
      <c r="AV207" s="5"/>
      <c r="AW207" s="5"/>
      <c r="AX207" s="5"/>
      <c r="AY207" s="5"/>
      <c r="AZ207" s="5"/>
      <c r="BA207" s="5"/>
      <c r="BB207" s="5">
        <f t="shared" si="523"/>
        <v>0</v>
      </c>
      <c r="BD207" s="79">
        <v>0</v>
      </c>
      <c r="BE207" s="5"/>
      <c r="BF207" s="5"/>
      <c r="BG207" s="5"/>
      <c r="BH207" s="5"/>
      <c r="BI207" s="5"/>
      <c r="BJ207" s="5"/>
      <c r="BK207" s="5">
        <f t="shared" si="524"/>
        <v>0</v>
      </c>
      <c r="BM207" s="62"/>
      <c r="BN207" s="5"/>
      <c r="BO207" s="5"/>
      <c r="BP207" s="5"/>
      <c r="BQ207" s="5"/>
      <c r="BR207" s="5"/>
      <c r="BS207" s="5"/>
      <c r="BT207" s="5">
        <f t="shared" si="525"/>
        <v>0</v>
      </c>
      <c r="BV207" s="5">
        <f t="shared" si="526"/>
        <v>145149</v>
      </c>
      <c r="BW207" s="5">
        <f t="shared" si="526"/>
        <v>0</v>
      </c>
      <c r="BX207" s="5">
        <f t="shared" si="526"/>
        <v>0</v>
      </c>
      <c r="BY207" s="5">
        <f t="shared" si="526"/>
        <v>0</v>
      </c>
      <c r="BZ207" s="5">
        <f t="shared" si="526"/>
        <v>0</v>
      </c>
      <c r="CA207" s="5">
        <f t="shared" si="526"/>
        <v>0</v>
      </c>
      <c r="CB207" s="5"/>
      <c r="CC207" s="5">
        <f t="shared" si="527"/>
        <v>145149</v>
      </c>
    </row>
    <row r="208" spans="1:81">
      <c r="A208" s="78" t="s">
        <v>188</v>
      </c>
      <c r="B208" s="84">
        <f>((398+85+398+796)*12)+20000</f>
        <v>40124</v>
      </c>
      <c r="C208" s="5"/>
      <c r="D208" s="5"/>
      <c r="E208" s="5"/>
      <c r="F208" s="5"/>
      <c r="G208" s="5"/>
      <c r="H208" s="5"/>
      <c r="I208" s="5">
        <f t="shared" si="518"/>
        <v>40124</v>
      </c>
      <c r="K208" s="96">
        <f>(800*13)+15000</f>
        <v>25400</v>
      </c>
      <c r="L208" s="5"/>
      <c r="M208" s="5"/>
      <c r="N208" s="5"/>
      <c r="O208" s="5"/>
      <c r="P208" s="5"/>
      <c r="Q208" s="5"/>
      <c r="R208" s="5">
        <f t="shared" si="519"/>
        <v>25400</v>
      </c>
      <c r="T208" s="84">
        <f>(12672*1.05)+15000</f>
        <v>28305.599999999999</v>
      </c>
      <c r="U208" s="5"/>
      <c r="V208" s="5"/>
      <c r="W208" s="5"/>
      <c r="X208" s="5"/>
      <c r="Y208" s="5"/>
      <c r="Z208" s="5"/>
      <c r="AA208" s="5">
        <f t="shared" si="520"/>
        <v>28305.599999999999</v>
      </c>
      <c r="AC208" s="96">
        <f>(27468*1.05)+25000</f>
        <v>53841.4</v>
      </c>
      <c r="AD208" s="5"/>
      <c r="AE208" s="5"/>
      <c r="AF208" s="5"/>
      <c r="AG208" s="5"/>
      <c r="AH208" s="5"/>
      <c r="AI208" s="5"/>
      <c r="AJ208" s="5">
        <f t="shared" si="521"/>
        <v>53841.4</v>
      </c>
      <c r="AL208" s="84">
        <f>(520+180*12)+30000</f>
        <v>32680</v>
      </c>
      <c r="AM208" s="5"/>
      <c r="AN208" s="5"/>
      <c r="AO208" s="5"/>
      <c r="AP208" s="5"/>
      <c r="AQ208" s="5"/>
      <c r="AR208" s="5"/>
      <c r="AS208" s="5">
        <f t="shared" si="522"/>
        <v>32680</v>
      </c>
      <c r="AU208" s="84"/>
      <c r="AV208" s="5"/>
      <c r="AW208" s="5"/>
      <c r="AX208" s="5"/>
      <c r="AY208" s="5"/>
      <c r="AZ208" s="5"/>
      <c r="BA208" s="5"/>
      <c r="BB208" s="5">
        <f t="shared" si="523"/>
        <v>0</v>
      </c>
      <c r="BD208" s="84">
        <v>11500</v>
      </c>
      <c r="BE208" s="5"/>
      <c r="BF208" s="5"/>
      <c r="BG208" s="5"/>
      <c r="BH208" s="5"/>
      <c r="BI208" s="5"/>
      <c r="BJ208" s="5"/>
      <c r="BK208" s="5">
        <f t="shared" si="524"/>
        <v>11500</v>
      </c>
      <c r="BM208" s="84"/>
      <c r="BN208" s="5"/>
      <c r="BO208" s="5"/>
      <c r="BP208" s="5"/>
      <c r="BQ208" s="5"/>
      <c r="BR208" s="5"/>
      <c r="BS208" s="5"/>
      <c r="BT208" s="5">
        <f t="shared" si="525"/>
        <v>0</v>
      </c>
      <c r="BV208" s="5">
        <f t="shared" si="526"/>
        <v>191851</v>
      </c>
      <c r="BW208" s="5">
        <f t="shared" si="526"/>
        <v>0</v>
      </c>
      <c r="BX208" s="5">
        <f t="shared" si="526"/>
        <v>0</v>
      </c>
      <c r="BY208" s="5">
        <f t="shared" si="526"/>
        <v>0</v>
      </c>
      <c r="BZ208" s="5">
        <f t="shared" si="526"/>
        <v>0</v>
      </c>
      <c r="CA208" s="5">
        <f t="shared" si="526"/>
        <v>0</v>
      </c>
      <c r="CB208" s="5"/>
      <c r="CC208" s="5">
        <f t="shared" si="527"/>
        <v>191851</v>
      </c>
    </row>
    <row r="209" spans="1:81" ht="15">
      <c r="A209" s="70" t="s">
        <v>189</v>
      </c>
      <c r="B209" s="71">
        <f t="shared" ref="B209:I209" si="528">SUM(B199:B208)</f>
        <v>465924</v>
      </c>
      <c r="C209" s="71">
        <f t="shared" si="528"/>
        <v>0</v>
      </c>
      <c r="D209" s="71">
        <f t="shared" si="528"/>
        <v>0</v>
      </c>
      <c r="E209" s="71">
        <f t="shared" si="528"/>
        <v>0</v>
      </c>
      <c r="F209" s="71">
        <f t="shared" si="528"/>
        <v>0</v>
      </c>
      <c r="G209" s="71">
        <f t="shared" si="528"/>
        <v>0</v>
      </c>
      <c r="H209" s="71">
        <f t="shared" si="528"/>
        <v>0</v>
      </c>
      <c r="I209" s="71">
        <f t="shared" si="528"/>
        <v>465924</v>
      </c>
      <c r="J209" s="7"/>
      <c r="K209" s="71">
        <f>SUM(K199:K208)</f>
        <v>406029</v>
      </c>
      <c r="L209" s="71">
        <f t="shared" ref="L209:R209" si="529">SUM(L199:L208)</f>
        <v>0</v>
      </c>
      <c r="M209" s="71">
        <f t="shared" si="529"/>
        <v>0</v>
      </c>
      <c r="N209" s="71">
        <f t="shared" si="529"/>
        <v>0</v>
      </c>
      <c r="O209" s="71">
        <f t="shared" si="529"/>
        <v>0</v>
      </c>
      <c r="P209" s="71">
        <f t="shared" si="529"/>
        <v>0</v>
      </c>
      <c r="Q209" s="71">
        <f t="shared" si="529"/>
        <v>0</v>
      </c>
      <c r="R209" s="71">
        <f t="shared" si="529"/>
        <v>406029</v>
      </c>
      <c r="T209" s="71">
        <f t="shared" ref="T209:AA209" si="530">SUM(T199:T208)</f>
        <v>506295.6</v>
      </c>
      <c r="U209" s="71">
        <f t="shared" si="530"/>
        <v>0</v>
      </c>
      <c r="V209" s="71">
        <f t="shared" si="530"/>
        <v>0</v>
      </c>
      <c r="W209" s="71">
        <f t="shared" si="530"/>
        <v>0</v>
      </c>
      <c r="X209" s="71">
        <f t="shared" si="530"/>
        <v>0</v>
      </c>
      <c r="Y209" s="71">
        <f t="shared" si="530"/>
        <v>0</v>
      </c>
      <c r="Z209" s="71">
        <f t="shared" si="530"/>
        <v>0</v>
      </c>
      <c r="AA209" s="71">
        <f t="shared" si="530"/>
        <v>506295.6</v>
      </c>
      <c r="AC209" s="71">
        <f t="shared" ref="AC209:AJ209" si="531">SUM(AC199:AC208)</f>
        <v>1039111.4</v>
      </c>
      <c r="AD209" s="71">
        <f t="shared" si="531"/>
        <v>0</v>
      </c>
      <c r="AE209" s="71">
        <f t="shared" si="531"/>
        <v>0</v>
      </c>
      <c r="AF209" s="71">
        <f t="shared" si="531"/>
        <v>150000</v>
      </c>
      <c r="AG209" s="71">
        <f t="shared" si="531"/>
        <v>0</v>
      </c>
      <c r="AH209" s="71">
        <f t="shared" si="531"/>
        <v>0</v>
      </c>
      <c r="AI209" s="71">
        <f t="shared" si="531"/>
        <v>0</v>
      </c>
      <c r="AJ209" s="71">
        <f t="shared" si="531"/>
        <v>1189111.3999999999</v>
      </c>
      <c r="AL209" s="71">
        <f t="shared" ref="AL209:AS209" si="532">SUM(AL199:AL208)</f>
        <v>1110220</v>
      </c>
      <c r="AM209" s="71">
        <f t="shared" si="532"/>
        <v>0</v>
      </c>
      <c r="AN209" s="71">
        <f t="shared" si="532"/>
        <v>0</v>
      </c>
      <c r="AO209" s="71">
        <f t="shared" si="532"/>
        <v>0</v>
      </c>
      <c r="AP209" s="71">
        <f t="shared" si="532"/>
        <v>0</v>
      </c>
      <c r="AQ209" s="71">
        <f t="shared" si="532"/>
        <v>0</v>
      </c>
      <c r="AR209" s="71">
        <f t="shared" si="532"/>
        <v>0</v>
      </c>
      <c r="AS209" s="71">
        <f t="shared" si="532"/>
        <v>1110220</v>
      </c>
      <c r="AU209" s="71">
        <f t="shared" ref="AU209:BB209" si="533">SUM(AU199:AU208)</f>
        <v>0</v>
      </c>
      <c r="AV209" s="71">
        <f t="shared" si="533"/>
        <v>0</v>
      </c>
      <c r="AW209" s="71">
        <f t="shared" si="533"/>
        <v>0</v>
      </c>
      <c r="AX209" s="71">
        <f t="shared" si="533"/>
        <v>0</v>
      </c>
      <c r="AY209" s="71">
        <f t="shared" si="533"/>
        <v>0</v>
      </c>
      <c r="AZ209" s="71">
        <f t="shared" si="533"/>
        <v>0</v>
      </c>
      <c r="BA209" s="71">
        <f t="shared" si="533"/>
        <v>0</v>
      </c>
      <c r="BB209" s="71">
        <f t="shared" si="533"/>
        <v>0</v>
      </c>
      <c r="BD209" s="71">
        <f t="shared" ref="BD209:BK209" si="534">SUM(BD199:BD208)</f>
        <v>101750</v>
      </c>
      <c r="BE209" s="71">
        <f t="shared" si="534"/>
        <v>0</v>
      </c>
      <c r="BF209" s="71">
        <f t="shared" si="534"/>
        <v>0</v>
      </c>
      <c r="BG209" s="71">
        <f t="shared" si="534"/>
        <v>0</v>
      </c>
      <c r="BH209" s="71">
        <f t="shared" si="534"/>
        <v>0</v>
      </c>
      <c r="BI209" s="71">
        <f t="shared" si="534"/>
        <v>0</v>
      </c>
      <c r="BJ209" s="71">
        <f t="shared" si="534"/>
        <v>0</v>
      </c>
      <c r="BK209" s="71">
        <f t="shared" si="534"/>
        <v>101750</v>
      </c>
      <c r="BM209" s="71">
        <f t="shared" ref="BM209:BT209" si="535">SUM(BM199:BM208)</f>
        <v>0</v>
      </c>
      <c r="BN209" s="71">
        <f t="shared" si="535"/>
        <v>0</v>
      </c>
      <c r="BO209" s="71">
        <f t="shared" si="535"/>
        <v>0</v>
      </c>
      <c r="BP209" s="71">
        <f t="shared" si="535"/>
        <v>0</v>
      </c>
      <c r="BQ209" s="71">
        <f t="shared" si="535"/>
        <v>0</v>
      </c>
      <c r="BR209" s="71">
        <f t="shared" si="535"/>
        <v>0</v>
      </c>
      <c r="BS209" s="71">
        <f t="shared" si="535"/>
        <v>0</v>
      </c>
      <c r="BT209" s="71">
        <f t="shared" si="535"/>
        <v>0</v>
      </c>
      <c r="BV209" s="71">
        <f t="shared" ref="BV209:CC209" si="536">SUM(BV199:BV208)</f>
        <v>3629330</v>
      </c>
      <c r="BW209" s="71">
        <f t="shared" si="536"/>
        <v>0</v>
      </c>
      <c r="BX209" s="71">
        <f t="shared" si="536"/>
        <v>0</v>
      </c>
      <c r="BY209" s="71">
        <f t="shared" si="536"/>
        <v>150000</v>
      </c>
      <c r="BZ209" s="71">
        <f t="shared" si="536"/>
        <v>0</v>
      </c>
      <c r="CA209" s="71">
        <f t="shared" si="536"/>
        <v>0</v>
      </c>
      <c r="CB209" s="71">
        <f t="shared" si="536"/>
        <v>0</v>
      </c>
      <c r="CC209" s="71">
        <f t="shared" si="536"/>
        <v>3779330</v>
      </c>
    </row>
    <row r="210" spans="1:81">
      <c r="A210" s="85"/>
      <c r="B210" s="5"/>
      <c r="C210" s="5"/>
      <c r="D210" s="5"/>
      <c r="E210" s="5"/>
      <c r="F210" s="5"/>
      <c r="G210" s="5"/>
      <c r="H210" s="5"/>
      <c r="I210" s="5"/>
      <c r="J210" s="7"/>
      <c r="K210" s="5"/>
      <c r="L210" s="5"/>
      <c r="M210" s="5"/>
      <c r="N210" s="5"/>
      <c r="O210" s="5"/>
      <c r="P210" s="5"/>
      <c r="Q210" s="5"/>
      <c r="R210" s="5"/>
      <c r="T210" s="5"/>
      <c r="U210" s="5"/>
      <c r="V210" s="5"/>
      <c r="W210" s="5"/>
      <c r="X210" s="5"/>
      <c r="Y210" s="5"/>
      <c r="Z210" s="5"/>
      <c r="AA210" s="5"/>
      <c r="AC210" s="5"/>
      <c r="AD210" s="5"/>
      <c r="AE210" s="5"/>
      <c r="AF210" s="5"/>
      <c r="AG210" s="5"/>
      <c r="AH210" s="5"/>
      <c r="AI210" s="5"/>
      <c r="AJ210" s="5"/>
      <c r="AL210" s="5"/>
      <c r="AM210" s="5"/>
      <c r="AN210" s="5"/>
      <c r="AO210" s="5"/>
      <c r="AP210" s="5"/>
      <c r="AQ210" s="5"/>
      <c r="AR210" s="5"/>
      <c r="AS210" s="5"/>
      <c r="AU210" s="5"/>
      <c r="AV210" s="5"/>
      <c r="AW210" s="5"/>
      <c r="AX210" s="5"/>
      <c r="AY210" s="5"/>
      <c r="AZ210" s="5"/>
      <c r="BA210" s="5"/>
      <c r="BB210" s="5"/>
      <c r="BD210" s="5"/>
      <c r="BE210" s="5"/>
      <c r="BF210" s="5"/>
      <c r="BG210" s="5"/>
      <c r="BH210" s="5"/>
      <c r="BI210" s="5"/>
      <c r="BJ210" s="5"/>
      <c r="BK210" s="5"/>
      <c r="BM210" s="5"/>
      <c r="BN210" s="5"/>
      <c r="BO210" s="5"/>
      <c r="BP210" s="5"/>
      <c r="BQ210" s="5"/>
      <c r="BR210" s="5"/>
      <c r="BS210" s="5"/>
      <c r="BT210" s="5"/>
      <c r="BV210" s="5"/>
      <c r="BW210" s="5"/>
      <c r="BX210" s="5"/>
      <c r="BY210" s="5"/>
      <c r="BZ210" s="5"/>
      <c r="CA210" s="5"/>
      <c r="CB210" s="5"/>
      <c r="CC210" s="5"/>
    </row>
    <row r="211" spans="1:81" ht="15">
      <c r="A211" s="70" t="s">
        <v>190</v>
      </c>
      <c r="B211" s="71">
        <f>B142+B154+B170+B197+B209</f>
        <v>7301838.0948999999</v>
      </c>
      <c r="C211" s="71">
        <f t="shared" ref="C211:H211" si="537">C142+C154+C170+C197+C209</f>
        <v>1302887.75</v>
      </c>
      <c r="D211" s="71">
        <f t="shared" si="537"/>
        <v>400145.9</v>
      </c>
      <c r="E211" s="71">
        <f t="shared" si="537"/>
        <v>0</v>
      </c>
      <c r="F211" s="71">
        <f t="shared" si="537"/>
        <v>0</v>
      </c>
      <c r="G211" s="71">
        <f t="shared" si="537"/>
        <v>275000</v>
      </c>
      <c r="H211" s="71">
        <f t="shared" si="537"/>
        <v>0</v>
      </c>
      <c r="I211" s="71">
        <f>I142+I154+I170+I197+I209</f>
        <v>9279871.7448999994</v>
      </c>
      <c r="J211" s="7"/>
      <c r="K211" s="71">
        <f>K142+K154+K170+K197+K209</f>
        <v>8187581.2353999997</v>
      </c>
      <c r="L211" s="71">
        <f t="shared" ref="L211:Q211" si="538">L142+L154+L170+L197+L209</f>
        <v>961199.8</v>
      </c>
      <c r="M211" s="71">
        <f t="shared" si="538"/>
        <v>336427</v>
      </c>
      <c r="N211" s="71">
        <f t="shared" si="538"/>
        <v>0</v>
      </c>
      <c r="O211" s="71">
        <f t="shared" si="538"/>
        <v>0</v>
      </c>
      <c r="P211" s="71">
        <f t="shared" si="538"/>
        <v>800000</v>
      </c>
      <c r="Q211" s="71">
        <f t="shared" si="538"/>
        <v>0</v>
      </c>
      <c r="R211" s="71">
        <f>R142+R154+R170+R197+R209</f>
        <v>10285208.035399999</v>
      </c>
      <c r="T211" s="71">
        <f>T142+T154+T170+T197+T209</f>
        <v>9716838.5438000001</v>
      </c>
      <c r="U211" s="71">
        <f t="shared" ref="U211:Z211" si="539">U142+U154+U170+U197+U209</f>
        <v>1137109.6457500001</v>
      </c>
      <c r="V211" s="71">
        <f t="shared" si="539"/>
        <v>223581.97500000001</v>
      </c>
      <c r="W211" s="71">
        <f t="shared" si="539"/>
        <v>0</v>
      </c>
      <c r="X211" s="71">
        <f t="shared" si="539"/>
        <v>0</v>
      </c>
      <c r="Y211" s="71">
        <f t="shared" si="539"/>
        <v>800000</v>
      </c>
      <c r="Z211" s="71">
        <f t="shared" si="539"/>
        <v>0</v>
      </c>
      <c r="AA211" s="71">
        <f>AA142+AA154+AA170+AA197+AA209</f>
        <v>11877530.164549999</v>
      </c>
      <c r="AC211" s="71">
        <f>AC142+AC154+AC170+AC197+AC209</f>
        <v>19112533.232999999</v>
      </c>
      <c r="AD211" s="71">
        <f t="shared" ref="AD211:AI211" si="540">AD142+AD154+AD170+AD197+AD209</f>
        <v>2753706.5300000003</v>
      </c>
      <c r="AE211" s="71">
        <f t="shared" si="540"/>
        <v>938722.4</v>
      </c>
      <c r="AF211" s="71">
        <f t="shared" si="540"/>
        <v>150000</v>
      </c>
      <c r="AG211" s="71">
        <f t="shared" si="540"/>
        <v>0</v>
      </c>
      <c r="AH211" s="71">
        <f t="shared" si="540"/>
        <v>1250000</v>
      </c>
      <c r="AI211" s="71">
        <f t="shared" si="540"/>
        <v>0</v>
      </c>
      <c r="AJ211" s="71">
        <f>AJ142+AJ154+AJ170+AJ197+AJ209</f>
        <v>24204962.162999999</v>
      </c>
      <c r="AL211" s="71">
        <f>AL142+AL154+AL170+AL197+AL209</f>
        <v>17482796.892200001</v>
      </c>
      <c r="AM211" s="71">
        <f t="shared" ref="AM211:AR211" si="541">AM142+AM154+AM170+AM197+AM209</f>
        <v>2576575.7275</v>
      </c>
      <c r="AN211" s="71">
        <f t="shared" si="541"/>
        <v>605056.69999999995</v>
      </c>
      <c r="AO211" s="71">
        <f t="shared" si="541"/>
        <v>0</v>
      </c>
      <c r="AP211" s="71">
        <f t="shared" si="541"/>
        <v>0</v>
      </c>
      <c r="AQ211" s="71">
        <f t="shared" si="541"/>
        <v>2000000</v>
      </c>
      <c r="AR211" s="71">
        <f t="shared" si="541"/>
        <v>0</v>
      </c>
      <c r="AS211" s="71">
        <f>AS142+AS154+AS170+AS197+AS209</f>
        <v>22664429.319699999</v>
      </c>
      <c r="AU211" s="71">
        <f>AU142+AU154+AU170+AU197+AU209</f>
        <v>1120063</v>
      </c>
      <c r="AV211" s="71">
        <f t="shared" ref="AV211:BA211" si="542">AV142+AV154+AV170+AV197+AV209</f>
        <v>215370.54499999998</v>
      </c>
      <c r="AW211" s="71">
        <f t="shared" si="542"/>
        <v>2733.75</v>
      </c>
      <c r="AX211" s="71">
        <f t="shared" si="542"/>
        <v>0</v>
      </c>
      <c r="AY211" s="71">
        <f t="shared" si="542"/>
        <v>0</v>
      </c>
      <c r="AZ211" s="71">
        <f t="shared" si="542"/>
        <v>0</v>
      </c>
      <c r="BA211" s="71">
        <f t="shared" si="542"/>
        <v>0</v>
      </c>
      <c r="BB211" s="71">
        <f>BB142+BB154+BB170+BB197+BB209</f>
        <v>1338167.2949999999</v>
      </c>
      <c r="BD211" s="71">
        <f>BD142+BD154+BD170+BD197+BD209</f>
        <v>2436209.5649999999</v>
      </c>
      <c r="BE211" s="71">
        <f t="shared" ref="BE211:BJ211" si="543">BE142+BE154+BE170+BE197+BE209</f>
        <v>357797.27500000002</v>
      </c>
      <c r="BF211" s="71">
        <f t="shared" si="543"/>
        <v>321453.82</v>
      </c>
      <c r="BG211" s="71">
        <f t="shared" si="543"/>
        <v>0</v>
      </c>
      <c r="BH211" s="71">
        <f t="shared" si="543"/>
        <v>0</v>
      </c>
      <c r="BI211" s="71">
        <f t="shared" si="543"/>
        <v>50000</v>
      </c>
      <c r="BJ211" s="71">
        <f t="shared" si="543"/>
        <v>0</v>
      </c>
      <c r="BK211" s="71">
        <f>BK142+BK154+BK170+BK197+BK209</f>
        <v>3165460.6599999997</v>
      </c>
      <c r="BM211" s="71">
        <f>BM142+BM154+BM170+BM197+BM209</f>
        <v>420028.3</v>
      </c>
      <c r="BN211" s="71">
        <f t="shared" ref="BN211:BS211" si="544">BN142+BN154+BN170+BN197+BN209</f>
        <v>0</v>
      </c>
      <c r="BO211" s="71">
        <f t="shared" si="544"/>
        <v>25459.200000000001</v>
      </c>
      <c r="BP211" s="71">
        <f t="shared" si="544"/>
        <v>0</v>
      </c>
      <c r="BQ211" s="71">
        <f t="shared" si="544"/>
        <v>0</v>
      </c>
      <c r="BR211" s="71">
        <f t="shared" si="544"/>
        <v>0</v>
      </c>
      <c r="BS211" s="71">
        <f t="shared" si="544"/>
        <v>0</v>
      </c>
      <c r="BT211" s="71">
        <f>BT142+BT154+BT170+BT197+BT209</f>
        <v>445487.5</v>
      </c>
      <c r="BV211" s="71">
        <f>BV142+BV154+BV170+BV197+BV209</f>
        <v>65777888.864300005</v>
      </c>
      <c r="BW211" s="71">
        <f t="shared" ref="BW211:CB211" si="545">BW142+BW154+BW170+BW197+BW209</f>
        <v>9304647.2732500006</v>
      </c>
      <c r="BX211" s="71">
        <f t="shared" si="545"/>
        <v>2853580.7450000001</v>
      </c>
      <c r="BY211" s="71">
        <f t="shared" si="545"/>
        <v>150000</v>
      </c>
      <c r="BZ211" s="71">
        <f t="shared" si="545"/>
        <v>0</v>
      </c>
      <c r="CA211" s="71">
        <f t="shared" si="545"/>
        <v>5175000</v>
      </c>
      <c r="CB211" s="71">
        <f t="shared" si="545"/>
        <v>0</v>
      </c>
      <c r="CC211" s="71">
        <f>CC142+CC154+CC170+CC197+CC209</f>
        <v>83261116.882550001</v>
      </c>
    </row>
    <row r="212" spans="1:81">
      <c r="A212" s="86"/>
      <c r="B212" s="52"/>
      <c r="C212" s="52"/>
      <c r="D212" s="52"/>
      <c r="E212" s="52"/>
      <c r="F212" s="52"/>
      <c r="G212" s="52"/>
      <c r="H212" s="52"/>
      <c r="I212" s="52"/>
      <c r="J212" s="7"/>
      <c r="K212" s="52"/>
      <c r="L212" s="52"/>
      <c r="M212" s="52"/>
      <c r="N212" s="52"/>
      <c r="O212" s="52"/>
      <c r="P212" s="52"/>
      <c r="Q212" s="52"/>
      <c r="R212" s="52"/>
      <c r="T212" s="52"/>
      <c r="U212" s="52"/>
      <c r="V212" s="52"/>
      <c r="W212" s="52"/>
      <c r="X212" s="52"/>
      <c r="Y212" s="52"/>
      <c r="Z212" s="52"/>
      <c r="AA212" s="52"/>
      <c r="AC212" s="52"/>
      <c r="AD212" s="52"/>
      <c r="AE212" s="52"/>
      <c r="AF212" s="52"/>
      <c r="AG212" s="52"/>
      <c r="AH212" s="52"/>
      <c r="AI212" s="52"/>
      <c r="AJ212" s="52"/>
      <c r="AL212" s="52"/>
      <c r="AM212" s="52"/>
      <c r="AN212" s="52"/>
      <c r="AO212" s="52"/>
      <c r="AP212" s="52"/>
      <c r="AQ212" s="52"/>
      <c r="AR212" s="52"/>
      <c r="AS212" s="52"/>
      <c r="AU212" s="52"/>
      <c r="AV212" s="52"/>
      <c r="AW212" s="52"/>
      <c r="AX212" s="52"/>
      <c r="AY212" s="52"/>
      <c r="AZ212" s="52"/>
      <c r="BA212" s="52"/>
      <c r="BB212" s="52"/>
      <c r="BD212" s="52"/>
      <c r="BE212" s="52"/>
      <c r="BF212" s="52"/>
      <c r="BG212" s="52"/>
      <c r="BH212" s="52"/>
      <c r="BI212" s="52"/>
      <c r="BJ212" s="52"/>
      <c r="BK212" s="52"/>
      <c r="BM212" s="52"/>
      <c r="BN212" s="52"/>
      <c r="BO212" s="52"/>
      <c r="BP212" s="52"/>
      <c r="BQ212" s="52"/>
      <c r="BR212" s="52"/>
      <c r="BS212" s="52"/>
      <c r="BT212" s="52"/>
      <c r="BV212" s="52"/>
      <c r="BW212" s="52"/>
      <c r="BX212" s="52"/>
      <c r="BY212" s="52"/>
      <c r="BZ212" s="52"/>
      <c r="CA212" s="52"/>
      <c r="CB212" s="52"/>
      <c r="CC212" s="52"/>
    </row>
    <row r="213" spans="1:81" ht="15">
      <c r="A213" s="43" t="s">
        <v>191</v>
      </c>
      <c r="B213" s="103">
        <v>0</v>
      </c>
      <c r="C213" s="9"/>
      <c r="D213" s="9"/>
      <c r="E213" s="9"/>
      <c r="F213" s="9"/>
      <c r="G213" s="9"/>
      <c r="H213" s="9"/>
      <c r="I213" s="9">
        <f t="shared" ref="I213:I218" si="546">SUM(B213:H213)</f>
        <v>0</v>
      </c>
      <c r="K213" s="9">
        <v>0</v>
      </c>
      <c r="L213" s="9"/>
      <c r="M213" s="9"/>
      <c r="N213" s="9"/>
      <c r="O213" s="9"/>
      <c r="P213" s="9"/>
      <c r="Q213" s="9"/>
      <c r="R213" s="9">
        <f t="shared" ref="R213:R218" si="547">SUM(K213:Q213)</f>
        <v>0</v>
      </c>
      <c r="T213" s="9"/>
      <c r="U213" s="9"/>
      <c r="V213" s="9"/>
      <c r="W213" s="9"/>
      <c r="X213" s="9"/>
      <c r="Y213" s="9"/>
      <c r="Z213" s="9"/>
      <c r="AA213" s="9">
        <f t="shared" ref="AA213:AA218" si="548">SUM(T213:Z213)</f>
        <v>0</v>
      </c>
      <c r="AC213" s="9">
        <v>2494800</v>
      </c>
      <c r="AD213" s="9"/>
      <c r="AE213" s="9"/>
      <c r="AF213" s="9"/>
      <c r="AG213" s="9"/>
      <c r="AH213" s="9"/>
      <c r="AI213" s="9"/>
      <c r="AJ213" s="9">
        <f t="shared" ref="AJ213:AJ218" si="549">SUM(AC213:AI213)</f>
        <v>2494800</v>
      </c>
      <c r="AL213" s="9">
        <v>3389900</v>
      </c>
      <c r="AM213" s="9"/>
      <c r="AN213" s="9"/>
      <c r="AO213" s="9"/>
      <c r="AP213" s="9"/>
      <c r="AQ213" s="9"/>
      <c r="AR213" s="9"/>
      <c r="AS213" s="9">
        <f t="shared" ref="AS213:AS218" si="550">SUM(AL213:AR213)</f>
        <v>3389900</v>
      </c>
      <c r="AU213" s="9"/>
      <c r="AV213" s="9"/>
      <c r="AW213" s="9"/>
      <c r="AX213" s="9"/>
      <c r="AY213" s="9"/>
      <c r="AZ213" s="9"/>
      <c r="BA213" s="9"/>
      <c r="BB213" s="9">
        <f t="shared" ref="BB213:BB218" si="551">SUM(AU213:BA213)</f>
        <v>0</v>
      </c>
      <c r="BD213" s="9">
        <f>750*BD17</f>
        <v>199500</v>
      </c>
      <c r="BE213" s="9"/>
      <c r="BF213" s="9"/>
      <c r="BG213" s="9"/>
      <c r="BH213" s="9"/>
      <c r="BI213" s="9"/>
      <c r="BJ213" s="9"/>
      <c r="BK213" s="9">
        <f t="shared" ref="BK213:BK218" si="552">SUM(BD213:BJ213)</f>
        <v>199500</v>
      </c>
      <c r="BM213" s="9">
        <v>0</v>
      </c>
      <c r="BN213" s="9"/>
      <c r="BO213" s="9"/>
      <c r="BP213" s="9"/>
      <c r="BQ213" s="9"/>
      <c r="BR213" s="9"/>
      <c r="BS213" s="9"/>
      <c r="BT213" s="9">
        <f t="shared" ref="BT213:BT218" si="553">SUM(BM213:BS213)</f>
        <v>0</v>
      </c>
      <c r="BV213" s="9">
        <f t="shared" ref="BV213:CA217" si="554">B213+K213+T213+AC213+AL213+AU213+BD213+BM213</f>
        <v>6084200</v>
      </c>
      <c r="BW213" s="9">
        <f t="shared" si="554"/>
        <v>0</v>
      </c>
      <c r="BX213" s="9">
        <f t="shared" si="554"/>
        <v>0</v>
      </c>
      <c r="BY213" s="9">
        <f t="shared" si="554"/>
        <v>0</v>
      </c>
      <c r="BZ213" s="9">
        <f t="shared" si="554"/>
        <v>0</v>
      </c>
      <c r="CA213" s="9">
        <f t="shared" si="554"/>
        <v>0</v>
      </c>
      <c r="CB213" s="9"/>
      <c r="CC213" s="9">
        <f t="shared" ref="CC213:CC218" si="555">SUM(BV213:CB213)</f>
        <v>6084200</v>
      </c>
    </row>
    <row r="214" spans="1:81" ht="15">
      <c r="A214" s="43" t="s">
        <v>192</v>
      </c>
      <c r="B214" s="9">
        <v>224467</v>
      </c>
      <c r="C214" s="9"/>
      <c r="D214" s="9"/>
      <c r="E214" s="9"/>
      <c r="F214" s="9"/>
      <c r="G214" s="9"/>
      <c r="H214" s="9"/>
      <c r="I214" s="9">
        <f t="shared" si="546"/>
        <v>224467</v>
      </c>
      <c r="K214" s="9">
        <v>267757</v>
      </c>
      <c r="L214" s="9"/>
      <c r="M214" s="9"/>
      <c r="N214" s="9"/>
      <c r="O214" s="9"/>
      <c r="P214" s="9"/>
      <c r="Q214" s="9"/>
      <c r="R214" s="9">
        <f t="shared" si="547"/>
        <v>267757</v>
      </c>
      <c r="T214" s="9">
        <v>309444</v>
      </c>
      <c r="U214" s="9"/>
      <c r="V214" s="9"/>
      <c r="W214" s="9"/>
      <c r="X214" s="9"/>
      <c r="Y214" s="9"/>
      <c r="Z214" s="9"/>
      <c r="AA214" s="9">
        <f t="shared" si="548"/>
        <v>309444</v>
      </c>
      <c r="AC214" s="9">
        <v>0</v>
      </c>
      <c r="AD214" s="9"/>
      <c r="AE214" s="9"/>
      <c r="AF214" s="9"/>
      <c r="AG214" s="9"/>
      <c r="AH214" s="9"/>
      <c r="AI214" s="9"/>
      <c r="AJ214" s="9">
        <f t="shared" si="549"/>
        <v>0</v>
      </c>
      <c r="AL214" s="9">
        <v>0</v>
      </c>
      <c r="AM214" s="9"/>
      <c r="AN214" s="9"/>
      <c r="AO214" s="9"/>
      <c r="AP214" s="9"/>
      <c r="AQ214" s="9"/>
      <c r="AR214" s="9"/>
      <c r="AS214" s="9">
        <f t="shared" si="550"/>
        <v>0</v>
      </c>
      <c r="AU214" s="9"/>
      <c r="AV214" s="9"/>
      <c r="AW214" s="9"/>
      <c r="AX214" s="9"/>
      <c r="AY214" s="9"/>
      <c r="AZ214" s="9"/>
      <c r="BA214" s="9"/>
      <c r="BB214" s="9">
        <f t="shared" si="551"/>
        <v>0</v>
      </c>
      <c r="BD214" s="9">
        <v>0</v>
      </c>
      <c r="BE214" s="9"/>
      <c r="BF214" s="9"/>
      <c r="BG214" s="9"/>
      <c r="BH214" s="9"/>
      <c r="BI214" s="9"/>
      <c r="BJ214" s="9"/>
      <c r="BK214" s="9">
        <f t="shared" si="552"/>
        <v>0</v>
      </c>
      <c r="BM214" s="9">
        <v>0</v>
      </c>
      <c r="BN214" s="9"/>
      <c r="BO214" s="9"/>
      <c r="BP214" s="9"/>
      <c r="BQ214" s="9"/>
      <c r="BR214" s="9"/>
      <c r="BS214" s="9"/>
      <c r="BT214" s="9">
        <f t="shared" si="553"/>
        <v>0</v>
      </c>
      <c r="BV214" s="9">
        <f t="shared" si="554"/>
        <v>801668</v>
      </c>
      <c r="BW214" s="9">
        <f t="shared" si="554"/>
        <v>0</v>
      </c>
      <c r="BX214" s="9">
        <f t="shared" si="554"/>
        <v>0</v>
      </c>
      <c r="BY214" s="9">
        <f t="shared" si="554"/>
        <v>0</v>
      </c>
      <c r="BZ214" s="9">
        <f t="shared" si="554"/>
        <v>0</v>
      </c>
      <c r="CA214" s="9">
        <f t="shared" si="554"/>
        <v>0</v>
      </c>
      <c r="CB214" s="9"/>
      <c r="CC214" s="9">
        <f t="shared" si="555"/>
        <v>801668</v>
      </c>
    </row>
    <row r="215" spans="1:81" ht="15">
      <c r="A215" s="43" t="s">
        <v>193</v>
      </c>
      <c r="B215" s="9">
        <v>630340</v>
      </c>
      <c r="C215" s="9"/>
      <c r="D215" s="9"/>
      <c r="E215" s="9"/>
      <c r="F215" s="9"/>
      <c r="G215" s="9"/>
      <c r="H215" s="9"/>
      <c r="I215" s="9">
        <f t="shared" si="546"/>
        <v>630340</v>
      </c>
      <c r="K215" s="9">
        <v>751905</v>
      </c>
      <c r="L215" s="9"/>
      <c r="M215" s="9"/>
      <c r="N215" s="9"/>
      <c r="O215" s="9"/>
      <c r="P215" s="9"/>
      <c r="Q215" s="9"/>
      <c r="R215" s="9">
        <f t="shared" si="547"/>
        <v>751905</v>
      </c>
      <c r="T215" s="9">
        <v>868969</v>
      </c>
      <c r="U215" s="9"/>
      <c r="V215" s="9"/>
      <c r="W215" s="9"/>
      <c r="X215" s="9"/>
      <c r="Y215" s="9"/>
      <c r="Z215" s="9"/>
      <c r="AA215" s="9">
        <f t="shared" si="548"/>
        <v>868969</v>
      </c>
      <c r="AC215" s="9">
        <v>0</v>
      </c>
      <c r="AD215" s="9"/>
      <c r="AE215" s="9"/>
      <c r="AF215" s="9"/>
      <c r="AG215" s="9"/>
      <c r="AH215" s="9"/>
      <c r="AI215" s="9"/>
      <c r="AJ215" s="9">
        <f t="shared" si="549"/>
        <v>0</v>
      </c>
      <c r="AL215" s="9">
        <v>0</v>
      </c>
      <c r="AM215" s="9"/>
      <c r="AN215" s="9"/>
      <c r="AO215" s="9"/>
      <c r="AP215" s="9"/>
      <c r="AQ215" s="9"/>
      <c r="AR215" s="9"/>
      <c r="AS215" s="9">
        <f t="shared" si="550"/>
        <v>0</v>
      </c>
      <c r="AU215" s="9"/>
      <c r="AV215" s="9"/>
      <c r="AW215" s="9"/>
      <c r="AX215" s="9"/>
      <c r="AY215" s="9"/>
      <c r="AZ215" s="9"/>
      <c r="BA215" s="9"/>
      <c r="BB215" s="9">
        <f t="shared" si="551"/>
        <v>0</v>
      </c>
      <c r="BD215" s="9">
        <v>0</v>
      </c>
      <c r="BE215" s="9"/>
      <c r="BF215" s="9"/>
      <c r="BG215" s="9"/>
      <c r="BH215" s="9"/>
      <c r="BI215" s="9"/>
      <c r="BJ215" s="9"/>
      <c r="BK215" s="9">
        <f t="shared" si="552"/>
        <v>0</v>
      </c>
      <c r="BM215" s="9">
        <v>0</v>
      </c>
      <c r="BN215" s="9"/>
      <c r="BO215" s="9"/>
      <c r="BP215" s="9"/>
      <c r="BQ215" s="9"/>
      <c r="BR215" s="9"/>
      <c r="BS215" s="9"/>
      <c r="BT215" s="9">
        <f t="shared" si="553"/>
        <v>0</v>
      </c>
      <c r="BV215" s="9">
        <f t="shared" si="554"/>
        <v>2251214</v>
      </c>
      <c r="BW215" s="9">
        <f t="shared" si="554"/>
        <v>0</v>
      </c>
      <c r="BX215" s="9">
        <f t="shared" si="554"/>
        <v>0</v>
      </c>
      <c r="BY215" s="9">
        <f t="shared" si="554"/>
        <v>0</v>
      </c>
      <c r="BZ215" s="9">
        <f t="shared" si="554"/>
        <v>0</v>
      </c>
      <c r="CA215" s="9">
        <f t="shared" si="554"/>
        <v>0</v>
      </c>
      <c r="CB215" s="9"/>
      <c r="CC215" s="9">
        <f t="shared" si="555"/>
        <v>2251214</v>
      </c>
    </row>
    <row r="216" spans="1:81" ht="15">
      <c r="A216" s="43" t="s">
        <v>194</v>
      </c>
      <c r="B216" s="103">
        <f>3750*12</f>
        <v>45000</v>
      </c>
      <c r="C216" s="9"/>
      <c r="D216" s="9"/>
      <c r="E216" s="9"/>
      <c r="F216" s="9"/>
      <c r="G216" s="9"/>
      <c r="H216" s="9"/>
      <c r="I216" s="9">
        <f t="shared" si="546"/>
        <v>45000</v>
      </c>
      <c r="K216" s="9">
        <v>0</v>
      </c>
      <c r="L216" s="9"/>
      <c r="M216" s="9"/>
      <c r="N216" s="9"/>
      <c r="O216" s="9"/>
      <c r="P216" s="9"/>
      <c r="Q216" s="9"/>
      <c r="R216" s="9">
        <f t="shared" si="547"/>
        <v>0</v>
      </c>
      <c r="T216" s="9"/>
      <c r="U216" s="9"/>
      <c r="V216" s="9"/>
      <c r="W216" s="9"/>
      <c r="X216" s="9"/>
      <c r="Y216" s="9"/>
      <c r="Z216" s="9"/>
      <c r="AA216" s="9">
        <f t="shared" si="548"/>
        <v>0</v>
      </c>
      <c r="AC216" s="9">
        <v>0</v>
      </c>
      <c r="AD216" s="9"/>
      <c r="AE216" s="9"/>
      <c r="AF216" s="9"/>
      <c r="AG216" s="9"/>
      <c r="AH216" s="9"/>
      <c r="AI216" s="9"/>
      <c r="AJ216" s="9">
        <f t="shared" si="549"/>
        <v>0</v>
      </c>
      <c r="AL216" s="9">
        <v>0</v>
      </c>
      <c r="AM216" s="9"/>
      <c r="AN216" s="9"/>
      <c r="AO216" s="9"/>
      <c r="AP216" s="9"/>
      <c r="AQ216" s="9"/>
      <c r="AR216" s="9"/>
      <c r="AS216" s="9">
        <f t="shared" si="550"/>
        <v>0</v>
      </c>
      <c r="AU216" s="9"/>
      <c r="AV216" s="9"/>
      <c r="AW216" s="9"/>
      <c r="AX216" s="9"/>
      <c r="AY216" s="9"/>
      <c r="AZ216" s="9"/>
      <c r="BA216" s="9"/>
      <c r="BB216" s="9">
        <f t="shared" si="551"/>
        <v>0</v>
      </c>
      <c r="BD216" s="9">
        <v>0</v>
      </c>
      <c r="BE216" s="9"/>
      <c r="BF216" s="9"/>
      <c r="BG216" s="9"/>
      <c r="BH216" s="9"/>
      <c r="BI216" s="9"/>
      <c r="BJ216" s="9"/>
      <c r="BK216" s="9">
        <f t="shared" si="552"/>
        <v>0</v>
      </c>
      <c r="BM216" s="9">
        <v>0</v>
      </c>
      <c r="BN216" s="9"/>
      <c r="BO216" s="9"/>
      <c r="BP216" s="9"/>
      <c r="BQ216" s="9"/>
      <c r="BR216" s="9"/>
      <c r="BS216" s="9"/>
      <c r="BT216" s="9">
        <f t="shared" si="553"/>
        <v>0</v>
      </c>
      <c r="BV216" s="9">
        <f t="shared" si="554"/>
        <v>45000</v>
      </c>
      <c r="BW216" s="9">
        <f t="shared" si="554"/>
        <v>0</v>
      </c>
      <c r="BX216" s="9">
        <f t="shared" si="554"/>
        <v>0</v>
      </c>
      <c r="BY216" s="9">
        <f t="shared" si="554"/>
        <v>0</v>
      </c>
      <c r="BZ216" s="9">
        <f t="shared" si="554"/>
        <v>0</v>
      </c>
      <c r="CA216" s="9">
        <f t="shared" si="554"/>
        <v>0</v>
      </c>
      <c r="CB216" s="9"/>
      <c r="CC216" s="9">
        <f t="shared" si="555"/>
        <v>45000</v>
      </c>
    </row>
    <row r="217" spans="1:81" ht="15">
      <c r="B217" s="9">
        <v>0</v>
      </c>
      <c r="C217" s="9">
        <v>0</v>
      </c>
      <c r="D217" s="9">
        <v>0</v>
      </c>
      <c r="E217" s="9"/>
      <c r="F217" s="9">
        <v>0</v>
      </c>
      <c r="G217" s="9">
        <v>0</v>
      </c>
      <c r="H217" s="9">
        <v>0</v>
      </c>
      <c r="I217" s="9">
        <f t="shared" si="546"/>
        <v>0</v>
      </c>
      <c r="K217" s="9">
        <v>0</v>
      </c>
      <c r="L217" s="9">
        <v>0</v>
      </c>
      <c r="M217" s="9">
        <v>0</v>
      </c>
      <c r="N217" s="9"/>
      <c r="O217" s="9">
        <v>0</v>
      </c>
      <c r="P217" s="9">
        <v>0</v>
      </c>
      <c r="Q217" s="9">
        <v>0</v>
      </c>
      <c r="R217" s="9">
        <f t="shared" si="547"/>
        <v>0</v>
      </c>
      <c r="T217" s="9">
        <v>0</v>
      </c>
      <c r="U217" s="9">
        <v>0</v>
      </c>
      <c r="V217" s="9">
        <v>0</v>
      </c>
      <c r="W217" s="9"/>
      <c r="X217" s="9">
        <v>0</v>
      </c>
      <c r="Y217" s="9">
        <v>0</v>
      </c>
      <c r="Z217" s="9">
        <v>0</v>
      </c>
      <c r="AA217" s="9">
        <f t="shared" si="548"/>
        <v>0</v>
      </c>
      <c r="AC217" s="9">
        <v>0</v>
      </c>
      <c r="AD217" s="9">
        <v>0</v>
      </c>
      <c r="AE217" s="9">
        <v>0</v>
      </c>
      <c r="AF217" s="9"/>
      <c r="AG217" s="9">
        <v>0</v>
      </c>
      <c r="AH217" s="9">
        <v>0</v>
      </c>
      <c r="AI217" s="9">
        <v>0</v>
      </c>
      <c r="AJ217" s="9">
        <f t="shared" si="549"/>
        <v>0</v>
      </c>
      <c r="AL217" s="9">
        <v>0</v>
      </c>
      <c r="AM217" s="9">
        <v>0</v>
      </c>
      <c r="AN217" s="9">
        <v>0</v>
      </c>
      <c r="AO217" s="9"/>
      <c r="AP217" s="9">
        <v>0</v>
      </c>
      <c r="AQ217" s="9">
        <v>0</v>
      </c>
      <c r="AR217" s="9">
        <v>0</v>
      </c>
      <c r="AS217" s="9">
        <f t="shared" si="550"/>
        <v>0</v>
      </c>
      <c r="AU217" s="9">
        <v>0</v>
      </c>
      <c r="AV217" s="9">
        <v>0</v>
      </c>
      <c r="AW217" s="9">
        <v>0</v>
      </c>
      <c r="AX217" s="9"/>
      <c r="AY217" s="9">
        <v>0</v>
      </c>
      <c r="AZ217" s="9">
        <v>0</v>
      </c>
      <c r="BA217" s="9">
        <v>0</v>
      </c>
      <c r="BB217" s="9">
        <f t="shared" si="551"/>
        <v>0</v>
      </c>
      <c r="BD217" s="9">
        <v>0</v>
      </c>
      <c r="BE217" s="9">
        <v>0</v>
      </c>
      <c r="BF217" s="9">
        <v>0</v>
      </c>
      <c r="BG217" s="9"/>
      <c r="BH217" s="9">
        <v>0</v>
      </c>
      <c r="BI217" s="9">
        <v>0</v>
      </c>
      <c r="BJ217" s="9">
        <v>0</v>
      </c>
      <c r="BK217" s="9">
        <f t="shared" si="552"/>
        <v>0</v>
      </c>
      <c r="BM217" s="9">
        <v>0</v>
      </c>
      <c r="BN217" s="9">
        <v>0</v>
      </c>
      <c r="BO217" s="9">
        <v>0</v>
      </c>
      <c r="BP217" s="9"/>
      <c r="BQ217" s="9">
        <v>0</v>
      </c>
      <c r="BR217" s="9">
        <v>0</v>
      </c>
      <c r="BS217" s="9">
        <v>0</v>
      </c>
      <c r="BT217" s="9">
        <f t="shared" si="553"/>
        <v>0</v>
      </c>
      <c r="BV217" s="9">
        <f t="shared" si="554"/>
        <v>0</v>
      </c>
      <c r="BW217" s="9">
        <f t="shared" si="554"/>
        <v>0</v>
      </c>
      <c r="BX217" s="9">
        <f t="shared" si="554"/>
        <v>0</v>
      </c>
      <c r="BY217" s="9">
        <f t="shared" si="554"/>
        <v>0</v>
      </c>
      <c r="BZ217" s="9">
        <f t="shared" si="554"/>
        <v>0</v>
      </c>
      <c r="CA217" s="9">
        <f t="shared" si="554"/>
        <v>0</v>
      </c>
      <c r="CB217" s="9">
        <v>0</v>
      </c>
      <c r="CC217" s="9">
        <f t="shared" si="555"/>
        <v>0</v>
      </c>
    </row>
    <row r="218" spans="1:81" ht="15.75" thickBot="1">
      <c r="A218" s="43"/>
      <c r="B218" s="35"/>
      <c r="C218" s="35"/>
      <c r="D218" s="35"/>
      <c r="E218" s="35"/>
      <c r="F218" s="35"/>
      <c r="G218" s="35"/>
      <c r="H218" s="35"/>
      <c r="I218" s="5">
        <f t="shared" si="546"/>
        <v>0</v>
      </c>
      <c r="J218" s="7"/>
      <c r="K218" s="35"/>
      <c r="L218" s="35"/>
      <c r="M218" s="35"/>
      <c r="N218" s="35"/>
      <c r="O218" s="35"/>
      <c r="P218" s="35"/>
      <c r="Q218" s="35"/>
      <c r="R218" s="5">
        <f t="shared" si="547"/>
        <v>0</v>
      </c>
      <c r="T218" s="35"/>
      <c r="U218" s="35"/>
      <c r="V218" s="35"/>
      <c r="W218" s="35"/>
      <c r="X218" s="35"/>
      <c r="Y218" s="35"/>
      <c r="Z218" s="35"/>
      <c r="AA218" s="5">
        <f t="shared" si="548"/>
        <v>0</v>
      </c>
      <c r="AC218" s="35"/>
      <c r="AD218" s="35"/>
      <c r="AE218" s="35"/>
      <c r="AF218" s="35"/>
      <c r="AG218" s="35"/>
      <c r="AH218" s="35"/>
      <c r="AI218" s="35"/>
      <c r="AJ218" s="5">
        <f t="shared" si="549"/>
        <v>0</v>
      </c>
      <c r="AL218" s="35"/>
      <c r="AM218" s="35"/>
      <c r="AN218" s="35"/>
      <c r="AO218" s="35"/>
      <c r="AP218" s="35"/>
      <c r="AQ218" s="35"/>
      <c r="AR218" s="35"/>
      <c r="AS218" s="5">
        <f t="shared" si="550"/>
        <v>0</v>
      </c>
      <c r="AU218" s="35"/>
      <c r="AV218" s="35"/>
      <c r="AW218" s="35"/>
      <c r="AX218" s="35"/>
      <c r="AY218" s="35"/>
      <c r="AZ218" s="35"/>
      <c r="BA218" s="35"/>
      <c r="BB218" s="5">
        <f t="shared" si="551"/>
        <v>0</v>
      </c>
      <c r="BD218" s="35"/>
      <c r="BE218" s="35"/>
      <c r="BF218" s="35"/>
      <c r="BG218" s="35"/>
      <c r="BH218" s="35"/>
      <c r="BI218" s="35"/>
      <c r="BJ218" s="35"/>
      <c r="BK218" s="5">
        <f t="shared" si="552"/>
        <v>0</v>
      </c>
      <c r="BM218" s="35"/>
      <c r="BN218" s="35"/>
      <c r="BO218" s="35"/>
      <c r="BP218" s="35"/>
      <c r="BQ218" s="35"/>
      <c r="BR218" s="35"/>
      <c r="BS218" s="35"/>
      <c r="BT218" s="5">
        <f t="shared" si="553"/>
        <v>0</v>
      </c>
      <c r="BV218" s="35"/>
      <c r="BW218" s="35"/>
      <c r="BX218" s="35"/>
      <c r="BY218" s="35"/>
      <c r="BZ218" s="35"/>
      <c r="CA218" s="35"/>
      <c r="CB218" s="35"/>
      <c r="CC218" s="5">
        <f t="shared" si="555"/>
        <v>0</v>
      </c>
    </row>
    <row r="219" spans="1:81" ht="15.75" thickBot="1">
      <c r="A219" s="87" t="s">
        <v>195</v>
      </c>
      <c r="B219" s="88">
        <f>(B97+B103)-B211-B213-B214-B216-B215</f>
        <v>588099.90510000009</v>
      </c>
      <c r="C219" s="88">
        <f t="shared" ref="C219:H219" si="556">(C97+C103)-C211-C213-C214-C216-C215</f>
        <v>-548012.75</v>
      </c>
      <c r="D219" s="88">
        <f t="shared" si="556"/>
        <v>-40413.830000000016</v>
      </c>
      <c r="E219" s="88">
        <f t="shared" si="556"/>
        <v>0</v>
      </c>
      <c r="F219" s="88">
        <f t="shared" si="556"/>
        <v>0</v>
      </c>
      <c r="G219" s="88">
        <f t="shared" si="556"/>
        <v>0</v>
      </c>
      <c r="H219" s="88">
        <f t="shared" si="556"/>
        <v>0</v>
      </c>
      <c r="I219" s="88">
        <f>(I97+I103)-I211-I213-I214-I216-I215</f>
        <v>-326.67489999905229</v>
      </c>
      <c r="J219" s="7"/>
      <c r="K219" s="88">
        <f>(K97+K103)-K211-K213-K214-K216-K215</f>
        <v>642699.76460000034</v>
      </c>
      <c r="L219" s="88">
        <f t="shared" ref="L219:R219" si="557">(L97+L103)-L211-L213-L214-L216-L215</f>
        <v>-444708.80000000005</v>
      </c>
      <c r="M219" s="88">
        <f t="shared" si="557"/>
        <v>-57635.619999999995</v>
      </c>
      <c r="N219" s="88">
        <f t="shared" si="557"/>
        <v>0</v>
      </c>
      <c r="O219" s="88">
        <f t="shared" si="557"/>
        <v>0</v>
      </c>
      <c r="P219" s="88">
        <f t="shared" si="557"/>
        <v>0</v>
      </c>
      <c r="Q219" s="88">
        <f t="shared" si="557"/>
        <v>0</v>
      </c>
      <c r="R219" s="88">
        <f t="shared" si="557"/>
        <v>140355.34460000135</v>
      </c>
      <c r="T219" s="88">
        <f>(T97+T103)-T211-T213-T214-T216-T215</f>
        <v>607981.4561999999</v>
      </c>
      <c r="U219" s="88">
        <f t="shared" ref="U219:AA219" si="558">(U97+U103)-U211-U213-U214-U216-U215</f>
        <v>-409390.64575000014</v>
      </c>
      <c r="V219" s="88">
        <f t="shared" si="558"/>
        <v>-65511.861000000004</v>
      </c>
      <c r="W219" s="88">
        <f t="shared" si="558"/>
        <v>0</v>
      </c>
      <c r="X219" s="88">
        <f t="shared" si="558"/>
        <v>0</v>
      </c>
      <c r="Y219" s="88">
        <f t="shared" si="558"/>
        <v>0</v>
      </c>
      <c r="Z219" s="88">
        <f t="shared" si="558"/>
        <v>0</v>
      </c>
      <c r="AA219" s="88">
        <f t="shared" si="558"/>
        <v>133078.94945000112</v>
      </c>
      <c r="AC219" s="88">
        <f>(AC97+AC103)-AC211-AC213-AC214-AC216-AC215</f>
        <v>1278454.7670000009</v>
      </c>
      <c r="AD219" s="88">
        <f t="shared" ref="AD219:AJ219" si="559">(AD97+AD103)-AD211-AD213-AD214-AD216-AD215</f>
        <v>-858161.53000000026</v>
      </c>
      <c r="AE219" s="88">
        <f t="shared" si="559"/>
        <v>-118715.65999999992</v>
      </c>
      <c r="AF219" s="88">
        <f t="shared" si="559"/>
        <v>0</v>
      </c>
      <c r="AG219" s="88">
        <f t="shared" si="559"/>
        <v>0</v>
      </c>
      <c r="AH219" s="88">
        <f t="shared" si="559"/>
        <v>0</v>
      </c>
      <c r="AI219" s="88">
        <f t="shared" si="559"/>
        <v>0</v>
      </c>
      <c r="AJ219" s="88">
        <f t="shared" si="559"/>
        <v>301577.57700000331</v>
      </c>
      <c r="AL219" s="88">
        <f>(AL97+AL103)-AL211-AL213-AL214-AL216-AL215</f>
        <v>1346309.1077999994</v>
      </c>
      <c r="AM219" s="88">
        <f t="shared" ref="AM219:AS219" si="560">(AM97+AM103)-AM211-AM213-AM214-AM216-AM215</f>
        <v>-1158265.7275</v>
      </c>
      <c r="AN219" s="88">
        <f t="shared" si="560"/>
        <v>-56351.305999999982</v>
      </c>
      <c r="AO219" s="88">
        <f t="shared" si="560"/>
        <v>0</v>
      </c>
      <c r="AP219" s="88">
        <f t="shared" si="560"/>
        <v>0</v>
      </c>
      <c r="AQ219" s="88">
        <f t="shared" si="560"/>
        <v>0</v>
      </c>
      <c r="AR219" s="88">
        <f t="shared" si="560"/>
        <v>0</v>
      </c>
      <c r="AS219" s="88">
        <f t="shared" si="560"/>
        <v>131692.07430000231</v>
      </c>
      <c r="AU219" s="88">
        <f>(AU97+AU103)-AU211-AU213-AU214-AU216-AU215</f>
        <v>283529</v>
      </c>
      <c r="AV219" s="88">
        <f t="shared" ref="AV219:BB219" si="561">(AV97+AV103)-AV211-AV213-AV214-AV216-AV215</f>
        <v>-121395.54499999998</v>
      </c>
      <c r="AW219" s="88">
        <f t="shared" si="561"/>
        <v>-629.36999999999989</v>
      </c>
      <c r="AX219" s="88">
        <f t="shared" si="561"/>
        <v>0</v>
      </c>
      <c r="AY219" s="88">
        <f t="shared" si="561"/>
        <v>0</v>
      </c>
      <c r="AZ219" s="88">
        <f t="shared" si="561"/>
        <v>0</v>
      </c>
      <c r="BA219" s="88">
        <f t="shared" si="561"/>
        <v>0</v>
      </c>
      <c r="BB219" s="88">
        <f t="shared" si="561"/>
        <v>161504.08499999996</v>
      </c>
      <c r="BD219" s="88">
        <f>(BD97+BD103)-BD211-BD213-BD214-BD216-BD215</f>
        <v>76896.435000000056</v>
      </c>
      <c r="BE219" s="88">
        <f t="shared" ref="BE219:BK219" si="562">(BE97+BE103)-BE211-BE213-BE214-BE216-BE215</f>
        <v>-276367.27500000002</v>
      </c>
      <c r="BF219" s="88">
        <f t="shared" si="562"/>
        <v>-18828.280000000028</v>
      </c>
      <c r="BG219" s="88">
        <f t="shared" si="562"/>
        <v>0</v>
      </c>
      <c r="BH219" s="88">
        <f t="shared" si="562"/>
        <v>0</v>
      </c>
      <c r="BI219" s="88">
        <f t="shared" si="562"/>
        <v>0</v>
      </c>
      <c r="BJ219" s="88">
        <f t="shared" si="562"/>
        <v>0</v>
      </c>
      <c r="BK219" s="88">
        <f t="shared" si="562"/>
        <v>-218299.11999999965</v>
      </c>
      <c r="BM219" s="88">
        <f>(BM97+BM103)-BM211-BM213-BM214-BM216-BM215</f>
        <v>-420028.3</v>
      </c>
      <c r="BN219" s="88">
        <f t="shared" ref="BN219:BT219" si="563">(BN97+BN103)-BN211-BN213-BN214-BN216-BN215</f>
        <v>0</v>
      </c>
      <c r="BO219" s="88">
        <f t="shared" si="563"/>
        <v>-25459.200000000001</v>
      </c>
      <c r="BP219" s="88">
        <f t="shared" si="563"/>
        <v>0</v>
      </c>
      <c r="BQ219" s="88">
        <f t="shared" si="563"/>
        <v>0</v>
      </c>
      <c r="BR219" s="88">
        <f t="shared" si="563"/>
        <v>0</v>
      </c>
      <c r="BS219" s="88">
        <f t="shared" si="563"/>
        <v>0</v>
      </c>
      <c r="BT219" s="88">
        <f t="shared" si="563"/>
        <v>-445487.5</v>
      </c>
      <c r="BV219" s="88">
        <f>(BV97+BV103)-BV211-BV213-BV214-BV216-BV215</f>
        <v>4403942.1356999949</v>
      </c>
      <c r="BW219" s="88">
        <f t="shared" ref="BW219:CC219" si="564">(BW97+BW103)-BW211-BW213-BW214-BW216-BW215</f>
        <v>-3816302.2732500006</v>
      </c>
      <c r="BX219" s="88">
        <f t="shared" si="564"/>
        <v>-383545.12700000033</v>
      </c>
      <c r="BY219" s="88">
        <f t="shared" si="564"/>
        <v>0</v>
      </c>
      <c r="BZ219" s="88">
        <f t="shared" si="564"/>
        <v>0</v>
      </c>
      <c r="CA219" s="88">
        <f t="shared" si="564"/>
        <v>0</v>
      </c>
      <c r="CB219" s="88">
        <f t="shared" si="564"/>
        <v>0</v>
      </c>
      <c r="CC219" s="88">
        <f t="shared" si="564"/>
        <v>204094.73544999957</v>
      </c>
    </row>
    <row r="220" spans="1:81">
      <c r="A220" s="89"/>
      <c r="B220" s="90">
        <f t="shared" ref="B220:I220" si="565">B219/(B97)</f>
        <v>6.6907504722833272E-2</v>
      </c>
      <c r="C220" s="90">
        <f t="shared" si="565"/>
        <v>-0.72596489485014071</v>
      </c>
      <c r="D220" s="90">
        <f t="shared" si="565"/>
        <v>-0.11234425109776845</v>
      </c>
      <c r="E220" s="90" t="e">
        <f t="shared" si="565"/>
        <v>#DIV/0!</v>
      </c>
      <c r="F220" s="90" t="e">
        <f t="shared" si="565"/>
        <v>#DIV/0!</v>
      </c>
      <c r="G220" s="90">
        <f t="shared" si="565"/>
        <v>0</v>
      </c>
      <c r="H220" s="90" t="e">
        <f t="shared" si="565"/>
        <v>#DIV/0!</v>
      </c>
      <c r="I220" s="90">
        <f t="shared" si="565"/>
        <v>-3.2091914863796659E-5</v>
      </c>
      <c r="J220" s="7"/>
      <c r="K220" s="90">
        <f t="shared" ref="K220:R220" si="566">K219/(K97)</f>
        <v>6.5249084649525418E-2</v>
      </c>
      <c r="L220" s="90">
        <f t="shared" si="566"/>
        <v>-0.86101945629255894</v>
      </c>
      <c r="M220" s="90">
        <f t="shared" si="566"/>
        <v>-0.20673386673576491</v>
      </c>
      <c r="N220" s="90" t="e">
        <f t="shared" si="566"/>
        <v>#DIV/0!</v>
      </c>
      <c r="O220" s="90" t="e">
        <f t="shared" si="566"/>
        <v>#DIV/0!</v>
      </c>
      <c r="P220" s="90">
        <f t="shared" si="566"/>
        <v>0</v>
      </c>
      <c r="Q220" s="90" t="e">
        <f t="shared" si="566"/>
        <v>#DIV/0!</v>
      </c>
      <c r="R220" s="90">
        <f t="shared" si="566"/>
        <v>1.22632224303128E-2</v>
      </c>
      <c r="T220" s="90">
        <f t="shared" ref="T220:AA220" si="567">T219/(T97)</f>
        <v>5.2853094099719611E-2</v>
      </c>
      <c r="U220" s="90">
        <f t="shared" si="567"/>
        <v>-0.56256693277212788</v>
      </c>
      <c r="V220" s="90">
        <f t="shared" si="567"/>
        <v>-0.41444811635930118</v>
      </c>
      <c r="W220" s="90" t="e">
        <f t="shared" si="567"/>
        <v>#DIV/0!</v>
      </c>
      <c r="X220" s="90" t="e">
        <f t="shared" si="567"/>
        <v>#DIV/0!</v>
      </c>
      <c r="Y220" s="90">
        <f t="shared" si="567"/>
        <v>0</v>
      </c>
      <c r="Z220" s="90" t="e">
        <f t="shared" si="567"/>
        <v>#DIV/0!</v>
      </c>
      <c r="AA220" s="90">
        <f t="shared" si="567"/>
        <v>1.0090130132448508E-2</v>
      </c>
      <c r="AC220" s="90">
        <f t="shared" ref="AC220:AJ220" si="568">AC219/(AC97)</f>
        <v>5.5862387915155069E-2</v>
      </c>
      <c r="AD220" s="90">
        <f t="shared" si="568"/>
        <v>-0.45272548528259698</v>
      </c>
      <c r="AE220" s="90">
        <f t="shared" si="568"/>
        <v>-0.14477400515025024</v>
      </c>
      <c r="AF220" s="90" t="e">
        <f t="shared" si="568"/>
        <v>#DIV/0!</v>
      </c>
      <c r="AG220" s="90" t="e">
        <f t="shared" si="568"/>
        <v>#DIV/0!</v>
      </c>
      <c r="AH220" s="90">
        <f t="shared" si="568"/>
        <v>0</v>
      </c>
      <c r="AI220" s="90" t="e">
        <f t="shared" si="568"/>
        <v>#DIV/0!</v>
      </c>
      <c r="AJ220" s="90">
        <f t="shared" si="568"/>
        <v>1.1231379138626298E-2</v>
      </c>
      <c r="AL220" s="90">
        <f t="shared" ref="AL220:AS220" si="569">AL219/(AL97)</f>
        <v>6.0592679429493805E-2</v>
      </c>
      <c r="AM220" s="90">
        <f t="shared" si="569"/>
        <v>-0.81665202071479437</v>
      </c>
      <c r="AN220" s="90">
        <f t="shared" si="569"/>
        <v>-0.10269865508192906</v>
      </c>
      <c r="AO220" s="90" t="e">
        <f t="shared" si="569"/>
        <v>#DIV/0!</v>
      </c>
      <c r="AP220" s="90" t="e">
        <f t="shared" si="569"/>
        <v>#DIV/0!</v>
      </c>
      <c r="AQ220" s="90">
        <f t="shared" si="569"/>
        <v>0</v>
      </c>
      <c r="AR220" s="90" t="e">
        <f t="shared" si="569"/>
        <v>#DIV/0!</v>
      </c>
      <c r="AS220" s="90">
        <f t="shared" si="569"/>
        <v>5.0290982474404033E-3</v>
      </c>
      <c r="AU220" s="90">
        <f t="shared" ref="AU220:BB220" si="570">AU219/(AU97)</f>
        <v>0.20200243375567828</v>
      </c>
      <c r="AV220" s="90">
        <f t="shared" si="570"/>
        <v>-1.2917855280659749</v>
      </c>
      <c r="AW220" s="90">
        <f t="shared" si="570"/>
        <v>-0.29907621247113159</v>
      </c>
      <c r="AX220" s="90" t="e">
        <f t="shared" si="570"/>
        <v>#DIV/0!</v>
      </c>
      <c r="AY220" s="90" t="e">
        <f t="shared" si="570"/>
        <v>#DIV/0!</v>
      </c>
      <c r="AZ220" s="90" t="e">
        <f t="shared" si="570"/>
        <v>#DIV/0!</v>
      </c>
      <c r="BA220" s="90" t="e">
        <f t="shared" si="570"/>
        <v>#DIV/0!</v>
      </c>
      <c r="BB220" s="90">
        <f t="shared" si="570"/>
        <v>0.10769298337879861</v>
      </c>
      <c r="BD220" s="90">
        <f t="shared" ref="BD220:BK220" si="571">BD219/(BD97)</f>
        <v>2.8347808343710829E-2</v>
      </c>
      <c r="BE220" s="90">
        <f t="shared" si="571"/>
        <v>-3.3939245364116424</v>
      </c>
      <c r="BF220" s="90">
        <f t="shared" si="571"/>
        <v>-6.2216427602244113E-2</v>
      </c>
      <c r="BG220" s="90" t="e">
        <f t="shared" si="571"/>
        <v>#DIV/0!</v>
      </c>
      <c r="BH220" s="90" t="e">
        <f t="shared" si="571"/>
        <v>#DIV/0!</v>
      </c>
      <c r="BI220" s="90">
        <f t="shared" si="571"/>
        <v>0</v>
      </c>
      <c r="BJ220" s="90" t="e">
        <f t="shared" si="571"/>
        <v>#DIV/0!</v>
      </c>
      <c r="BK220" s="90">
        <f t="shared" si="571"/>
        <v>-6.9374833367048319E-2</v>
      </c>
      <c r="BM220" s="90" t="e">
        <f t="shared" ref="BM220:BT220" si="572">BM219/(BM97)</f>
        <v>#DIV/0!</v>
      </c>
      <c r="BN220" s="90" t="e">
        <f t="shared" si="572"/>
        <v>#DIV/0!</v>
      </c>
      <c r="BO220" s="90" t="e">
        <f t="shared" si="572"/>
        <v>#DIV/0!</v>
      </c>
      <c r="BP220" s="90" t="e">
        <f t="shared" si="572"/>
        <v>#DIV/0!</v>
      </c>
      <c r="BQ220" s="90" t="e">
        <f t="shared" si="572"/>
        <v>#DIV/0!</v>
      </c>
      <c r="BR220" s="90" t="e">
        <f t="shared" si="572"/>
        <v>#DIV/0!</v>
      </c>
      <c r="BS220" s="90" t="e">
        <f t="shared" si="572"/>
        <v>#DIV/0!</v>
      </c>
      <c r="BT220" s="90" t="e">
        <f t="shared" si="572"/>
        <v>#DIV/0!</v>
      </c>
      <c r="BV220" s="90">
        <f t="shared" ref="BV220:CC220" si="573">BV219/(BV97)</f>
        <v>5.5490486409106303E-2</v>
      </c>
      <c r="BW220" s="90">
        <f t="shared" si="573"/>
        <v>-0.695346643341481</v>
      </c>
      <c r="BX220" s="90">
        <f t="shared" si="573"/>
        <v>-0.1552791887716011</v>
      </c>
      <c r="BY220" s="90" t="e">
        <f t="shared" si="573"/>
        <v>#DIV/0!</v>
      </c>
      <c r="BZ220" s="90" t="e">
        <f t="shared" si="573"/>
        <v>#DIV/0!</v>
      </c>
      <c r="CA220" s="90">
        <f t="shared" si="573"/>
        <v>0</v>
      </c>
      <c r="CB220" s="90" t="e">
        <f t="shared" si="573"/>
        <v>#DIV/0!</v>
      </c>
      <c r="CC220" s="90">
        <f t="shared" si="573"/>
        <v>2.2064941304432142E-3</v>
      </c>
    </row>
    <row r="221" spans="1:81">
      <c r="B221" s="91"/>
      <c r="C221" s="91"/>
      <c r="D221" s="91"/>
      <c r="E221" s="91"/>
      <c r="F221" s="91"/>
      <c r="G221" s="91"/>
      <c r="H221" s="91"/>
      <c r="I221" s="91"/>
      <c r="K221" s="91"/>
      <c r="L221" s="91"/>
      <c r="M221" s="91"/>
      <c r="N221" s="91"/>
      <c r="O221" s="91"/>
      <c r="P221" s="91"/>
      <c r="Q221" s="91"/>
      <c r="R221" s="91"/>
      <c r="T221" s="91"/>
      <c r="U221" s="91"/>
      <c r="V221" s="91"/>
      <c r="W221" s="91"/>
      <c r="X221" s="91"/>
      <c r="Y221" s="91"/>
      <c r="Z221" s="91"/>
      <c r="AA221" s="91"/>
      <c r="AC221" s="91"/>
      <c r="AD221" s="91"/>
      <c r="AE221" s="91"/>
      <c r="AF221" s="91"/>
      <c r="AG221" s="91"/>
      <c r="AH221" s="91"/>
      <c r="AI221" s="91"/>
      <c r="AJ221" s="91"/>
      <c r="AL221" s="91"/>
      <c r="AM221" s="91"/>
      <c r="AN221" s="91"/>
      <c r="AO221" s="91"/>
      <c r="AP221" s="91"/>
      <c r="AQ221" s="91"/>
      <c r="AR221" s="91"/>
      <c r="AS221" s="91"/>
      <c r="AU221" s="91"/>
      <c r="AV221" s="91"/>
      <c r="AW221" s="91"/>
      <c r="AX221" s="91"/>
      <c r="AY221" s="91"/>
      <c r="AZ221" s="91"/>
      <c r="BA221" s="91"/>
      <c r="BB221" s="91"/>
      <c r="BD221" s="91"/>
      <c r="BE221" s="91"/>
      <c r="BF221" s="91"/>
      <c r="BG221" s="91"/>
      <c r="BH221" s="91"/>
      <c r="BI221" s="91"/>
      <c r="BJ221" s="91"/>
      <c r="BK221" s="91"/>
      <c r="BM221" s="91"/>
      <c r="BN221" s="91"/>
      <c r="BO221" s="91"/>
      <c r="BP221" s="91"/>
      <c r="BQ221" s="91"/>
      <c r="BR221" s="91"/>
      <c r="BS221" s="91"/>
      <c r="BT221" s="91"/>
      <c r="BV221" s="91"/>
      <c r="BW221" s="91"/>
      <c r="BX221" s="91"/>
      <c r="BY221" s="91"/>
      <c r="BZ221" s="91"/>
      <c r="CA221" s="91"/>
      <c r="CB221" s="91"/>
      <c r="CC221" s="91"/>
    </row>
    <row r="222" spans="1:81" ht="15">
      <c r="A222" s="1" t="str">
        <f t="shared" ref="A222:I222" si="574">A1</f>
        <v>Pinecrest Academy of Nevada - FY25</v>
      </c>
      <c r="B222" s="1" t="str">
        <f t="shared" si="574"/>
        <v>Operating</v>
      </c>
      <c r="C222" s="1" t="str">
        <f t="shared" si="574"/>
        <v>SPED</v>
      </c>
      <c r="D222" s="1" t="str">
        <f t="shared" si="574"/>
        <v>NSLP</v>
      </c>
      <c r="E222" s="1" t="str">
        <f t="shared" si="574"/>
        <v>Other</v>
      </c>
      <c r="F222" s="1" t="str">
        <f t="shared" si="574"/>
        <v>Title I</v>
      </c>
      <c r="G222" s="1" t="str">
        <f t="shared" si="574"/>
        <v>SGF</v>
      </c>
      <c r="H222" s="1" t="str">
        <f t="shared" si="574"/>
        <v>Title III</v>
      </c>
      <c r="I222" s="1" t="str">
        <f t="shared" si="574"/>
        <v>Horizon</v>
      </c>
      <c r="J222" s="2"/>
      <c r="K222" s="1" t="str">
        <f t="shared" ref="K222:R222" si="575">K1</f>
        <v>Operating</v>
      </c>
      <c r="L222" s="1" t="str">
        <f t="shared" si="575"/>
        <v>SPED</v>
      </c>
      <c r="M222" s="1" t="str">
        <f t="shared" si="575"/>
        <v>NSLP</v>
      </c>
      <c r="N222" s="1" t="str">
        <f t="shared" si="575"/>
        <v>Other</v>
      </c>
      <c r="O222" s="1" t="str">
        <f t="shared" si="575"/>
        <v>Title I</v>
      </c>
      <c r="P222" s="1" t="str">
        <f t="shared" si="575"/>
        <v>SGF</v>
      </c>
      <c r="Q222" s="1" t="str">
        <f t="shared" si="575"/>
        <v>Title III</v>
      </c>
      <c r="R222" s="1" t="str">
        <f t="shared" si="575"/>
        <v>St. Rose</v>
      </c>
      <c r="T222" s="1" t="str">
        <f t="shared" ref="T222:AA222" si="576">T1</f>
        <v>Operating</v>
      </c>
      <c r="U222" s="1" t="str">
        <f t="shared" si="576"/>
        <v>SPED</v>
      </c>
      <c r="V222" s="1" t="str">
        <f t="shared" si="576"/>
        <v>NSLP</v>
      </c>
      <c r="W222" s="1" t="str">
        <f t="shared" si="576"/>
        <v>Other</v>
      </c>
      <c r="X222" s="1" t="str">
        <f t="shared" si="576"/>
        <v>Title I</v>
      </c>
      <c r="Y222" s="1" t="str">
        <f t="shared" si="576"/>
        <v>SGF</v>
      </c>
      <c r="Z222" s="1" t="str">
        <f t="shared" si="576"/>
        <v>Title III</v>
      </c>
      <c r="AA222" s="1" t="str">
        <f t="shared" si="576"/>
        <v>Inspirada</v>
      </c>
      <c r="AC222" s="1" t="str">
        <f t="shared" ref="AC222:AJ222" si="577">AC1</f>
        <v>Operating</v>
      </c>
      <c r="AD222" s="1" t="str">
        <f t="shared" si="577"/>
        <v>SPED</v>
      </c>
      <c r="AE222" s="1" t="str">
        <f t="shared" si="577"/>
        <v>NSLP</v>
      </c>
      <c r="AF222" s="1" t="str">
        <f t="shared" si="577"/>
        <v>Other</v>
      </c>
      <c r="AG222" s="1" t="str">
        <f t="shared" si="577"/>
        <v>Title I</v>
      </c>
      <c r="AH222" s="1" t="str">
        <f t="shared" si="577"/>
        <v>SGF</v>
      </c>
      <c r="AI222" s="1" t="str">
        <f t="shared" si="577"/>
        <v>Title III</v>
      </c>
      <c r="AJ222" s="1" t="str">
        <f t="shared" si="577"/>
        <v>Cadence</v>
      </c>
      <c r="AL222" s="1" t="str">
        <f t="shared" ref="AL222:AS222" si="578">AL1</f>
        <v>Operating</v>
      </c>
      <c r="AM222" s="1" t="str">
        <f t="shared" si="578"/>
        <v>SPED</v>
      </c>
      <c r="AN222" s="1" t="str">
        <f t="shared" si="578"/>
        <v>NSLP</v>
      </c>
      <c r="AO222" s="1" t="str">
        <f t="shared" si="578"/>
        <v>Other</v>
      </c>
      <c r="AP222" s="1" t="str">
        <f t="shared" si="578"/>
        <v>Title I</v>
      </c>
      <c r="AQ222" s="1" t="str">
        <f t="shared" si="578"/>
        <v>SGF</v>
      </c>
      <c r="AR222" s="1" t="str">
        <f t="shared" si="578"/>
        <v>Title III</v>
      </c>
      <c r="AS222" s="1" t="str">
        <f t="shared" si="578"/>
        <v>Sloan</v>
      </c>
      <c r="AU222" s="1" t="str">
        <f t="shared" ref="AU222:BB222" si="579">AU1</f>
        <v>Operating</v>
      </c>
      <c r="AV222" s="1" t="str">
        <f t="shared" si="579"/>
        <v>SPED</v>
      </c>
      <c r="AW222" s="1" t="str">
        <f t="shared" si="579"/>
        <v>NSLP</v>
      </c>
      <c r="AX222" s="1" t="str">
        <f t="shared" si="579"/>
        <v>Other</v>
      </c>
      <c r="AY222" s="1" t="str">
        <f t="shared" si="579"/>
        <v>Title I</v>
      </c>
      <c r="AZ222" s="1" t="str">
        <f t="shared" si="579"/>
        <v>SGF</v>
      </c>
      <c r="BA222" s="1" t="str">
        <f t="shared" si="579"/>
        <v>Title III</v>
      </c>
      <c r="BB222" s="1" t="str">
        <f t="shared" si="579"/>
        <v>Virtual</v>
      </c>
      <c r="BD222" s="1" t="str">
        <f t="shared" ref="BD222:BK222" si="580">BD1</f>
        <v>Operating</v>
      </c>
      <c r="BE222" s="1" t="str">
        <f t="shared" si="580"/>
        <v>SPED</v>
      </c>
      <c r="BF222" s="1" t="str">
        <f t="shared" si="580"/>
        <v>NSLP</v>
      </c>
      <c r="BG222" s="1" t="str">
        <f t="shared" si="580"/>
        <v>Other</v>
      </c>
      <c r="BH222" s="1" t="str">
        <f t="shared" si="580"/>
        <v>Title I</v>
      </c>
      <c r="BI222" s="1" t="str">
        <f t="shared" si="580"/>
        <v>SGF</v>
      </c>
      <c r="BJ222" s="1" t="str">
        <f t="shared" si="580"/>
        <v>Title III</v>
      </c>
      <c r="BK222" s="1" t="str">
        <f t="shared" si="580"/>
        <v>Springs</v>
      </c>
      <c r="BM222" s="1" t="str">
        <f t="shared" ref="BM222:BT222" si="581">BM1</f>
        <v>Operating</v>
      </c>
      <c r="BN222" s="1" t="str">
        <f t="shared" si="581"/>
        <v>SPED</v>
      </c>
      <c r="BO222" s="1" t="str">
        <f t="shared" si="581"/>
        <v>NSLP</v>
      </c>
      <c r="BP222" s="1" t="str">
        <f t="shared" si="581"/>
        <v>Other</v>
      </c>
      <c r="BQ222" s="1" t="str">
        <f t="shared" si="581"/>
        <v>Title I</v>
      </c>
      <c r="BR222" s="1" t="str">
        <f t="shared" si="581"/>
        <v>SGF</v>
      </c>
      <c r="BS222" s="1" t="str">
        <f t="shared" si="581"/>
        <v>Title III</v>
      </c>
      <c r="BT222" s="1" t="str">
        <f t="shared" si="581"/>
        <v>Exec. Office</v>
      </c>
      <c r="BV222" s="1" t="str">
        <f t="shared" ref="BV222:CC222" si="582">BV1</f>
        <v>Operating</v>
      </c>
      <c r="BW222" s="1" t="str">
        <f t="shared" si="582"/>
        <v>SPED</v>
      </c>
      <c r="BX222" s="1" t="str">
        <f t="shared" si="582"/>
        <v>NSLP</v>
      </c>
      <c r="BY222" s="1" t="str">
        <f t="shared" si="582"/>
        <v>Other</v>
      </c>
      <c r="BZ222" s="1" t="str">
        <f t="shared" si="582"/>
        <v>Title I</v>
      </c>
      <c r="CA222" s="1" t="str">
        <f t="shared" si="582"/>
        <v>SGF</v>
      </c>
      <c r="CB222" s="1" t="str">
        <f t="shared" si="582"/>
        <v>Title III</v>
      </c>
      <c r="CC222" s="1" t="str">
        <f t="shared" si="582"/>
        <v>Systemwide</v>
      </c>
    </row>
    <row r="224" spans="1:81" s="14" customFormat="1">
      <c r="A224" s="7"/>
      <c r="B224" s="92"/>
      <c r="C224" s="92"/>
      <c r="D224" s="92"/>
      <c r="E224" s="92"/>
      <c r="F224" s="92"/>
      <c r="G224" s="92"/>
      <c r="H224" s="92"/>
      <c r="I224" s="92"/>
      <c r="K224" s="92"/>
      <c r="L224" s="92"/>
      <c r="M224" s="92"/>
      <c r="N224" s="92"/>
      <c r="O224" s="92"/>
      <c r="P224" s="92"/>
      <c r="Q224" s="92"/>
      <c r="R224" s="92"/>
      <c r="T224" s="92"/>
      <c r="U224" s="92"/>
      <c r="V224" s="92"/>
      <c r="W224" s="92"/>
      <c r="X224" s="92"/>
      <c r="Y224" s="92"/>
      <c r="Z224" s="92"/>
      <c r="AA224" s="92"/>
      <c r="AC224" s="92"/>
      <c r="AD224" s="92"/>
      <c r="AE224" s="92"/>
      <c r="AF224" s="92"/>
      <c r="AG224" s="92"/>
      <c r="AH224" s="92"/>
      <c r="AI224" s="92"/>
      <c r="AJ224" s="92"/>
      <c r="AL224" s="92"/>
      <c r="AM224" s="92"/>
      <c r="AN224" s="92"/>
      <c r="AO224" s="92"/>
      <c r="AP224" s="92"/>
      <c r="AQ224" s="92"/>
      <c r="AR224" s="92"/>
      <c r="AS224" s="92"/>
      <c r="AU224" s="92"/>
      <c r="AV224" s="92"/>
      <c r="AW224" s="92"/>
      <c r="AX224" s="92"/>
      <c r="AY224" s="92"/>
      <c r="AZ224" s="92"/>
      <c r="BA224" s="92"/>
      <c r="BB224" s="92"/>
      <c r="BD224" s="92"/>
      <c r="BE224" s="92"/>
      <c r="BF224" s="92"/>
      <c r="BG224" s="92"/>
      <c r="BH224" s="92"/>
      <c r="BI224" s="92"/>
      <c r="BJ224" s="92"/>
      <c r="BK224" s="92"/>
      <c r="BM224" s="92"/>
      <c r="BN224" s="92"/>
      <c r="BO224" s="92"/>
      <c r="BP224" s="92"/>
      <c r="BQ224" s="92"/>
      <c r="BR224" s="92"/>
      <c r="BS224" s="92"/>
      <c r="BT224" s="92"/>
      <c r="BV224" s="92"/>
      <c r="BW224" s="92"/>
      <c r="BX224" s="92"/>
      <c r="BY224" s="92"/>
      <c r="BZ224" s="92"/>
      <c r="CA224" s="92"/>
      <c r="CB224" s="92"/>
      <c r="CC224" s="92"/>
    </row>
    <row r="225" spans="1:81" s="14" customFormat="1">
      <c r="A225" s="7"/>
      <c r="B225" s="92"/>
      <c r="C225" s="95"/>
      <c r="D225" s="95"/>
      <c r="E225" s="95"/>
      <c r="F225" s="95"/>
      <c r="G225" s="95"/>
      <c r="H225" s="95"/>
      <c r="I225" s="95"/>
      <c r="K225" s="92"/>
      <c r="L225" s="95"/>
      <c r="M225" s="95"/>
      <c r="N225" s="95"/>
      <c r="O225" s="95"/>
      <c r="P225" s="95"/>
      <c r="Q225" s="95"/>
      <c r="R225" s="95"/>
      <c r="S225" s="7"/>
      <c r="T225" s="92"/>
      <c r="U225" s="95"/>
      <c r="V225" s="95"/>
      <c r="W225" s="95"/>
      <c r="X225" s="95"/>
      <c r="Y225" s="95"/>
      <c r="Z225" s="95"/>
      <c r="AA225" s="95"/>
      <c r="AB225" s="7"/>
      <c r="AC225" s="92"/>
      <c r="AD225" s="95"/>
      <c r="AE225" s="95"/>
      <c r="AF225" s="95"/>
      <c r="AG225" s="95"/>
      <c r="AH225" s="95"/>
      <c r="AI225" s="95"/>
      <c r="AJ225" s="95"/>
      <c r="AK225" s="7"/>
      <c r="AL225" s="92"/>
      <c r="AM225" s="95"/>
      <c r="AN225" s="95"/>
      <c r="AO225" s="95"/>
      <c r="AP225" s="95"/>
      <c r="AQ225" s="95"/>
      <c r="AR225" s="95"/>
      <c r="AS225" s="95"/>
      <c r="AT225" s="7"/>
      <c r="AU225" s="92"/>
      <c r="AV225" s="95"/>
      <c r="AW225" s="95"/>
      <c r="AX225" s="95"/>
      <c r="AY225" s="95"/>
      <c r="AZ225" s="95"/>
      <c r="BA225" s="95"/>
      <c r="BB225" s="95"/>
      <c r="BC225" s="7"/>
      <c r="BD225" s="92"/>
      <c r="BE225" s="95"/>
      <c r="BF225" s="95"/>
      <c r="BG225" s="95"/>
      <c r="BH225" s="95"/>
      <c r="BI225" s="95"/>
      <c r="BJ225" s="95"/>
      <c r="BK225" s="95"/>
      <c r="BL225" s="7"/>
      <c r="BM225" s="92"/>
      <c r="BN225" s="95"/>
      <c r="BO225" s="95"/>
      <c r="BP225" s="95"/>
      <c r="BQ225" s="95"/>
      <c r="BR225" s="95"/>
      <c r="BS225" s="95"/>
      <c r="BT225" s="95"/>
      <c r="BU225" s="7"/>
      <c r="BV225" s="92"/>
      <c r="BW225" s="95"/>
      <c r="BX225" s="95"/>
      <c r="BY225" s="95"/>
      <c r="BZ225" s="95"/>
      <c r="CA225" s="95"/>
      <c r="CB225" s="95"/>
      <c r="CC225" s="95"/>
    </row>
  </sheetData>
  <pageMargins left="0.7" right="0.7" top="0.75" bottom="0.75" header="0.3" footer="0.3"/>
  <pageSetup scale="42" fitToHeight="0" orientation="portrait" r:id="rId1"/>
  <rowBreaks count="2" manualBreakCount="2">
    <brk id="80" max="9" man="1"/>
    <brk id="170" max="9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27"/>
  <sheetViews>
    <sheetView zoomScale="75" zoomScaleNormal="75" workbookViewId="0">
      <pane xSplit="1" ySplit="1" topLeftCell="B193" activePane="bottomRight" state="frozen"/>
      <selection activeCell="E165" sqref="E164:E165"/>
      <selection pane="topRight" activeCell="E165" sqref="E164:E165"/>
      <selection pane="bottomLeft" activeCell="E165" sqref="E164:E165"/>
      <selection pane="bottomRight" activeCell="B156" sqref="B156"/>
    </sheetView>
  </sheetViews>
  <sheetFormatPr defaultColWidth="8.625" defaultRowHeight="14.25"/>
  <cols>
    <col min="1" max="1" width="56.5" style="7" customWidth="1"/>
    <col min="2" max="7" width="15.625" style="92" customWidth="1"/>
    <col min="8" max="8" width="15.625" style="92" hidden="1" customWidth="1"/>
    <col min="9" max="9" width="15.625" style="92" customWidth="1"/>
    <col min="10" max="10" width="10.125" style="14" bestFit="1" customWidth="1"/>
    <col min="11" max="16" width="15.625" style="92" customWidth="1"/>
    <col min="17" max="17" width="15.625" style="92" hidden="1" customWidth="1"/>
    <col min="18" max="18" width="15.625" style="92" customWidth="1"/>
    <col min="19" max="19" width="8.625" style="7"/>
    <col min="20" max="25" width="15.625" style="92" customWidth="1"/>
    <col min="26" max="26" width="15.625" style="92" hidden="1" customWidth="1"/>
    <col min="27" max="27" width="15.625" style="92" customWidth="1"/>
    <col min="28" max="28" width="8.625" style="7"/>
    <col min="29" max="34" width="15.625" style="92" customWidth="1"/>
    <col min="35" max="35" width="15.625" style="92" hidden="1" customWidth="1"/>
    <col min="36" max="36" width="15.625" style="92" customWidth="1"/>
    <col min="37" max="37" width="8.625" style="7"/>
    <col min="38" max="43" width="15.625" style="92" customWidth="1"/>
    <col min="44" max="44" width="15.625" style="92" hidden="1" customWidth="1"/>
    <col min="45" max="45" width="15.625" style="92" customWidth="1"/>
    <col min="46" max="46" width="8.625" style="7"/>
    <col min="47" max="52" width="15.625" style="92" customWidth="1"/>
    <col min="53" max="53" width="15.625" style="92" hidden="1" customWidth="1"/>
    <col min="54" max="54" width="15.625" style="92" customWidth="1"/>
    <col min="55" max="55" width="8.625" style="7"/>
    <col min="56" max="61" width="15.625" style="92" customWidth="1"/>
    <col min="62" max="62" width="15.625" style="92" hidden="1" customWidth="1"/>
    <col min="63" max="63" width="15.625" style="92" customWidth="1"/>
    <col min="64" max="64" width="8.625" style="7"/>
    <col min="65" max="70" width="15.625" style="92" customWidth="1"/>
    <col min="71" max="71" width="15.625" style="92" hidden="1" customWidth="1"/>
    <col min="72" max="72" width="15.625" style="92" customWidth="1"/>
    <col min="73" max="73" width="8.625" style="7"/>
    <col min="74" max="79" width="15.625" style="92" customWidth="1"/>
    <col min="80" max="80" width="15.625" style="92" hidden="1" customWidth="1"/>
    <col min="81" max="81" width="15.625" style="92" customWidth="1"/>
    <col min="82" max="16384" width="8.625" style="7"/>
  </cols>
  <sheetData>
    <row r="1" spans="1:82" s="3" customFormat="1" ht="15">
      <c r="A1" s="1" t="s">
        <v>207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196</v>
      </c>
      <c r="J1" s="2"/>
      <c r="K1" s="1" t="s">
        <v>0</v>
      </c>
      <c r="L1" s="1" t="s">
        <v>1</v>
      </c>
      <c r="M1" s="1" t="s">
        <v>2</v>
      </c>
      <c r="N1" s="1" t="s">
        <v>3</v>
      </c>
      <c r="O1" s="1" t="s">
        <v>4</v>
      </c>
      <c r="P1" s="1" t="s">
        <v>5</v>
      </c>
      <c r="Q1" s="1" t="s">
        <v>6</v>
      </c>
      <c r="R1" s="1" t="s">
        <v>198</v>
      </c>
      <c r="T1" s="1" t="s">
        <v>0</v>
      </c>
      <c r="U1" s="1" t="s">
        <v>1</v>
      </c>
      <c r="V1" s="1" t="s">
        <v>2</v>
      </c>
      <c r="W1" s="1" t="s">
        <v>3</v>
      </c>
      <c r="X1" s="1" t="s">
        <v>4</v>
      </c>
      <c r="Y1" s="1" t="s">
        <v>5</v>
      </c>
      <c r="Z1" s="1" t="s">
        <v>6</v>
      </c>
      <c r="AA1" s="1" t="s">
        <v>199</v>
      </c>
      <c r="AC1" s="1" t="s">
        <v>0</v>
      </c>
      <c r="AD1" s="1" t="s">
        <v>1</v>
      </c>
      <c r="AE1" s="1" t="s">
        <v>2</v>
      </c>
      <c r="AF1" s="1" t="s">
        <v>3</v>
      </c>
      <c r="AG1" s="1" t="s">
        <v>4</v>
      </c>
      <c r="AH1" s="1" t="s">
        <v>5</v>
      </c>
      <c r="AI1" s="1" t="s">
        <v>6</v>
      </c>
      <c r="AJ1" s="1" t="s">
        <v>200</v>
      </c>
      <c r="AL1" s="1" t="s">
        <v>0</v>
      </c>
      <c r="AM1" s="1" t="s">
        <v>1</v>
      </c>
      <c r="AN1" s="1" t="s">
        <v>2</v>
      </c>
      <c r="AO1" s="1" t="s">
        <v>3</v>
      </c>
      <c r="AP1" s="1" t="s">
        <v>4</v>
      </c>
      <c r="AQ1" s="1" t="s">
        <v>5</v>
      </c>
      <c r="AR1" s="1" t="s">
        <v>6</v>
      </c>
      <c r="AS1" s="1" t="s">
        <v>201</v>
      </c>
      <c r="AU1" s="1" t="s">
        <v>0</v>
      </c>
      <c r="AV1" s="1" t="s">
        <v>1</v>
      </c>
      <c r="AW1" s="1" t="s">
        <v>2</v>
      </c>
      <c r="AX1" s="1" t="s">
        <v>3</v>
      </c>
      <c r="AY1" s="1" t="s">
        <v>4</v>
      </c>
      <c r="AZ1" s="1" t="s">
        <v>5</v>
      </c>
      <c r="BA1" s="1" t="s">
        <v>6</v>
      </c>
      <c r="BB1" s="1" t="s">
        <v>202</v>
      </c>
      <c r="BD1" s="1" t="s">
        <v>0</v>
      </c>
      <c r="BE1" s="1" t="s">
        <v>1</v>
      </c>
      <c r="BF1" s="1" t="s">
        <v>2</v>
      </c>
      <c r="BG1" s="1" t="s">
        <v>3</v>
      </c>
      <c r="BH1" s="1" t="s">
        <v>4</v>
      </c>
      <c r="BI1" s="1" t="s">
        <v>5</v>
      </c>
      <c r="BJ1" s="1" t="s">
        <v>6</v>
      </c>
      <c r="BK1" s="1" t="s">
        <v>203</v>
      </c>
      <c r="BM1" s="1" t="s">
        <v>0</v>
      </c>
      <c r="BN1" s="1" t="s">
        <v>1</v>
      </c>
      <c r="BO1" s="1" t="s">
        <v>2</v>
      </c>
      <c r="BP1" s="1" t="s">
        <v>3</v>
      </c>
      <c r="BQ1" s="1" t="s">
        <v>4</v>
      </c>
      <c r="BR1" s="1" t="s">
        <v>5</v>
      </c>
      <c r="BS1" s="1" t="s">
        <v>6</v>
      </c>
      <c r="BT1" s="1" t="s">
        <v>204</v>
      </c>
      <c r="BV1" s="1" t="s">
        <v>0</v>
      </c>
      <c r="BW1" s="1" t="s">
        <v>1</v>
      </c>
      <c r="BX1" s="1" t="s">
        <v>2</v>
      </c>
      <c r="BY1" s="1" t="s">
        <v>3</v>
      </c>
      <c r="BZ1" s="1" t="s">
        <v>4</v>
      </c>
      <c r="CA1" s="1" t="s">
        <v>5</v>
      </c>
      <c r="CB1" s="1" t="s">
        <v>6</v>
      </c>
      <c r="CC1" s="1" t="s">
        <v>205</v>
      </c>
    </row>
    <row r="2" spans="1:82">
      <c r="A2" s="4" t="s">
        <v>7</v>
      </c>
      <c r="B2" s="5">
        <v>9555</v>
      </c>
      <c r="C2" s="5"/>
      <c r="D2" s="5"/>
      <c r="E2" s="5"/>
      <c r="F2" s="5"/>
      <c r="G2" s="5"/>
      <c r="H2" s="5"/>
      <c r="I2" s="5">
        <f>SUM(B2:H2)</f>
        <v>9555</v>
      </c>
      <c r="J2" s="6"/>
      <c r="K2" s="5">
        <v>9555</v>
      </c>
      <c r="L2" s="5"/>
      <c r="M2" s="5"/>
      <c r="N2" s="5"/>
      <c r="O2" s="5"/>
      <c r="P2" s="5"/>
      <c r="Q2" s="5"/>
      <c r="R2" s="5">
        <f>SUM(K2:Q2)</f>
        <v>9555</v>
      </c>
      <c r="T2" s="5">
        <v>9555</v>
      </c>
      <c r="U2" s="5"/>
      <c r="V2" s="5"/>
      <c r="W2" s="5"/>
      <c r="X2" s="5"/>
      <c r="Y2" s="5"/>
      <c r="Z2" s="5"/>
      <c r="AA2" s="5">
        <f>SUM(T2:Z2)</f>
        <v>9555</v>
      </c>
      <c r="AC2" s="5">
        <v>9555</v>
      </c>
      <c r="AD2" s="5"/>
      <c r="AE2" s="5"/>
      <c r="AF2" s="5"/>
      <c r="AG2" s="5"/>
      <c r="AH2" s="5"/>
      <c r="AI2" s="5"/>
      <c r="AJ2" s="5">
        <f>SUM(AC2:AI2)</f>
        <v>9555</v>
      </c>
      <c r="AL2" s="5">
        <v>9555</v>
      </c>
      <c r="AM2" s="5"/>
      <c r="AN2" s="5"/>
      <c r="AO2" s="5"/>
      <c r="AP2" s="5"/>
      <c r="AQ2" s="5"/>
      <c r="AR2" s="5"/>
      <c r="AS2" s="5">
        <f>SUM(AL2:AR2)</f>
        <v>9555</v>
      </c>
      <c r="AU2" s="5">
        <v>9555</v>
      </c>
      <c r="AV2" s="5"/>
      <c r="AW2" s="5"/>
      <c r="AX2" s="5"/>
      <c r="AY2" s="5"/>
      <c r="AZ2" s="5"/>
      <c r="BA2" s="5"/>
      <c r="BB2" s="5">
        <f>SUM(AU2:BA2)</f>
        <v>9555</v>
      </c>
      <c r="BD2" s="5">
        <v>9555</v>
      </c>
      <c r="BE2" s="5"/>
      <c r="BF2" s="5"/>
      <c r="BG2" s="5"/>
      <c r="BH2" s="5"/>
      <c r="BI2" s="5"/>
      <c r="BJ2" s="5"/>
      <c r="BK2" s="5">
        <f>SUM(BD2:BJ2)</f>
        <v>9555</v>
      </c>
      <c r="BM2" s="5">
        <v>9555</v>
      </c>
      <c r="BN2" s="5"/>
      <c r="BO2" s="5"/>
      <c r="BP2" s="5"/>
      <c r="BQ2" s="5"/>
      <c r="BR2" s="5"/>
      <c r="BS2" s="5"/>
      <c r="BT2" s="5">
        <f>SUM(BM2:BS2)</f>
        <v>9555</v>
      </c>
      <c r="BV2" s="5">
        <v>9555</v>
      </c>
      <c r="BW2" s="5"/>
      <c r="BX2" s="5"/>
      <c r="BY2" s="5"/>
      <c r="BZ2" s="5"/>
      <c r="CA2" s="5"/>
      <c r="CB2" s="5"/>
      <c r="CC2" s="5">
        <f>SUM(BV2:CB2)</f>
        <v>9555</v>
      </c>
    </row>
    <row r="3" spans="1:82" ht="15">
      <c r="A3" s="8" t="s">
        <v>8</v>
      </c>
      <c r="B3" s="9">
        <f t="shared" ref="B3" si="0">B4+B5+B6+B7+B8+B9+B10+B11+B12+B13+B14+B15+B16</f>
        <v>909</v>
      </c>
      <c r="C3" s="9"/>
      <c r="D3" s="9"/>
      <c r="E3" s="9"/>
      <c r="F3" s="9"/>
      <c r="G3" s="9"/>
      <c r="H3" s="9"/>
      <c r="I3" s="9">
        <f t="shared" ref="I3:I16" si="1">SUM(B3:H3)</f>
        <v>909</v>
      </c>
      <c r="J3" s="6"/>
      <c r="K3" s="9">
        <f t="shared" ref="K3" si="2">K4+K5+K6+K7+K8+K9+K10+K11+K12+K13+K14+K15+K16</f>
        <v>1032</v>
      </c>
      <c r="L3" s="9"/>
      <c r="M3" s="9"/>
      <c r="N3" s="9"/>
      <c r="O3" s="9"/>
      <c r="P3" s="9"/>
      <c r="Q3" s="9"/>
      <c r="R3" s="9">
        <f t="shared" ref="R3:R16" si="3">SUM(K3:Q3)</f>
        <v>1032</v>
      </c>
      <c r="T3" s="9">
        <f t="shared" ref="T3" si="4">T4+T5+T6+T7+T8+T9+T10+T11+T12+T13+T14+T15+T16</f>
        <v>1245</v>
      </c>
      <c r="U3" s="9"/>
      <c r="V3" s="9"/>
      <c r="W3" s="9"/>
      <c r="X3" s="9"/>
      <c r="Y3" s="9"/>
      <c r="Z3" s="9"/>
      <c r="AA3" s="9">
        <f t="shared" ref="AA3:AA16" si="5">SUM(T3:Z3)</f>
        <v>1245</v>
      </c>
      <c r="AC3" s="9">
        <f t="shared" ref="AC3" si="6">AC4+AC5+AC6+AC7+AC8+AC9+AC10+AC11+AC12+AC13+AC14+AC15+AC16</f>
        <v>2440</v>
      </c>
      <c r="AD3" s="9"/>
      <c r="AE3" s="9"/>
      <c r="AF3" s="9"/>
      <c r="AG3" s="9"/>
      <c r="AH3" s="9"/>
      <c r="AI3" s="9"/>
      <c r="AJ3" s="9">
        <f t="shared" ref="AJ3:AJ16" si="7">SUM(AC3:AI3)</f>
        <v>2440</v>
      </c>
      <c r="AL3" s="9">
        <f t="shared" ref="AL3" si="8">AL4+AL5+AL6+AL7+AL8+AL9+AL10+AL11+AL12+AL13+AL14+AL15+AL16</f>
        <v>2309</v>
      </c>
      <c r="AM3" s="9"/>
      <c r="AN3" s="9"/>
      <c r="AO3" s="9"/>
      <c r="AP3" s="9"/>
      <c r="AQ3" s="9"/>
      <c r="AR3" s="9"/>
      <c r="AS3" s="9">
        <f t="shared" ref="AS3:AS16" si="9">SUM(AL3:AR3)</f>
        <v>2309</v>
      </c>
      <c r="AU3" s="9">
        <f t="shared" ref="AU3" si="10">AU4+AU5+AU6+AU7+AU8+AU9+AU10+AU11+AU12+AU13+AU14+AU15+AU16</f>
        <v>140</v>
      </c>
      <c r="AV3" s="9"/>
      <c r="AW3" s="9"/>
      <c r="AX3" s="9"/>
      <c r="AY3" s="9"/>
      <c r="AZ3" s="9"/>
      <c r="BA3" s="9"/>
      <c r="BB3" s="9">
        <f t="shared" ref="BB3:BB16" si="11">SUM(AU3:BA3)</f>
        <v>140</v>
      </c>
      <c r="BD3" s="9">
        <f t="shared" ref="BD3" si="12">BD4+BD5+BD6+BD7+BD8+BD9+BD10+BD11+BD12+BD13+BD14+BD15+BD16</f>
        <v>346</v>
      </c>
      <c r="BE3" s="9"/>
      <c r="BF3" s="9"/>
      <c r="BG3" s="9"/>
      <c r="BH3" s="9"/>
      <c r="BI3" s="9"/>
      <c r="BJ3" s="9"/>
      <c r="BK3" s="9">
        <f t="shared" ref="BK3:BK16" si="13">SUM(BD3:BJ3)</f>
        <v>346</v>
      </c>
      <c r="BM3" s="9">
        <f t="shared" ref="BM3" si="14">BM4+BM5+BM6+BM7+BM8+BM9+BM10+BM11+BM12+BM13+BM14+BM15+BM16</f>
        <v>0</v>
      </c>
      <c r="BN3" s="9"/>
      <c r="BO3" s="9"/>
      <c r="BP3" s="9"/>
      <c r="BQ3" s="9"/>
      <c r="BR3" s="9"/>
      <c r="BS3" s="9"/>
      <c r="BT3" s="9">
        <f t="shared" ref="BT3:BT16" si="15">SUM(BM3:BS3)</f>
        <v>0</v>
      </c>
      <c r="BV3" s="9">
        <f t="shared" ref="BV3" si="16">BV4+BV5+BV6+BV7+BV8+BV9+BV10+BV11+BV12+BV13+BV14+BV15+BV16</f>
        <v>8421</v>
      </c>
      <c r="BW3" s="9"/>
      <c r="BX3" s="9"/>
      <c r="BY3" s="9"/>
      <c r="BZ3" s="9"/>
      <c r="CA3" s="9"/>
      <c r="CB3" s="9"/>
      <c r="CC3" s="9">
        <f t="shared" ref="CC3:CC16" si="17">SUM(BV3:CB3)</f>
        <v>8421</v>
      </c>
    </row>
    <row r="4" spans="1:82">
      <c r="A4" s="10" t="s">
        <v>9</v>
      </c>
      <c r="B4" s="5">
        <f>25*6</f>
        <v>150</v>
      </c>
      <c r="C4" s="11"/>
      <c r="D4" s="11"/>
      <c r="E4" s="11"/>
      <c r="F4" s="11"/>
      <c r="G4" s="11"/>
      <c r="H4" s="11"/>
      <c r="I4" s="11">
        <f t="shared" si="1"/>
        <v>150</v>
      </c>
      <c r="J4" s="12">
        <f>I4/25</f>
        <v>6</v>
      </c>
      <c r="K4" s="5">
        <f>25*4</f>
        <v>100</v>
      </c>
      <c r="L4" s="11"/>
      <c r="M4" s="11"/>
      <c r="N4" s="11"/>
      <c r="O4" s="11"/>
      <c r="P4" s="11"/>
      <c r="Q4" s="11"/>
      <c r="R4" s="11">
        <f t="shared" si="3"/>
        <v>100</v>
      </c>
      <c r="S4" s="12">
        <f>R4/25</f>
        <v>4</v>
      </c>
      <c r="T4" s="5">
        <f>25*5</f>
        <v>125</v>
      </c>
      <c r="U4" s="11"/>
      <c r="V4" s="11"/>
      <c r="W4" s="11"/>
      <c r="X4" s="11"/>
      <c r="Y4" s="11"/>
      <c r="Z4" s="11"/>
      <c r="AA4" s="11">
        <f t="shared" si="5"/>
        <v>125</v>
      </c>
      <c r="AB4" s="12">
        <f>AA4/25</f>
        <v>5</v>
      </c>
      <c r="AC4" s="5">
        <f>25*5</f>
        <v>125</v>
      </c>
      <c r="AD4" s="11"/>
      <c r="AE4" s="11"/>
      <c r="AF4" s="11"/>
      <c r="AG4" s="11"/>
      <c r="AH4" s="11"/>
      <c r="AI4" s="11"/>
      <c r="AJ4" s="11">
        <f t="shared" si="7"/>
        <v>125</v>
      </c>
      <c r="AK4" s="12">
        <f>AJ4/25</f>
        <v>5</v>
      </c>
      <c r="AL4" s="5">
        <f>25*5</f>
        <v>125</v>
      </c>
      <c r="AM4" s="11"/>
      <c r="AN4" s="11"/>
      <c r="AO4" s="11"/>
      <c r="AP4" s="11"/>
      <c r="AQ4" s="11"/>
      <c r="AR4" s="11"/>
      <c r="AS4" s="11">
        <f t="shared" si="9"/>
        <v>125</v>
      </c>
      <c r="AT4" s="12">
        <f>AS4/25</f>
        <v>5</v>
      </c>
      <c r="AU4" s="5">
        <v>0</v>
      </c>
      <c r="AV4" s="11"/>
      <c r="AW4" s="11"/>
      <c r="AX4" s="11"/>
      <c r="AY4" s="11"/>
      <c r="AZ4" s="11"/>
      <c r="BA4" s="11"/>
      <c r="BB4" s="11">
        <f t="shared" si="11"/>
        <v>0</v>
      </c>
      <c r="BD4" s="5">
        <f>25*3</f>
        <v>75</v>
      </c>
      <c r="BE4" s="11"/>
      <c r="BF4" s="11"/>
      <c r="BG4" s="11"/>
      <c r="BH4" s="11"/>
      <c r="BI4" s="11"/>
      <c r="BJ4" s="11"/>
      <c r="BK4" s="11">
        <f t="shared" si="13"/>
        <v>75</v>
      </c>
      <c r="BL4" s="12">
        <f>BK4/25</f>
        <v>3</v>
      </c>
      <c r="BM4" s="5">
        <v>0</v>
      </c>
      <c r="BN4" s="11"/>
      <c r="BO4" s="11"/>
      <c r="BP4" s="11"/>
      <c r="BQ4" s="11"/>
      <c r="BR4" s="11"/>
      <c r="BS4" s="11"/>
      <c r="BT4" s="11">
        <f t="shared" si="15"/>
        <v>0</v>
      </c>
      <c r="BV4" s="5">
        <f>B4+K4+T4+AC4+AL4+AU4+BD4+BM4</f>
        <v>700</v>
      </c>
      <c r="BW4" s="5">
        <f t="shared" ref="BW4:CA16" si="18">C4+L4+U4+AD4+AM4+AV4+BE4+BN4</f>
        <v>0</v>
      </c>
      <c r="BX4" s="5">
        <f t="shared" si="18"/>
        <v>0</v>
      </c>
      <c r="BY4" s="5">
        <f t="shared" si="18"/>
        <v>0</v>
      </c>
      <c r="BZ4" s="5">
        <f t="shared" si="18"/>
        <v>0</v>
      </c>
      <c r="CA4" s="5">
        <f t="shared" si="18"/>
        <v>0</v>
      </c>
      <c r="CB4" s="11"/>
      <c r="CC4" s="11">
        <f t="shared" si="17"/>
        <v>700</v>
      </c>
      <c r="CD4" s="12">
        <f>J4+S4+AB4+AK4+AT4+BC4+BL4+BU4</f>
        <v>28</v>
      </c>
    </row>
    <row r="5" spans="1:82">
      <c r="A5" s="8" t="s">
        <v>10</v>
      </c>
      <c r="B5" s="5">
        <f>26*6</f>
        <v>156</v>
      </c>
      <c r="C5" s="11"/>
      <c r="D5" s="11"/>
      <c r="E5" s="11"/>
      <c r="F5" s="11"/>
      <c r="G5" s="11"/>
      <c r="H5" s="11"/>
      <c r="I5" s="11">
        <f t="shared" si="1"/>
        <v>156</v>
      </c>
      <c r="J5" s="12">
        <f>I5/26</f>
        <v>6</v>
      </c>
      <c r="K5" s="5">
        <f>26*4</f>
        <v>104</v>
      </c>
      <c r="L5" s="11"/>
      <c r="M5" s="11"/>
      <c r="N5" s="11"/>
      <c r="O5" s="11"/>
      <c r="P5" s="11"/>
      <c r="Q5" s="11"/>
      <c r="R5" s="11">
        <f t="shared" si="3"/>
        <v>104</v>
      </c>
      <c r="S5" s="12">
        <f>R5/26</f>
        <v>4</v>
      </c>
      <c r="T5" s="5">
        <f>26*5</f>
        <v>130</v>
      </c>
      <c r="U5" s="11"/>
      <c r="V5" s="11"/>
      <c r="W5" s="11"/>
      <c r="X5" s="11"/>
      <c r="Y5" s="11"/>
      <c r="Z5" s="11"/>
      <c r="AA5" s="11">
        <f t="shared" si="5"/>
        <v>130</v>
      </c>
      <c r="AB5" s="12">
        <f>AA5/26</f>
        <v>5</v>
      </c>
      <c r="AC5" s="5">
        <f>26*5</f>
        <v>130</v>
      </c>
      <c r="AD5" s="11"/>
      <c r="AE5" s="11"/>
      <c r="AF5" s="11"/>
      <c r="AG5" s="11"/>
      <c r="AH5" s="11"/>
      <c r="AI5" s="11"/>
      <c r="AJ5" s="11">
        <f t="shared" si="7"/>
        <v>130</v>
      </c>
      <c r="AK5" s="12">
        <f>AJ5/26</f>
        <v>5</v>
      </c>
      <c r="AL5" s="5">
        <f>25*5</f>
        <v>125</v>
      </c>
      <c r="AM5" s="11"/>
      <c r="AN5" s="11"/>
      <c r="AO5" s="11"/>
      <c r="AP5" s="11"/>
      <c r="AQ5" s="11"/>
      <c r="AR5" s="11"/>
      <c r="AS5" s="11">
        <f t="shared" si="9"/>
        <v>125</v>
      </c>
      <c r="AT5" s="12">
        <f t="shared" ref="AT5" si="19">AS5/25</f>
        <v>5</v>
      </c>
      <c r="AU5" s="5">
        <v>0</v>
      </c>
      <c r="AV5" s="11"/>
      <c r="AW5" s="11"/>
      <c r="AX5" s="11"/>
      <c r="AY5" s="11"/>
      <c r="AZ5" s="11"/>
      <c r="BA5" s="11"/>
      <c r="BB5" s="11">
        <f t="shared" si="11"/>
        <v>0</v>
      </c>
      <c r="BD5" s="5">
        <f>25*3</f>
        <v>75</v>
      </c>
      <c r="BE5" s="11"/>
      <c r="BF5" s="11"/>
      <c r="BG5" s="11"/>
      <c r="BH5" s="11"/>
      <c r="BI5" s="11"/>
      <c r="BJ5" s="11"/>
      <c r="BK5" s="11">
        <f t="shared" si="13"/>
        <v>75</v>
      </c>
      <c r="BL5" s="12">
        <f t="shared" ref="BL5:BL6" si="20">BK5/25</f>
        <v>3</v>
      </c>
      <c r="BM5" s="5">
        <v>0</v>
      </c>
      <c r="BN5" s="11"/>
      <c r="BO5" s="11"/>
      <c r="BP5" s="11"/>
      <c r="BQ5" s="11"/>
      <c r="BR5" s="11"/>
      <c r="BS5" s="11"/>
      <c r="BT5" s="11">
        <f t="shared" si="15"/>
        <v>0</v>
      </c>
      <c r="BV5" s="5">
        <f t="shared" ref="BV5:BV16" si="21">B5+K5+T5+AC5+AL5+AU5+BD5+BM5</f>
        <v>720</v>
      </c>
      <c r="BW5" s="5">
        <f t="shared" si="18"/>
        <v>0</v>
      </c>
      <c r="BX5" s="5">
        <f t="shared" si="18"/>
        <v>0</v>
      </c>
      <c r="BY5" s="5">
        <f t="shared" si="18"/>
        <v>0</v>
      </c>
      <c r="BZ5" s="5">
        <f t="shared" si="18"/>
        <v>0</v>
      </c>
      <c r="CA5" s="5">
        <f t="shared" si="18"/>
        <v>0</v>
      </c>
      <c r="CB5" s="11"/>
      <c r="CC5" s="11">
        <f t="shared" si="17"/>
        <v>720</v>
      </c>
      <c r="CD5" s="12">
        <f t="shared" ref="CD5:CD16" si="22">J5+S5+AB5+AK5+AT5+BC5+BL5+BU5</f>
        <v>28</v>
      </c>
    </row>
    <row r="6" spans="1:82">
      <c r="A6" s="8" t="s">
        <v>11</v>
      </c>
      <c r="B6" s="5">
        <f>26*6</f>
        <v>156</v>
      </c>
      <c r="C6" s="11"/>
      <c r="D6" s="11"/>
      <c r="E6" s="11"/>
      <c r="F6" s="11"/>
      <c r="G6" s="11"/>
      <c r="H6" s="11"/>
      <c r="I6" s="11">
        <f t="shared" si="1"/>
        <v>156</v>
      </c>
      <c r="J6" s="12">
        <f t="shared" ref="J6:J8" si="23">I6/26</f>
        <v>6</v>
      </c>
      <c r="K6" s="5">
        <f>27*4</f>
        <v>108</v>
      </c>
      <c r="L6" s="11"/>
      <c r="M6" s="11"/>
      <c r="N6" s="11"/>
      <c r="O6" s="11"/>
      <c r="P6" s="11"/>
      <c r="Q6" s="11"/>
      <c r="R6" s="11">
        <f t="shared" si="3"/>
        <v>108</v>
      </c>
      <c r="S6" s="12">
        <f>R6/27</f>
        <v>4</v>
      </c>
      <c r="T6" s="5">
        <f>26*5</f>
        <v>130</v>
      </c>
      <c r="U6" s="11"/>
      <c r="V6" s="11"/>
      <c r="W6" s="11"/>
      <c r="X6" s="11"/>
      <c r="Y6" s="11"/>
      <c r="Z6" s="11"/>
      <c r="AA6" s="11">
        <f t="shared" si="5"/>
        <v>130</v>
      </c>
      <c r="AB6" s="12">
        <f t="shared" ref="AB6:AB8" si="24">AA6/26</f>
        <v>5</v>
      </c>
      <c r="AC6" s="5">
        <f>27*5</f>
        <v>135</v>
      </c>
      <c r="AD6" s="11"/>
      <c r="AE6" s="11"/>
      <c r="AF6" s="11"/>
      <c r="AG6" s="11"/>
      <c r="AH6" s="11"/>
      <c r="AI6" s="11"/>
      <c r="AJ6" s="11">
        <f t="shared" si="7"/>
        <v>135</v>
      </c>
      <c r="AK6" s="12">
        <f>AJ6/27</f>
        <v>5</v>
      </c>
      <c r="AL6" s="5">
        <f>26*5</f>
        <v>130</v>
      </c>
      <c r="AM6" s="11"/>
      <c r="AN6" s="11"/>
      <c r="AO6" s="11"/>
      <c r="AP6" s="11"/>
      <c r="AQ6" s="11"/>
      <c r="AR6" s="11"/>
      <c r="AS6" s="11">
        <f t="shared" si="9"/>
        <v>130</v>
      </c>
      <c r="AT6" s="12">
        <f>AS6/26</f>
        <v>5</v>
      </c>
      <c r="AU6" s="5">
        <v>0</v>
      </c>
      <c r="AV6" s="11"/>
      <c r="AW6" s="11"/>
      <c r="AX6" s="11"/>
      <c r="AY6" s="11"/>
      <c r="AZ6" s="11"/>
      <c r="BA6" s="11"/>
      <c r="BB6" s="11">
        <f t="shared" si="11"/>
        <v>0</v>
      </c>
      <c r="BD6" s="5">
        <f>25*3</f>
        <v>75</v>
      </c>
      <c r="BE6" s="11"/>
      <c r="BF6" s="11"/>
      <c r="BG6" s="11"/>
      <c r="BH6" s="11"/>
      <c r="BI6" s="11"/>
      <c r="BJ6" s="11"/>
      <c r="BK6" s="11">
        <f t="shared" si="13"/>
        <v>75</v>
      </c>
      <c r="BL6" s="12">
        <f t="shared" si="20"/>
        <v>3</v>
      </c>
      <c r="BM6" s="5">
        <v>0</v>
      </c>
      <c r="BN6" s="11"/>
      <c r="BO6" s="11"/>
      <c r="BP6" s="11"/>
      <c r="BQ6" s="11"/>
      <c r="BR6" s="11"/>
      <c r="BS6" s="11"/>
      <c r="BT6" s="11">
        <f t="shared" si="15"/>
        <v>0</v>
      </c>
      <c r="BV6" s="5">
        <f t="shared" si="21"/>
        <v>734</v>
      </c>
      <c r="BW6" s="5">
        <f t="shared" si="18"/>
        <v>0</v>
      </c>
      <c r="BX6" s="5">
        <f t="shared" si="18"/>
        <v>0</v>
      </c>
      <c r="BY6" s="5">
        <f t="shared" si="18"/>
        <v>0</v>
      </c>
      <c r="BZ6" s="5">
        <f t="shared" si="18"/>
        <v>0</v>
      </c>
      <c r="CA6" s="5">
        <f t="shared" si="18"/>
        <v>0</v>
      </c>
      <c r="CB6" s="11"/>
      <c r="CC6" s="11">
        <f t="shared" si="17"/>
        <v>734</v>
      </c>
      <c r="CD6" s="12">
        <f t="shared" si="22"/>
        <v>28</v>
      </c>
    </row>
    <row r="7" spans="1:82">
      <c r="A7" s="13" t="s">
        <v>12</v>
      </c>
      <c r="B7" s="5">
        <f>26*6</f>
        <v>156</v>
      </c>
      <c r="C7" s="11"/>
      <c r="D7" s="11"/>
      <c r="E7" s="11"/>
      <c r="F7" s="11"/>
      <c r="G7" s="11"/>
      <c r="H7" s="11"/>
      <c r="I7" s="11">
        <f t="shared" si="1"/>
        <v>156</v>
      </c>
      <c r="J7" s="12">
        <f t="shared" si="23"/>
        <v>6</v>
      </c>
      <c r="K7" s="5">
        <f>28*4</f>
        <v>112</v>
      </c>
      <c r="L7" s="11"/>
      <c r="M7" s="11"/>
      <c r="N7" s="11"/>
      <c r="O7" s="11"/>
      <c r="P7" s="11"/>
      <c r="Q7" s="11"/>
      <c r="R7" s="11">
        <f t="shared" si="3"/>
        <v>112</v>
      </c>
      <c r="S7" s="12">
        <f>R7/28</f>
        <v>4</v>
      </c>
      <c r="T7" s="5">
        <f t="shared" ref="T7:T8" si="25">26*5</f>
        <v>130</v>
      </c>
      <c r="U7" s="11"/>
      <c r="V7" s="11"/>
      <c r="W7" s="11"/>
      <c r="X7" s="11"/>
      <c r="Y7" s="11"/>
      <c r="Z7" s="11"/>
      <c r="AA7" s="11">
        <f t="shared" si="5"/>
        <v>130</v>
      </c>
      <c r="AB7" s="12">
        <f t="shared" si="24"/>
        <v>5</v>
      </c>
      <c r="AC7" s="5">
        <f>27*5</f>
        <v>135</v>
      </c>
      <c r="AD7" s="11"/>
      <c r="AE7" s="11"/>
      <c r="AF7" s="11"/>
      <c r="AG7" s="11"/>
      <c r="AH7" s="11"/>
      <c r="AI7" s="11"/>
      <c r="AJ7" s="11">
        <f t="shared" si="7"/>
        <v>135</v>
      </c>
      <c r="AK7" s="12">
        <f t="shared" ref="AK7" si="26">AJ7/27</f>
        <v>5</v>
      </c>
      <c r="AL7" s="5">
        <f>27*5</f>
        <v>135</v>
      </c>
      <c r="AM7" s="11"/>
      <c r="AN7" s="11"/>
      <c r="AO7" s="11"/>
      <c r="AP7" s="11"/>
      <c r="AQ7" s="11"/>
      <c r="AR7" s="11"/>
      <c r="AS7" s="11">
        <f t="shared" si="9"/>
        <v>135</v>
      </c>
      <c r="AT7" s="12">
        <f t="shared" ref="AT7:AT8" si="27">AS7/27</f>
        <v>5</v>
      </c>
      <c r="AU7" s="5">
        <v>0</v>
      </c>
      <c r="AV7" s="11"/>
      <c r="AW7" s="11"/>
      <c r="AX7" s="11"/>
      <c r="AY7" s="11"/>
      <c r="AZ7" s="11"/>
      <c r="BA7" s="11"/>
      <c r="BB7" s="11">
        <f t="shared" si="11"/>
        <v>0</v>
      </c>
      <c r="BD7" s="5">
        <f>24*2</f>
        <v>48</v>
      </c>
      <c r="BE7" s="11"/>
      <c r="BF7" s="11"/>
      <c r="BG7" s="11"/>
      <c r="BH7" s="11"/>
      <c r="BI7" s="11"/>
      <c r="BJ7" s="11"/>
      <c r="BK7" s="11">
        <f t="shared" si="13"/>
        <v>48</v>
      </c>
      <c r="BL7" s="12">
        <f>BK7/24</f>
        <v>2</v>
      </c>
      <c r="BM7" s="5">
        <v>0</v>
      </c>
      <c r="BN7" s="11"/>
      <c r="BO7" s="11"/>
      <c r="BP7" s="11"/>
      <c r="BQ7" s="11"/>
      <c r="BR7" s="11"/>
      <c r="BS7" s="11"/>
      <c r="BT7" s="11">
        <f t="shared" si="15"/>
        <v>0</v>
      </c>
      <c r="BV7" s="5">
        <f t="shared" si="21"/>
        <v>716</v>
      </c>
      <c r="BW7" s="5">
        <f t="shared" si="18"/>
        <v>0</v>
      </c>
      <c r="BX7" s="5">
        <f t="shared" si="18"/>
        <v>0</v>
      </c>
      <c r="BY7" s="5">
        <f t="shared" si="18"/>
        <v>0</v>
      </c>
      <c r="BZ7" s="5">
        <f t="shared" si="18"/>
        <v>0</v>
      </c>
      <c r="CA7" s="5">
        <f t="shared" si="18"/>
        <v>0</v>
      </c>
      <c r="CB7" s="11"/>
      <c r="CC7" s="11">
        <f t="shared" si="17"/>
        <v>716</v>
      </c>
      <c r="CD7" s="12">
        <f t="shared" si="22"/>
        <v>27</v>
      </c>
    </row>
    <row r="8" spans="1:82">
      <c r="A8" s="13" t="s">
        <v>13</v>
      </c>
      <c r="B8" s="5">
        <f>26*6</f>
        <v>156</v>
      </c>
      <c r="C8" s="11"/>
      <c r="D8" s="11"/>
      <c r="E8" s="11"/>
      <c r="F8" s="11"/>
      <c r="G8" s="11"/>
      <c r="H8" s="11"/>
      <c r="I8" s="11">
        <f t="shared" si="1"/>
        <v>156</v>
      </c>
      <c r="J8" s="12">
        <f t="shared" si="23"/>
        <v>6</v>
      </c>
      <c r="K8" s="5">
        <f>28*4</f>
        <v>112</v>
      </c>
      <c r="L8" s="11"/>
      <c r="M8" s="11"/>
      <c r="N8" s="11"/>
      <c r="O8" s="11"/>
      <c r="P8" s="11"/>
      <c r="Q8" s="11"/>
      <c r="R8" s="11">
        <f t="shared" si="3"/>
        <v>112</v>
      </c>
      <c r="S8" s="12">
        <f t="shared" ref="S8" si="28">R8/28</f>
        <v>4</v>
      </c>
      <c r="T8" s="5">
        <f t="shared" si="25"/>
        <v>130</v>
      </c>
      <c r="U8" s="11"/>
      <c r="V8" s="11"/>
      <c r="W8" s="11"/>
      <c r="X8" s="11"/>
      <c r="Y8" s="11"/>
      <c r="Z8" s="11"/>
      <c r="AA8" s="11">
        <f t="shared" si="5"/>
        <v>130</v>
      </c>
      <c r="AB8" s="12">
        <f t="shared" si="24"/>
        <v>5</v>
      </c>
      <c r="AC8" s="5">
        <f>28*5</f>
        <v>140</v>
      </c>
      <c r="AD8" s="11"/>
      <c r="AE8" s="11"/>
      <c r="AF8" s="11"/>
      <c r="AG8" s="11"/>
      <c r="AH8" s="11"/>
      <c r="AI8" s="11"/>
      <c r="AJ8" s="11">
        <f t="shared" si="7"/>
        <v>140</v>
      </c>
      <c r="AK8" s="12">
        <f>AJ8/28</f>
        <v>5</v>
      </c>
      <c r="AL8" s="5">
        <f t="shared" ref="AL8" si="29">27*5</f>
        <v>135</v>
      </c>
      <c r="AM8" s="11"/>
      <c r="AN8" s="11"/>
      <c r="AO8" s="11"/>
      <c r="AP8" s="11"/>
      <c r="AQ8" s="11"/>
      <c r="AR8" s="11"/>
      <c r="AS8" s="11">
        <f t="shared" si="9"/>
        <v>135</v>
      </c>
      <c r="AT8" s="12">
        <f t="shared" si="27"/>
        <v>5</v>
      </c>
      <c r="AU8" s="5">
        <v>0</v>
      </c>
      <c r="AV8" s="11"/>
      <c r="AW8" s="11"/>
      <c r="AX8" s="11"/>
      <c r="AY8" s="11"/>
      <c r="AZ8" s="11"/>
      <c r="BA8" s="11"/>
      <c r="BB8" s="11">
        <f t="shared" si="11"/>
        <v>0</v>
      </c>
      <c r="BD8" s="5">
        <f>24*2</f>
        <v>48</v>
      </c>
      <c r="BE8" s="11"/>
      <c r="BF8" s="11"/>
      <c r="BG8" s="11"/>
      <c r="BH8" s="11"/>
      <c r="BI8" s="11"/>
      <c r="BJ8" s="11"/>
      <c r="BK8" s="11">
        <f t="shared" si="13"/>
        <v>48</v>
      </c>
      <c r="BL8" s="12">
        <f t="shared" ref="BL8" si="30">BK8/24</f>
        <v>2</v>
      </c>
      <c r="BM8" s="5">
        <v>0</v>
      </c>
      <c r="BN8" s="11"/>
      <c r="BO8" s="11"/>
      <c r="BP8" s="11"/>
      <c r="BQ8" s="11"/>
      <c r="BR8" s="11"/>
      <c r="BS8" s="11"/>
      <c r="BT8" s="11">
        <f t="shared" si="15"/>
        <v>0</v>
      </c>
      <c r="BV8" s="5">
        <f t="shared" si="21"/>
        <v>721</v>
      </c>
      <c r="BW8" s="5">
        <f t="shared" si="18"/>
        <v>0</v>
      </c>
      <c r="BX8" s="5">
        <f t="shared" si="18"/>
        <v>0</v>
      </c>
      <c r="BY8" s="5">
        <f t="shared" si="18"/>
        <v>0</v>
      </c>
      <c r="BZ8" s="5">
        <f t="shared" si="18"/>
        <v>0</v>
      </c>
      <c r="CA8" s="5">
        <f t="shared" si="18"/>
        <v>0</v>
      </c>
      <c r="CB8" s="11"/>
      <c r="CC8" s="11">
        <f t="shared" si="17"/>
        <v>721</v>
      </c>
      <c r="CD8" s="12">
        <f t="shared" si="22"/>
        <v>27</v>
      </c>
    </row>
    <row r="9" spans="1:82">
      <c r="A9" s="13" t="s">
        <v>14</v>
      </c>
      <c r="B9" s="5">
        <f>27*5</f>
        <v>135</v>
      </c>
      <c r="C9" s="11"/>
      <c r="D9" s="11"/>
      <c r="E9" s="11"/>
      <c r="F9" s="11"/>
      <c r="G9" s="11"/>
      <c r="H9" s="11"/>
      <c r="I9" s="11">
        <f t="shared" si="1"/>
        <v>135</v>
      </c>
      <c r="J9" s="12">
        <f>I9/27</f>
        <v>5</v>
      </c>
      <c r="K9" s="5">
        <f>25*5-1</f>
        <v>124</v>
      </c>
      <c r="L9" s="11"/>
      <c r="M9" s="11"/>
      <c r="N9" s="11"/>
      <c r="O9" s="11"/>
      <c r="P9" s="11"/>
      <c r="Q9" s="11"/>
      <c r="R9" s="11">
        <f t="shared" si="3"/>
        <v>124</v>
      </c>
      <c r="S9" s="12">
        <f>R9/31</f>
        <v>4</v>
      </c>
      <c r="T9" s="5">
        <f>25*6</f>
        <v>150</v>
      </c>
      <c r="U9" s="11"/>
      <c r="V9" s="11"/>
      <c r="W9" s="11"/>
      <c r="X9" s="11"/>
      <c r="Y9" s="11"/>
      <c r="Z9" s="11"/>
      <c r="AA9" s="11">
        <f t="shared" si="5"/>
        <v>150</v>
      </c>
      <c r="AB9" s="12">
        <f>AA9/25</f>
        <v>6</v>
      </c>
      <c r="AC9" s="5">
        <f>29*5</f>
        <v>145</v>
      </c>
      <c r="AD9" s="11"/>
      <c r="AE9" s="11"/>
      <c r="AF9" s="11"/>
      <c r="AG9" s="11"/>
      <c r="AH9" s="11"/>
      <c r="AI9" s="11"/>
      <c r="AJ9" s="11">
        <f t="shared" si="7"/>
        <v>145</v>
      </c>
      <c r="AK9" s="12">
        <f>AJ9/29</f>
        <v>5</v>
      </c>
      <c r="AL9" s="5">
        <f>28*5</f>
        <v>140</v>
      </c>
      <c r="AM9" s="11"/>
      <c r="AN9" s="11"/>
      <c r="AO9" s="11"/>
      <c r="AP9" s="11"/>
      <c r="AQ9" s="11"/>
      <c r="AR9" s="11"/>
      <c r="AS9" s="11">
        <f t="shared" si="9"/>
        <v>140</v>
      </c>
      <c r="AT9" s="12">
        <f>AS9/28</f>
        <v>5</v>
      </c>
      <c r="AU9" s="5">
        <v>0</v>
      </c>
      <c r="AV9" s="11"/>
      <c r="AW9" s="11"/>
      <c r="AX9" s="11"/>
      <c r="AY9" s="11"/>
      <c r="AZ9" s="11"/>
      <c r="BA9" s="11"/>
      <c r="BB9" s="11">
        <f t="shared" si="11"/>
        <v>0</v>
      </c>
      <c r="BD9" s="5">
        <f>25*1</f>
        <v>25</v>
      </c>
      <c r="BE9" s="11"/>
      <c r="BF9" s="11"/>
      <c r="BG9" s="11"/>
      <c r="BH9" s="11"/>
      <c r="BI9" s="11"/>
      <c r="BJ9" s="11"/>
      <c r="BK9" s="11">
        <f t="shared" si="13"/>
        <v>25</v>
      </c>
      <c r="BL9" s="12">
        <f>BK9/25</f>
        <v>1</v>
      </c>
      <c r="BM9" s="5">
        <v>0</v>
      </c>
      <c r="BN9" s="11"/>
      <c r="BO9" s="11"/>
      <c r="BP9" s="11"/>
      <c r="BQ9" s="11"/>
      <c r="BR9" s="11"/>
      <c r="BS9" s="11"/>
      <c r="BT9" s="11">
        <f t="shared" si="15"/>
        <v>0</v>
      </c>
      <c r="BV9" s="5">
        <f t="shared" si="21"/>
        <v>719</v>
      </c>
      <c r="BW9" s="5">
        <f t="shared" si="18"/>
        <v>0</v>
      </c>
      <c r="BX9" s="5">
        <f t="shared" si="18"/>
        <v>0</v>
      </c>
      <c r="BY9" s="5">
        <f t="shared" si="18"/>
        <v>0</v>
      </c>
      <c r="BZ9" s="5">
        <f t="shared" si="18"/>
        <v>0</v>
      </c>
      <c r="CA9" s="5">
        <f t="shared" si="18"/>
        <v>0</v>
      </c>
      <c r="CB9" s="11"/>
      <c r="CC9" s="11">
        <f t="shared" si="17"/>
        <v>719</v>
      </c>
      <c r="CD9" s="12">
        <f t="shared" si="22"/>
        <v>26</v>
      </c>
    </row>
    <row r="10" spans="1:82">
      <c r="A10" s="13" t="s">
        <v>15</v>
      </c>
      <c r="B10" s="5">
        <v>0</v>
      </c>
      <c r="C10" s="5"/>
      <c r="D10" s="5"/>
      <c r="E10" s="5"/>
      <c r="F10" s="5"/>
      <c r="G10" s="5"/>
      <c r="H10" s="5"/>
      <c r="I10" s="11">
        <f t="shared" si="1"/>
        <v>0</v>
      </c>
      <c r="J10" s="12"/>
      <c r="K10" s="5">
        <f>31*4</f>
        <v>124</v>
      </c>
      <c r="L10" s="5"/>
      <c r="M10" s="5"/>
      <c r="N10" s="5"/>
      <c r="O10" s="5"/>
      <c r="P10" s="5"/>
      <c r="Q10" s="5"/>
      <c r="R10" s="11">
        <f t="shared" si="3"/>
        <v>124</v>
      </c>
      <c r="S10" s="12">
        <f>R10/31</f>
        <v>4</v>
      </c>
      <c r="T10" s="5">
        <f>30*5</f>
        <v>150</v>
      </c>
      <c r="U10" s="5"/>
      <c r="V10" s="5"/>
      <c r="W10" s="5"/>
      <c r="X10" s="5"/>
      <c r="Y10" s="5"/>
      <c r="Z10" s="5"/>
      <c r="AA10" s="11">
        <f t="shared" si="5"/>
        <v>150</v>
      </c>
      <c r="AB10" s="12">
        <f>AA10/30</f>
        <v>5</v>
      </c>
      <c r="AC10" s="5">
        <f>31*8</f>
        <v>248</v>
      </c>
      <c r="AD10" s="5"/>
      <c r="AE10" s="5"/>
      <c r="AF10" s="5"/>
      <c r="AG10" s="5"/>
      <c r="AH10" s="5"/>
      <c r="AI10" s="5"/>
      <c r="AJ10" s="11">
        <f t="shared" si="7"/>
        <v>248</v>
      </c>
      <c r="AK10" s="12">
        <f>AJ10/31</f>
        <v>8</v>
      </c>
      <c r="AL10" s="5">
        <f>31*5</f>
        <v>155</v>
      </c>
      <c r="AM10" s="5"/>
      <c r="AN10" s="5"/>
      <c r="AO10" s="5"/>
      <c r="AP10" s="5"/>
      <c r="AQ10" s="5"/>
      <c r="AR10" s="5"/>
      <c r="AS10" s="11">
        <f t="shared" si="9"/>
        <v>155</v>
      </c>
      <c r="AT10" s="12">
        <f>AS10/31</f>
        <v>5</v>
      </c>
      <c r="AU10" s="5">
        <f>20</f>
        <v>20</v>
      </c>
      <c r="AV10" s="5"/>
      <c r="AW10" s="5"/>
      <c r="AX10" s="5"/>
      <c r="AY10" s="5"/>
      <c r="AZ10" s="5"/>
      <c r="BA10" s="5"/>
      <c r="BB10" s="11">
        <f t="shared" si="11"/>
        <v>20</v>
      </c>
      <c r="BD10" s="5">
        <v>0</v>
      </c>
      <c r="BE10" s="5"/>
      <c r="BF10" s="5"/>
      <c r="BG10" s="5"/>
      <c r="BH10" s="5"/>
      <c r="BI10" s="5"/>
      <c r="BJ10" s="5"/>
      <c r="BK10" s="11">
        <f t="shared" si="13"/>
        <v>0</v>
      </c>
      <c r="BM10" s="5">
        <v>0</v>
      </c>
      <c r="BN10" s="5"/>
      <c r="BO10" s="5"/>
      <c r="BP10" s="5"/>
      <c r="BQ10" s="5"/>
      <c r="BR10" s="5"/>
      <c r="BS10" s="5"/>
      <c r="BT10" s="11">
        <f t="shared" si="15"/>
        <v>0</v>
      </c>
      <c r="BV10" s="5">
        <f t="shared" si="21"/>
        <v>697</v>
      </c>
      <c r="BW10" s="5">
        <f t="shared" si="18"/>
        <v>0</v>
      </c>
      <c r="BX10" s="5">
        <f t="shared" si="18"/>
        <v>0</v>
      </c>
      <c r="BY10" s="5">
        <f t="shared" si="18"/>
        <v>0</v>
      </c>
      <c r="BZ10" s="5">
        <f t="shared" si="18"/>
        <v>0</v>
      </c>
      <c r="CA10" s="5">
        <f t="shared" si="18"/>
        <v>0</v>
      </c>
      <c r="CB10" s="5"/>
      <c r="CC10" s="11">
        <f t="shared" si="17"/>
        <v>697</v>
      </c>
      <c r="CD10" s="12">
        <f t="shared" si="22"/>
        <v>22</v>
      </c>
    </row>
    <row r="11" spans="1:82">
      <c r="A11" s="13" t="s">
        <v>16</v>
      </c>
      <c r="B11" s="5">
        <v>0</v>
      </c>
      <c r="C11" s="5"/>
      <c r="D11" s="5"/>
      <c r="E11" s="5"/>
      <c r="F11" s="5"/>
      <c r="G11" s="5"/>
      <c r="H11" s="5"/>
      <c r="I11" s="11">
        <f t="shared" si="1"/>
        <v>0</v>
      </c>
      <c r="J11" s="12"/>
      <c r="K11" s="5">
        <f t="shared" ref="K11:K12" si="31">31*4</f>
        <v>124</v>
      </c>
      <c r="L11" s="5"/>
      <c r="M11" s="5"/>
      <c r="N11" s="5"/>
      <c r="O11" s="5"/>
      <c r="P11" s="5"/>
      <c r="Q11" s="5"/>
      <c r="R11" s="11">
        <f t="shared" si="3"/>
        <v>124</v>
      </c>
      <c r="S11" s="12">
        <f t="shared" ref="S11:S12" si="32">R11/31</f>
        <v>4</v>
      </c>
      <c r="T11" s="5">
        <f t="shared" ref="T11:T12" si="33">30*5</f>
        <v>150</v>
      </c>
      <c r="U11" s="5"/>
      <c r="V11" s="5"/>
      <c r="W11" s="5"/>
      <c r="X11" s="5"/>
      <c r="Y11" s="5"/>
      <c r="Z11" s="5"/>
      <c r="AA11" s="11">
        <f t="shared" si="5"/>
        <v>150</v>
      </c>
      <c r="AB11" s="12">
        <f t="shared" ref="AB11:AB12" si="34">AA11/30</f>
        <v>5</v>
      </c>
      <c r="AC11" s="5">
        <f t="shared" ref="AC11:AC14" si="35">31*8</f>
        <v>248</v>
      </c>
      <c r="AD11" s="5"/>
      <c r="AE11" s="5"/>
      <c r="AF11" s="5"/>
      <c r="AG11" s="5"/>
      <c r="AH11" s="5"/>
      <c r="AI11" s="5"/>
      <c r="AJ11" s="11">
        <f t="shared" si="7"/>
        <v>248</v>
      </c>
      <c r="AK11" s="12">
        <f t="shared" ref="AK11:AK15" si="36">AJ11/31</f>
        <v>8</v>
      </c>
      <c r="AL11" s="5">
        <f>31*5</f>
        <v>155</v>
      </c>
      <c r="AM11" s="5"/>
      <c r="AN11" s="5"/>
      <c r="AO11" s="5"/>
      <c r="AP11" s="5"/>
      <c r="AQ11" s="5"/>
      <c r="AR11" s="5"/>
      <c r="AS11" s="11">
        <f t="shared" si="9"/>
        <v>155</v>
      </c>
      <c r="AT11" s="12">
        <f t="shared" ref="AT11:AT15" si="37">AS11/31</f>
        <v>5</v>
      </c>
      <c r="AU11" s="5">
        <f>20</f>
        <v>20</v>
      </c>
      <c r="AV11" s="5"/>
      <c r="AW11" s="5"/>
      <c r="AX11" s="5"/>
      <c r="AY11" s="5"/>
      <c r="AZ11" s="5"/>
      <c r="BA11" s="5"/>
      <c r="BB11" s="11">
        <f t="shared" si="11"/>
        <v>20</v>
      </c>
      <c r="BD11" s="5">
        <v>0</v>
      </c>
      <c r="BE11" s="5"/>
      <c r="BF11" s="5"/>
      <c r="BG11" s="5"/>
      <c r="BH11" s="5"/>
      <c r="BI11" s="5"/>
      <c r="BJ11" s="5"/>
      <c r="BK11" s="11">
        <f t="shared" si="13"/>
        <v>0</v>
      </c>
      <c r="BM11" s="5">
        <v>0</v>
      </c>
      <c r="BN11" s="5"/>
      <c r="BO11" s="5"/>
      <c r="BP11" s="5"/>
      <c r="BQ11" s="5"/>
      <c r="BR11" s="5"/>
      <c r="BS11" s="5"/>
      <c r="BT11" s="11">
        <f t="shared" si="15"/>
        <v>0</v>
      </c>
      <c r="BV11" s="5">
        <f t="shared" si="21"/>
        <v>697</v>
      </c>
      <c r="BW11" s="5">
        <f t="shared" si="18"/>
        <v>0</v>
      </c>
      <c r="BX11" s="5">
        <f t="shared" si="18"/>
        <v>0</v>
      </c>
      <c r="BY11" s="5">
        <f t="shared" si="18"/>
        <v>0</v>
      </c>
      <c r="BZ11" s="5">
        <f t="shared" si="18"/>
        <v>0</v>
      </c>
      <c r="CA11" s="5">
        <f t="shared" si="18"/>
        <v>0</v>
      </c>
      <c r="CB11" s="5"/>
      <c r="CC11" s="11">
        <f t="shared" si="17"/>
        <v>697</v>
      </c>
      <c r="CD11" s="12">
        <f t="shared" si="22"/>
        <v>22</v>
      </c>
    </row>
    <row r="12" spans="1:82">
      <c r="A12" s="13" t="s">
        <v>17</v>
      </c>
      <c r="B12" s="5">
        <v>0</v>
      </c>
      <c r="C12" s="5"/>
      <c r="D12" s="5"/>
      <c r="E12" s="5"/>
      <c r="F12" s="5"/>
      <c r="G12" s="5"/>
      <c r="H12" s="5"/>
      <c r="I12" s="11">
        <f t="shared" si="1"/>
        <v>0</v>
      </c>
      <c r="J12" s="12"/>
      <c r="K12" s="5">
        <f t="shared" si="31"/>
        <v>124</v>
      </c>
      <c r="L12" s="5"/>
      <c r="M12" s="5"/>
      <c r="N12" s="5"/>
      <c r="O12" s="5"/>
      <c r="P12" s="5"/>
      <c r="Q12" s="5"/>
      <c r="R12" s="11">
        <f t="shared" si="3"/>
        <v>124</v>
      </c>
      <c r="S12" s="12">
        <f t="shared" si="32"/>
        <v>4</v>
      </c>
      <c r="T12" s="5">
        <f t="shared" si="33"/>
        <v>150</v>
      </c>
      <c r="U12" s="5"/>
      <c r="V12" s="5"/>
      <c r="W12" s="5"/>
      <c r="X12" s="5"/>
      <c r="Y12" s="5"/>
      <c r="Z12" s="5"/>
      <c r="AA12" s="11">
        <f t="shared" si="5"/>
        <v>150</v>
      </c>
      <c r="AB12" s="12">
        <f t="shared" si="34"/>
        <v>5</v>
      </c>
      <c r="AC12" s="5">
        <f t="shared" si="35"/>
        <v>248</v>
      </c>
      <c r="AD12" s="5"/>
      <c r="AE12" s="5"/>
      <c r="AF12" s="5"/>
      <c r="AG12" s="5"/>
      <c r="AH12" s="5"/>
      <c r="AI12" s="5"/>
      <c r="AJ12" s="11">
        <f t="shared" si="7"/>
        <v>248</v>
      </c>
      <c r="AK12" s="12">
        <f t="shared" si="36"/>
        <v>8</v>
      </c>
      <c r="AL12" s="5">
        <f>31*6</f>
        <v>186</v>
      </c>
      <c r="AM12" s="5"/>
      <c r="AN12" s="5"/>
      <c r="AO12" s="5"/>
      <c r="AP12" s="5"/>
      <c r="AQ12" s="5"/>
      <c r="AR12" s="5"/>
      <c r="AS12" s="11">
        <f t="shared" si="9"/>
        <v>186</v>
      </c>
      <c r="AT12" s="12">
        <f t="shared" si="37"/>
        <v>6</v>
      </c>
      <c r="AU12" s="5">
        <f>20</f>
        <v>20</v>
      </c>
      <c r="AV12" s="5"/>
      <c r="AW12" s="5"/>
      <c r="AX12" s="5"/>
      <c r="AY12" s="5"/>
      <c r="AZ12" s="5"/>
      <c r="BA12" s="5"/>
      <c r="BB12" s="11">
        <f t="shared" si="11"/>
        <v>20</v>
      </c>
      <c r="BD12" s="5">
        <v>0</v>
      </c>
      <c r="BE12" s="5"/>
      <c r="BF12" s="5"/>
      <c r="BG12" s="5"/>
      <c r="BH12" s="5"/>
      <c r="BI12" s="5"/>
      <c r="BJ12" s="5"/>
      <c r="BK12" s="11">
        <f t="shared" si="13"/>
        <v>0</v>
      </c>
      <c r="BM12" s="5">
        <v>0</v>
      </c>
      <c r="BN12" s="5"/>
      <c r="BO12" s="5"/>
      <c r="BP12" s="5"/>
      <c r="BQ12" s="5"/>
      <c r="BR12" s="5"/>
      <c r="BS12" s="5"/>
      <c r="BT12" s="11">
        <f t="shared" si="15"/>
        <v>0</v>
      </c>
      <c r="BV12" s="5">
        <f t="shared" si="21"/>
        <v>728</v>
      </c>
      <c r="BW12" s="5">
        <f t="shared" si="18"/>
        <v>0</v>
      </c>
      <c r="BX12" s="5">
        <f t="shared" si="18"/>
        <v>0</v>
      </c>
      <c r="BY12" s="5">
        <f t="shared" si="18"/>
        <v>0</v>
      </c>
      <c r="BZ12" s="5">
        <f t="shared" si="18"/>
        <v>0</v>
      </c>
      <c r="CA12" s="5">
        <f t="shared" si="18"/>
        <v>0</v>
      </c>
      <c r="CB12" s="5"/>
      <c r="CC12" s="11">
        <f t="shared" si="17"/>
        <v>728</v>
      </c>
      <c r="CD12" s="12">
        <f t="shared" si="22"/>
        <v>23</v>
      </c>
    </row>
    <row r="13" spans="1:82">
      <c r="A13" s="13" t="s">
        <v>18</v>
      </c>
      <c r="B13" s="5">
        <v>0</v>
      </c>
      <c r="C13" s="5"/>
      <c r="D13" s="5"/>
      <c r="E13" s="5"/>
      <c r="F13" s="5"/>
      <c r="G13" s="5"/>
      <c r="H13" s="5"/>
      <c r="I13" s="11">
        <f t="shared" si="1"/>
        <v>0</v>
      </c>
      <c r="K13" s="5">
        <v>0</v>
      </c>
      <c r="L13" s="5"/>
      <c r="M13" s="5"/>
      <c r="N13" s="5"/>
      <c r="O13" s="5"/>
      <c r="P13" s="5"/>
      <c r="Q13" s="5"/>
      <c r="R13" s="11">
        <f t="shared" si="3"/>
        <v>0</v>
      </c>
      <c r="T13" s="5">
        <v>0</v>
      </c>
      <c r="U13" s="5"/>
      <c r="V13" s="5"/>
      <c r="W13" s="5"/>
      <c r="X13" s="5"/>
      <c r="Y13" s="5"/>
      <c r="Z13" s="5"/>
      <c r="AA13" s="11">
        <f t="shared" si="5"/>
        <v>0</v>
      </c>
      <c r="AC13" s="5">
        <f t="shared" si="35"/>
        <v>248</v>
      </c>
      <c r="AD13" s="5"/>
      <c r="AE13" s="5"/>
      <c r="AF13" s="5"/>
      <c r="AG13" s="5"/>
      <c r="AH13" s="5"/>
      <c r="AI13" s="5"/>
      <c r="AJ13" s="11">
        <f t="shared" si="7"/>
        <v>248</v>
      </c>
      <c r="AK13" s="12">
        <f t="shared" si="36"/>
        <v>8</v>
      </c>
      <c r="AL13" s="5">
        <f>31*9</f>
        <v>279</v>
      </c>
      <c r="AM13" s="5"/>
      <c r="AN13" s="5"/>
      <c r="AO13" s="5"/>
      <c r="AP13" s="5"/>
      <c r="AQ13" s="5"/>
      <c r="AR13" s="5"/>
      <c r="AS13" s="11">
        <f t="shared" si="9"/>
        <v>279</v>
      </c>
      <c r="AT13" s="12">
        <f t="shared" si="37"/>
        <v>9</v>
      </c>
      <c r="AU13" s="5">
        <f>20</f>
        <v>20</v>
      </c>
      <c r="AV13" s="5"/>
      <c r="AW13" s="5"/>
      <c r="AX13" s="5"/>
      <c r="AY13" s="5"/>
      <c r="AZ13" s="5"/>
      <c r="BA13" s="5"/>
      <c r="BB13" s="11">
        <f t="shared" si="11"/>
        <v>20</v>
      </c>
      <c r="BD13" s="5">
        <v>0</v>
      </c>
      <c r="BE13" s="5"/>
      <c r="BF13" s="5"/>
      <c r="BG13" s="5"/>
      <c r="BH13" s="5"/>
      <c r="BI13" s="5"/>
      <c r="BJ13" s="5"/>
      <c r="BK13" s="11">
        <f t="shared" si="13"/>
        <v>0</v>
      </c>
      <c r="BM13" s="5">
        <v>0</v>
      </c>
      <c r="BN13" s="5"/>
      <c r="BO13" s="5"/>
      <c r="BP13" s="5"/>
      <c r="BQ13" s="5"/>
      <c r="BR13" s="5"/>
      <c r="BS13" s="5"/>
      <c r="BT13" s="11">
        <f t="shared" si="15"/>
        <v>0</v>
      </c>
      <c r="BV13" s="5">
        <f t="shared" si="21"/>
        <v>547</v>
      </c>
      <c r="BW13" s="5">
        <f t="shared" si="18"/>
        <v>0</v>
      </c>
      <c r="BX13" s="5">
        <f t="shared" si="18"/>
        <v>0</v>
      </c>
      <c r="BY13" s="5">
        <f t="shared" si="18"/>
        <v>0</v>
      </c>
      <c r="BZ13" s="5">
        <f t="shared" si="18"/>
        <v>0</v>
      </c>
      <c r="CA13" s="5">
        <f t="shared" si="18"/>
        <v>0</v>
      </c>
      <c r="CB13" s="5"/>
      <c r="CC13" s="11">
        <f t="shared" si="17"/>
        <v>547</v>
      </c>
      <c r="CD13" s="12">
        <f t="shared" si="22"/>
        <v>17</v>
      </c>
    </row>
    <row r="14" spans="1:82">
      <c r="A14" s="13" t="s">
        <v>19</v>
      </c>
      <c r="B14" s="5">
        <v>0</v>
      </c>
      <c r="C14" s="5"/>
      <c r="D14" s="5"/>
      <c r="E14" s="5"/>
      <c r="F14" s="5"/>
      <c r="G14" s="5"/>
      <c r="H14" s="5"/>
      <c r="I14" s="11">
        <f t="shared" si="1"/>
        <v>0</v>
      </c>
      <c r="K14" s="5">
        <v>0</v>
      </c>
      <c r="L14" s="5"/>
      <c r="M14" s="5"/>
      <c r="N14" s="5"/>
      <c r="O14" s="5"/>
      <c r="P14" s="5"/>
      <c r="Q14" s="5"/>
      <c r="R14" s="11">
        <f t="shared" si="3"/>
        <v>0</v>
      </c>
      <c r="T14" s="5">
        <v>0</v>
      </c>
      <c r="U14" s="5"/>
      <c r="V14" s="5"/>
      <c r="W14" s="5"/>
      <c r="X14" s="5"/>
      <c r="Y14" s="5"/>
      <c r="Z14" s="5"/>
      <c r="AA14" s="11">
        <f t="shared" si="5"/>
        <v>0</v>
      </c>
      <c r="AC14" s="5">
        <f t="shared" si="35"/>
        <v>248</v>
      </c>
      <c r="AD14" s="5"/>
      <c r="AE14" s="5"/>
      <c r="AF14" s="5"/>
      <c r="AG14" s="5"/>
      <c r="AH14" s="5"/>
      <c r="AI14" s="5"/>
      <c r="AJ14" s="11">
        <f t="shared" si="7"/>
        <v>248</v>
      </c>
      <c r="AK14" s="12">
        <f t="shared" si="36"/>
        <v>8</v>
      </c>
      <c r="AL14" s="5">
        <f>31*9</f>
        <v>279</v>
      </c>
      <c r="AM14" s="5"/>
      <c r="AN14" s="5"/>
      <c r="AO14" s="5"/>
      <c r="AP14" s="5"/>
      <c r="AQ14" s="5"/>
      <c r="AR14" s="5"/>
      <c r="AS14" s="11">
        <f t="shared" si="9"/>
        <v>279</v>
      </c>
      <c r="AT14" s="12">
        <f t="shared" si="37"/>
        <v>9</v>
      </c>
      <c r="AU14" s="5">
        <f>20</f>
        <v>20</v>
      </c>
      <c r="AV14" s="5"/>
      <c r="AW14" s="5"/>
      <c r="AX14" s="5"/>
      <c r="AY14" s="5"/>
      <c r="AZ14" s="5"/>
      <c r="BA14" s="5"/>
      <c r="BB14" s="11">
        <f t="shared" si="11"/>
        <v>20</v>
      </c>
      <c r="BD14" s="5">
        <v>0</v>
      </c>
      <c r="BE14" s="5"/>
      <c r="BF14" s="5"/>
      <c r="BG14" s="5"/>
      <c r="BH14" s="5"/>
      <c r="BI14" s="5"/>
      <c r="BJ14" s="5"/>
      <c r="BK14" s="11">
        <f t="shared" si="13"/>
        <v>0</v>
      </c>
      <c r="BM14" s="5">
        <v>0</v>
      </c>
      <c r="BN14" s="5"/>
      <c r="BO14" s="5"/>
      <c r="BP14" s="5"/>
      <c r="BQ14" s="5"/>
      <c r="BR14" s="5"/>
      <c r="BS14" s="5"/>
      <c r="BT14" s="11">
        <f t="shared" si="15"/>
        <v>0</v>
      </c>
      <c r="BV14" s="5">
        <f t="shared" si="21"/>
        <v>547</v>
      </c>
      <c r="BW14" s="5">
        <f t="shared" si="18"/>
        <v>0</v>
      </c>
      <c r="BX14" s="5">
        <f t="shared" si="18"/>
        <v>0</v>
      </c>
      <c r="BY14" s="5">
        <f t="shared" si="18"/>
        <v>0</v>
      </c>
      <c r="BZ14" s="5">
        <f t="shared" si="18"/>
        <v>0</v>
      </c>
      <c r="CA14" s="5">
        <f t="shared" si="18"/>
        <v>0</v>
      </c>
      <c r="CB14" s="5"/>
      <c r="CC14" s="11">
        <f t="shared" si="17"/>
        <v>547</v>
      </c>
      <c r="CD14" s="12">
        <f t="shared" si="22"/>
        <v>17</v>
      </c>
    </row>
    <row r="15" spans="1:82">
      <c r="A15" s="13" t="s">
        <v>20</v>
      </c>
      <c r="B15" s="5">
        <v>0</v>
      </c>
      <c r="C15" s="5"/>
      <c r="D15" s="5"/>
      <c r="E15" s="5"/>
      <c r="F15" s="5"/>
      <c r="G15" s="5"/>
      <c r="H15" s="5"/>
      <c r="I15" s="11">
        <f t="shared" si="1"/>
        <v>0</v>
      </c>
      <c r="K15" s="5">
        <v>0</v>
      </c>
      <c r="L15" s="5"/>
      <c r="M15" s="5"/>
      <c r="N15" s="5"/>
      <c r="O15" s="5"/>
      <c r="P15" s="5"/>
      <c r="Q15" s="5"/>
      <c r="R15" s="11">
        <f t="shared" si="3"/>
        <v>0</v>
      </c>
      <c r="T15" s="5">
        <v>0</v>
      </c>
      <c r="U15" s="5"/>
      <c r="V15" s="5"/>
      <c r="W15" s="5"/>
      <c r="X15" s="5"/>
      <c r="Y15" s="5"/>
      <c r="Z15" s="5"/>
      <c r="AA15" s="11">
        <f t="shared" si="5"/>
        <v>0</v>
      </c>
      <c r="AC15" s="5">
        <f>31*7</f>
        <v>217</v>
      </c>
      <c r="AD15" s="5"/>
      <c r="AE15" s="5"/>
      <c r="AF15" s="5"/>
      <c r="AG15" s="5"/>
      <c r="AH15" s="5"/>
      <c r="AI15" s="5"/>
      <c r="AJ15" s="11">
        <f t="shared" si="7"/>
        <v>217</v>
      </c>
      <c r="AK15" s="12">
        <f t="shared" si="36"/>
        <v>7</v>
      </c>
      <c r="AL15" s="5">
        <f>31*8</f>
        <v>248</v>
      </c>
      <c r="AM15" s="5"/>
      <c r="AN15" s="5"/>
      <c r="AO15" s="5"/>
      <c r="AP15" s="5"/>
      <c r="AQ15" s="5"/>
      <c r="AR15" s="5"/>
      <c r="AS15" s="11">
        <f t="shared" si="9"/>
        <v>248</v>
      </c>
      <c r="AT15" s="12">
        <f t="shared" si="37"/>
        <v>8</v>
      </c>
      <c r="AU15" s="5">
        <f>20</f>
        <v>20</v>
      </c>
      <c r="AV15" s="5"/>
      <c r="AW15" s="5"/>
      <c r="AX15" s="5"/>
      <c r="AY15" s="5"/>
      <c r="AZ15" s="5"/>
      <c r="BA15" s="5"/>
      <c r="BB15" s="11">
        <f t="shared" si="11"/>
        <v>20</v>
      </c>
      <c r="BD15" s="5">
        <v>0</v>
      </c>
      <c r="BE15" s="5"/>
      <c r="BF15" s="5"/>
      <c r="BG15" s="5"/>
      <c r="BH15" s="5"/>
      <c r="BI15" s="5"/>
      <c r="BJ15" s="5"/>
      <c r="BK15" s="11">
        <f t="shared" si="13"/>
        <v>0</v>
      </c>
      <c r="BM15" s="5">
        <v>0</v>
      </c>
      <c r="BN15" s="5"/>
      <c r="BO15" s="5"/>
      <c r="BP15" s="5"/>
      <c r="BQ15" s="5"/>
      <c r="BR15" s="5"/>
      <c r="BS15" s="5"/>
      <c r="BT15" s="11">
        <f t="shared" si="15"/>
        <v>0</v>
      </c>
      <c r="BV15" s="5">
        <f t="shared" si="21"/>
        <v>485</v>
      </c>
      <c r="BW15" s="5">
        <f t="shared" si="18"/>
        <v>0</v>
      </c>
      <c r="BX15" s="5">
        <f t="shared" si="18"/>
        <v>0</v>
      </c>
      <c r="BY15" s="5">
        <f t="shared" si="18"/>
        <v>0</v>
      </c>
      <c r="BZ15" s="5">
        <f t="shared" si="18"/>
        <v>0</v>
      </c>
      <c r="CA15" s="5">
        <f t="shared" si="18"/>
        <v>0</v>
      </c>
      <c r="CB15" s="5"/>
      <c r="CC15" s="11">
        <f t="shared" si="17"/>
        <v>485</v>
      </c>
      <c r="CD15" s="12">
        <f t="shared" si="22"/>
        <v>15</v>
      </c>
    </row>
    <row r="16" spans="1:82">
      <c r="A16" s="13" t="s">
        <v>21</v>
      </c>
      <c r="B16" s="5">
        <v>0</v>
      </c>
      <c r="C16" s="5"/>
      <c r="D16" s="5"/>
      <c r="E16" s="5"/>
      <c r="F16" s="5"/>
      <c r="G16" s="5"/>
      <c r="H16" s="5"/>
      <c r="I16" s="11">
        <f t="shared" si="1"/>
        <v>0</v>
      </c>
      <c r="K16" s="5">
        <v>0</v>
      </c>
      <c r="L16" s="5"/>
      <c r="M16" s="5"/>
      <c r="N16" s="5"/>
      <c r="O16" s="5"/>
      <c r="P16" s="5"/>
      <c r="Q16" s="5"/>
      <c r="R16" s="11">
        <f t="shared" si="3"/>
        <v>0</v>
      </c>
      <c r="T16" s="5">
        <v>0</v>
      </c>
      <c r="U16" s="5"/>
      <c r="V16" s="5"/>
      <c r="W16" s="5"/>
      <c r="X16" s="5"/>
      <c r="Y16" s="5"/>
      <c r="Z16" s="5"/>
      <c r="AA16" s="11">
        <f t="shared" si="5"/>
        <v>0</v>
      </c>
      <c r="AC16" s="5">
        <f>30*6-7</f>
        <v>173</v>
      </c>
      <c r="AD16" s="5"/>
      <c r="AE16" s="5"/>
      <c r="AF16" s="5"/>
      <c r="AG16" s="5"/>
      <c r="AH16" s="5"/>
      <c r="AI16" s="5"/>
      <c r="AJ16" s="11">
        <f t="shared" si="7"/>
        <v>173</v>
      </c>
      <c r="AK16" s="12">
        <v>5</v>
      </c>
      <c r="AL16" s="5">
        <f>31*7</f>
        <v>217</v>
      </c>
      <c r="AM16" s="5"/>
      <c r="AN16" s="5"/>
      <c r="AO16" s="5"/>
      <c r="AP16" s="5"/>
      <c r="AQ16" s="5"/>
      <c r="AR16" s="5"/>
      <c r="AS16" s="11">
        <f t="shared" si="9"/>
        <v>217</v>
      </c>
      <c r="AT16" s="12">
        <v>8</v>
      </c>
      <c r="AU16" s="5">
        <f>20</f>
        <v>20</v>
      </c>
      <c r="AV16" s="5"/>
      <c r="AW16" s="5"/>
      <c r="AX16" s="5"/>
      <c r="AY16" s="5"/>
      <c r="AZ16" s="5"/>
      <c r="BA16" s="5"/>
      <c r="BB16" s="11">
        <f t="shared" si="11"/>
        <v>20</v>
      </c>
      <c r="BD16" s="5">
        <v>0</v>
      </c>
      <c r="BE16" s="5"/>
      <c r="BF16" s="5"/>
      <c r="BG16" s="5"/>
      <c r="BH16" s="5"/>
      <c r="BI16" s="5"/>
      <c r="BJ16" s="5"/>
      <c r="BK16" s="11">
        <f t="shared" si="13"/>
        <v>0</v>
      </c>
      <c r="BM16" s="5">
        <v>0</v>
      </c>
      <c r="BN16" s="5"/>
      <c r="BO16" s="5"/>
      <c r="BP16" s="5"/>
      <c r="BQ16" s="5"/>
      <c r="BR16" s="5"/>
      <c r="BS16" s="5"/>
      <c r="BT16" s="11">
        <f t="shared" si="15"/>
        <v>0</v>
      </c>
      <c r="BV16" s="5">
        <f t="shared" si="21"/>
        <v>410</v>
      </c>
      <c r="BW16" s="5">
        <f t="shared" si="18"/>
        <v>0</v>
      </c>
      <c r="BX16" s="5">
        <f t="shared" si="18"/>
        <v>0</v>
      </c>
      <c r="BY16" s="5">
        <f t="shared" si="18"/>
        <v>0</v>
      </c>
      <c r="BZ16" s="5">
        <f t="shared" si="18"/>
        <v>0</v>
      </c>
      <c r="CA16" s="5">
        <f t="shared" si="18"/>
        <v>0</v>
      </c>
      <c r="CB16" s="5"/>
      <c r="CC16" s="11">
        <f t="shared" si="17"/>
        <v>410</v>
      </c>
      <c r="CD16" s="12">
        <f t="shared" si="22"/>
        <v>13</v>
      </c>
    </row>
    <row r="17" spans="1:82" ht="15">
      <c r="A17" s="15" t="s">
        <v>8</v>
      </c>
      <c r="B17" s="9">
        <f t="shared" ref="B17:H17" si="38">SUM(B4:B16)</f>
        <v>909</v>
      </c>
      <c r="C17" s="9">
        <f t="shared" si="38"/>
        <v>0</v>
      </c>
      <c r="D17" s="9">
        <f t="shared" si="38"/>
        <v>0</v>
      </c>
      <c r="E17" s="9"/>
      <c r="F17" s="9">
        <f t="shared" si="38"/>
        <v>0</v>
      </c>
      <c r="G17" s="9">
        <f t="shared" si="38"/>
        <v>0</v>
      </c>
      <c r="H17" s="9">
        <f t="shared" si="38"/>
        <v>0</v>
      </c>
      <c r="I17" s="9">
        <f>SUM(I4:I16)</f>
        <v>909</v>
      </c>
      <c r="J17" s="106" t="b">
        <f>SUM(J4:J12)=I27</f>
        <v>1</v>
      </c>
      <c r="K17" s="9">
        <f t="shared" ref="K17:Q17" si="39">SUM(K4:K16)</f>
        <v>1032</v>
      </c>
      <c r="L17" s="9">
        <f t="shared" si="39"/>
        <v>0</v>
      </c>
      <c r="M17" s="9">
        <f t="shared" si="39"/>
        <v>0</v>
      </c>
      <c r="N17" s="9"/>
      <c r="O17" s="9">
        <f t="shared" si="39"/>
        <v>0</v>
      </c>
      <c r="P17" s="9">
        <f t="shared" si="39"/>
        <v>0</v>
      </c>
      <c r="Q17" s="9">
        <f t="shared" si="39"/>
        <v>0</v>
      </c>
      <c r="R17" s="9">
        <f>SUM(R4:R16)</f>
        <v>1032</v>
      </c>
      <c r="S17" s="106" t="b">
        <f>SUM(S4:S12)=R27</f>
        <v>1</v>
      </c>
      <c r="T17" s="9">
        <f t="shared" ref="T17:Z17" si="40">SUM(T4:T16)</f>
        <v>1245</v>
      </c>
      <c r="U17" s="9">
        <f t="shared" si="40"/>
        <v>0</v>
      </c>
      <c r="V17" s="9">
        <f t="shared" si="40"/>
        <v>0</v>
      </c>
      <c r="W17" s="9"/>
      <c r="X17" s="9">
        <f t="shared" si="40"/>
        <v>0</v>
      </c>
      <c r="Y17" s="9">
        <f t="shared" si="40"/>
        <v>0</v>
      </c>
      <c r="Z17" s="9">
        <f t="shared" si="40"/>
        <v>0</v>
      </c>
      <c r="AA17" s="9">
        <f>SUM(AA4:AA16)</f>
        <v>1245</v>
      </c>
      <c r="AB17" s="106" t="b">
        <f>SUM(AB4:AB12)=AA27</f>
        <v>1</v>
      </c>
      <c r="AC17" s="9">
        <f t="shared" ref="AC17:AI17" si="41">SUM(AC4:AC16)</f>
        <v>2440</v>
      </c>
      <c r="AD17" s="9">
        <f t="shared" si="41"/>
        <v>0</v>
      </c>
      <c r="AE17" s="9">
        <f t="shared" si="41"/>
        <v>0</v>
      </c>
      <c r="AF17" s="9"/>
      <c r="AG17" s="9">
        <f t="shared" si="41"/>
        <v>0</v>
      </c>
      <c r="AH17" s="9">
        <f t="shared" si="41"/>
        <v>0</v>
      </c>
      <c r="AI17" s="9">
        <f t="shared" si="41"/>
        <v>0</v>
      </c>
      <c r="AJ17" s="9">
        <f>SUM(AJ4:AJ16)</f>
        <v>2440</v>
      </c>
      <c r="AK17" s="106" t="b">
        <f>SUM(AK4:AK16)=AJ27</f>
        <v>1</v>
      </c>
      <c r="AL17" s="9">
        <f t="shared" ref="AL17:AR17" si="42">SUM(AL4:AL16)</f>
        <v>2309</v>
      </c>
      <c r="AM17" s="9">
        <f t="shared" si="42"/>
        <v>0</v>
      </c>
      <c r="AN17" s="9">
        <f t="shared" si="42"/>
        <v>0</v>
      </c>
      <c r="AO17" s="9"/>
      <c r="AP17" s="9">
        <f t="shared" si="42"/>
        <v>0</v>
      </c>
      <c r="AQ17" s="9">
        <f t="shared" si="42"/>
        <v>0</v>
      </c>
      <c r="AR17" s="9">
        <f t="shared" si="42"/>
        <v>0</v>
      </c>
      <c r="AS17" s="9">
        <f>SUM(AS4:AS16)</f>
        <v>2309</v>
      </c>
      <c r="AT17" s="106" t="b">
        <f>SUM(AT4:AT16)=AS27</f>
        <v>1</v>
      </c>
      <c r="AU17" s="9">
        <f t="shared" ref="AU17:BA17" si="43">SUM(AU4:AU16)</f>
        <v>140</v>
      </c>
      <c r="AV17" s="9">
        <f t="shared" si="43"/>
        <v>0</v>
      </c>
      <c r="AW17" s="9">
        <f t="shared" si="43"/>
        <v>0</v>
      </c>
      <c r="AX17" s="9"/>
      <c r="AY17" s="9">
        <f t="shared" si="43"/>
        <v>0</v>
      </c>
      <c r="AZ17" s="9">
        <f t="shared" si="43"/>
        <v>0</v>
      </c>
      <c r="BA17" s="9">
        <f t="shared" si="43"/>
        <v>0</v>
      </c>
      <c r="BB17" s="9">
        <f>SUM(BB4:BB16)</f>
        <v>140</v>
      </c>
      <c r="BC17" s="106" t="b">
        <f>SUM(BC4:BC16)=BB27</f>
        <v>1</v>
      </c>
      <c r="BD17" s="9">
        <f t="shared" ref="BD17:BJ17" si="44">SUM(BD4:BD16)</f>
        <v>346</v>
      </c>
      <c r="BE17" s="9">
        <f t="shared" si="44"/>
        <v>0</v>
      </c>
      <c r="BF17" s="9">
        <f t="shared" si="44"/>
        <v>0</v>
      </c>
      <c r="BG17" s="9"/>
      <c r="BH17" s="9">
        <f t="shared" si="44"/>
        <v>0</v>
      </c>
      <c r="BI17" s="9">
        <f t="shared" si="44"/>
        <v>0</v>
      </c>
      <c r="BJ17" s="9">
        <f t="shared" si="44"/>
        <v>0</v>
      </c>
      <c r="BK17" s="9">
        <f>SUM(BK4:BK16)</f>
        <v>346</v>
      </c>
      <c r="BL17" s="106" t="b">
        <f>SUM(BL4:BL16)=BK27</f>
        <v>1</v>
      </c>
      <c r="BM17" s="9">
        <f t="shared" ref="BM17:BS17" si="45">SUM(BM4:BM16)</f>
        <v>0</v>
      </c>
      <c r="BN17" s="9">
        <f t="shared" si="45"/>
        <v>0</v>
      </c>
      <c r="BO17" s="9">
        <f t="shared" si="45"/>
        <v>0</v>
      </c>
      <c r="BP17" s="9"/>
      <c r="BQ17" s="9">
        <f t="shared" si="45"/>
        <v>0</v>
      </c>
      <c r="BR17" s="9">
        <f t="shared" si="45"/>
        <v>0</v>
      </c>
      <c r="BS17" s="9">
        <f t="shared" si="45"/>
        <v>0</v>
      </c>
      <c r="BT17" s="9">
        <f>SUM(BT4:BT16)</f>
        <v>0</v>
      </c>
      <c r="BV17" s="9">
        <f t="shared" ref="BV17:BX17" si="46">SUM(BV4:BV16)</f>
        <v>8421</v>
      </c>
      <c r="BW17" s="9">
        <f t="shared" si="46"/>
        <v>0</v>
      </c>
      <c r="BX17" s="9">
        <f t="shared" si="46"/>
        <v>0</v>
      </c>
      <c r="BY17" s="9"/>
      <c r="BZ17" s="9">
        <f t="shared" ref="BZ17:CB17" si="47">SUM(BZ4:BZ16)</f>
        <v>0</v>
      </c>
      <c r="CA17" s="9">
        <f t="shared" si="47"/>
        <v>0</v>
      </c>
      <c r="CB17" s="9">
        <f t="shared" si="47"/>
        <v>0</v>
      </c>
      <c r="CC17" s="9">
        <f>SUM(CC4:CC16)</f>
        <v>8421</v>
      </c>
      <c r="CD17" s="106" t="b">
        <f>SUM(CD4:CD16)=CC27</f>
        <v>1</v>
      </c>
    </row>
    <row r="18" spans="1:82">
      <c r="A18" s="13"/>
      <c r="B18" s="5"/>
      <c r="C18" s="16"/>
      <c r="D18" s="16"/>
      <c r="E18" s="16"/>
      <c r="F18" s="16"/>
      <c r="G18" s="16"/>
      <c r="H18" s="16"/>
      <c r="I18" s="16"/>
      <c r="J18" s="7"/>
      <c r="K18" s="5"/>
      <c r="L18" s="16"/>
      <c r="M18" s="16"/>
      <c r="N18" s="16"/>
      <c r="O18" s="16"/>
      <c r="P18" s="16"/>
      <c r="Q18" s="16"/>
      <c r="R18" s="16"/>
      <c r="T18" s="5"/>
      <c r="U18" s="16"/>
      <c r="V18" s="16"/>
      <c r="W18" s="16"/>
      <c r="X18" s="16"/>
      <c r="Y18" s="16"/>
      <c r="Z18" s="16"/>
      <c r="AA18" s="16"/>
      <c r="AC18" s="5"/>
      <c r="AD18" s="16"/>
      <c r="AE18" s="16"/>
      <c r="AF18" s="16"/>
      <c r="AG18" s="16"/>
      <c r="AH18" s="16"/>
      <c r="AI18" s="16"/>
      <c r="AJ18" s="16"/>
      <c r="AL18" s="5"/>
      <c r="AM18" s="16"/>
      <c r="AN18" s="16"/>
      <c r="AO18" s="16"/>
      <c r="AP18" s="16"/>
      <c r="AQ18" s="16"/>
      <c r="AR18" s="16"/>
      <c r="AS18" s="16"/>
      <c r="AU18" s="5"/>
      <c r="AV18" s="16"/>
      <c r="AW18" s="16"/>
      <c r="AX18" s="16"/>
      <c r="AY18" s="16"/>
      <c r="AZ18" s="16"/>
      <c r="BA18" s="16"/>
      <c r="BB18" s="16"/>
      <c r="BD18" s="5"/>
      <c r="BE18" s="16"/>
      <c r="BF18" s="16"/>
      <c r="BG18" s="16"/>
      <c r="BH18" s="16"/>
      <c r="BI18" s="16"/>
      <c r="BJ18" s="16"/>
      <c r="BK18" s="16"/>
      <c r="BM18" s="5"/>
      <c r="BN18" s="16"/>
      <c r="BO18" s="16"/>
      <c r="BP18" s="16"/>
      <c r="BQ18" s="16"/>
      <c r="BR18" s="16"/>
      <c r="BS18" s="16"/>
      <c r="BT18" s="16"/>
      <c r="BV18" s="5"/>
      <c r="BW18" s="16"/>
      <c r="BX18" s="16"/>
      <c r="BY18" s="16"/>
      <c r="BZ18" s="16"/>
      <c r="CA18" s="16"/>
      <c r="CB18" s="16"/>
      <c r="CC18" s="16"/>
    </row>
    <row r="19" spans="1:82" ht="15">
      <c r="A19" s="17" t="s">
        <v>22</v>
      </c>
      <c r="B19" s="18" t="str">
        <f t="shared" ref="B19:I19" si="48">B1</f>
        <v>Operating</v>
      </c>
      <c r="C19" s="18" t="str">
        <f t="shared" si="48"/>
        <v>SPED</v>
      </c>
      <c r="D19" s="18" t="str">
        <f t="shared" si="48"/>
        <v>NSLP</v>
      </c>
      <c r="E19" s="18" t="str">
        <f t="shared" si="48"/>
        <v>Other</v>
      </c>
      <c r="F19" s="18" t="str">
        <f t="shared" si="48"/>
        <v>Title I</v>
      </c>
      <c r="G19" s="18" t="str">
        <f t="shared" si="48"/>
        <v>SGF</v>
      </c>
      <c r="H19" s="18" t="str">
        <f t="shared" si="48"/>
        <v>Title III</v>
      </c>
      <c r="I19" s="18" t="str">
        <f t="shared" si="48"/>
        <v>Horizon</v>
      </c>
      <c r="J19" s="19"/>
      <c r="K19" s="18" t="str">
        <f t="shared" ref="K19:R19" si="49">K1</f>
        <v>Operating</v>
      </c>
      <c r="L19" s="18" t="str">
        <f t="shared" si="49"/>
        <v>SPED</v>
      </c>
      <c r="M19" s="18" t="str">
        <f t="shared" si="49"/>
        <v>NSLP</v>
      </c>
      <c r="N19" s="18" t="str">
        <f t="shared" si="49"/>
        <v>Other</v>
      </c>
      <c r="O19" s="18" t="str">
        <f t="shared" si="49"/>
        <v>Title I</v>
      </c>
      <c r="P19" s="18" t="str">
        <f t="shared" si="49"/>
        <v>SGF</v>
      </c>
      <c r="Q19" s="18" t="str">
        <f t="shared" si="49"/>
        <v>Title III</v>
      </c>
      <c r="R19" s="18" t="str">
        <f t="shared" si="49"/>
        <v>St. Rose</v>
      </c>
      <c r="T19" s="18" t="str">
        <f t="shared" ref="T19:AA19" si="50">T1</f>
        <v>Operating</v>
      </c>
      <c r="U19" s="18" t="str">
        <f t="shared" si="50"/>
        <v>SPED</v>
      </c>
      <c r="V19" s="18" t="str">
        <f t="shared" si="50"/>
        <v>NSLP</v>
      </c>
      <c r="W19" s="18" t="str">
        <f t="shared" si="50"/>
        <v>Other</v>
      </c>
      <c r="X19" s="18" t="str">
        <f t="shared" si="50"/>
        <v>Title I</v>
      </c>
      <c r="Y19" s="18" t="str">
        <f t="shared" si="50"/>
        <v>SGF</v>
      </c>
      <c r="Z19" s="18" t="str">
        <f t="shared" si="50"/>
        <v>Title III</v>
      </c>
      <c r="AA19" s="18" t="str">
        <f t="shared" si="50"/>
        <v>Inspirada</v>
      </c>
      <c r="AC19" s="18" t="str">
        <f t="shared" ref="AC19:AJ19" si="51">AC1</f>
        <v>Operating</v>
      </c>
      <c r="AD19" s="18" t="str">
        <f t="shared" si="51"/>
        <v>SPED</v>
      </c>
      <c r="AE19" s="18" t="str">
        <f t="shared" si="51"/>
        <v>NSLP</v>
      </c>
      <c r="AF19" s="18" t="str">
        <f t="shared" si="51"/>
        <v>Other</v>
      </c>
      <c r="AG19" s="18" t="str">
        <f t="shared" si="51"/>
        <v>Title I</v>
      </c>
      <c r="AH19" s="18" t="str">
        <f t="shared" si="51"/>
        <v>SGF</v>
      </c>
      <c r="AI19" s="18" t="str">
        <f t="shared" si="51"/>
        <v>Title III</v>
      </c>
      <c r="AJ19" s="18" t="str">
        <f t="shared" si="51"/>
        <v>Cadence</v>
      </c>
      <c r="AL19" s="18" t="str">
        <f t="shared" ref="AL19:AS19" si="52">AL1</f>
        <v>Operating</v>
      </c>
      <c r="AM19" s="18" t="str">
        <f t="shared" si="52"/>
        <v>SPED</v>
      </c>
      <c r="AN19" s="18" t="str">
        <f t="shared" si="52"/>
        <v>NSLP</v>
      </c>
      <c r="AO19" s="18" t="str">
        <f t="shared" si="52"/>
        <v>Other</v>
      </c>
      <c r="AP19" s="18" t="str">
        <f t="shared" si="52"/>
        <v>Title I</v>
      </c>
      <c r="AQ19" s="18" t="str">
        <f t="shared" si="52"/>
        <v>SGF</v>
      </c>
      <c r="AR19" s="18" t="str">
        <f t="shared" si="52"/>
        <v>Title III</v>
      </c>
      <c r="AS19" s="18" t="str">
        <f t="shared" si="52"/>
        <v>Sloan</v>
      </c>
      <c r="AU19" s="18" t="str">
        <f t="shared" ref="AU19:BB19" si="53">AU1</f>
        <v>Operating</v>
      </c>
      <c r="AV19" s="18" t="str">
        <f t="shared" si="53"/>
        <v>SPED</v>
      </c>
      <c r="AW19" s="18" t="str">
        <f t="shared" si="53"/>
        <v>NSLP</v>
      </c>
      <c r="AX19" s="18" t="str">
        <f t="shared" si="53"/>
        <v>Other</v>
      </c>
      <c r="AY19" s="18" t="str">
        <f t="shared" si="53"/>
        <v>Title I</v>
      </c>
      <c r="AZ19" s="18" t="str">
        <f t="shared" si="53"/>
        <v>SGF</v>
      </c>
      <c r="BA19" s="18" t="str">
        <f t="shared" si="53"/>
        <v>Title III</v>
      </c>
      <c r="BB19" s="18" t="str">
        <f t="shared" si="53"/>
        <v>Virtual</v>
      </c>
      <c r="BD19" s="18" t="str">
        <f t="shared" ref="BD19:BK19" si="54">BD1</f>
        <v>Operating</v>
      </c>
      <c r="BE19" s="18" t="str">
        <f t="shared" si="54"/>
        <v>SPED</v>
      </c>
      <c r="BF19" s="18" t="str">
        <f t="shared" si="54"/>
        <v>NSLP</v>
      </c>
      <c r="BG19" s="18" t="str">
        <f t="shared" si="54"/>
        <v>Other</v>
      </c>
      <c r="BH19" s="18" t="str">
        <f t="shared" si="54"/>
        <v>Title I</v>
      </c>
      <c r="BI19" s="18" t="str">
        <f t="shared" si="54"/>
        <v>SGF</v>
      </c>
      <c r="BJ19" s="18" t="str">
        <f t="shared" si="54"/>
        <v>Title III</v>
      </c>
      <c r="BK19" s="18" t="str">
        <f t="shared" si="54"/>
        <v>Springs</v>
      </c>
      <c r="BM19" s="18" t="str">
        <f t="shared" ref="BM19:BT19" si="55">BM1</f>
        <v>Operating</v>
      </c>
      <c r="BN19" s="18" t="str">
        <f t="shared" si="55"/>
        <v>SPED</v>
      </c>
      <c r="BO19" s="18" t="str">
        <f t="shared" si="55"/>
        <v>NSLP</v>
      </c>
      <c r="BP19" s="18" t="str">
        <f t="shared" si="55"/>
        <v>Other</v>
      </c>
      <c r="BQ19" s="18" t="str">
        <f t="shared" si="55"/>
        <v>Title I</v>
      </c>
      <c r="BR19" s="18" t="str">
        <f t="shared" si="55"/>
        <v>SGF</v>
      </c>
      <c r="BS19" s="18" t="str">
        <f t="shared" si="55"/>
        <v>Title III</v>
      </c>
      <c r="BT19" s="18" t="str">
        <f t="shared" si="55"/>
        <v>Exec. Office</v>
      </c>
      <c r="BV19" s="18" t="str">
        <f t="shared" ref="BV19:CC19" si="56">BV1</f>
        <v>Operating</v>
      </c>
      <c r="BW19" s="18" t="str">
        <f t="shared" si="56"/>
        <v>SPED</v>
      </c>
      <c r="BX19" s="18" t="str">
        <f t="shared" si="56"/>
        <v>NSLP</v>
      </c>
      <c r="BY19" s="18" t="str">
        <f t="shared" si="56"/>
        <v>Other</v>
      </c>
      <c r="BZ19" s="18" t="str">
        <f t="shared" si="56"/>
        <v>Title I</v>
      </c>
      <c r="CA19" s="18" t="str">
        <f t="shared" si="56"/>
        <v>SGF</v>
      </c>
      <c r="CB19" s="18" t="str">
        <f t="shared" si="56"/>
        <v>Title III</v>
      </c>
      <c r="CC19" s="18" t="str">
        <f t="shared" si="56"/>
        <v>Systemwide</v>
      </c>
    </row>
    <row r="20" spans="1:82">
      <c r="A20" s="13" t="s">
        <v>23</v>
      </c>
      <c r="B20" s="5"/>
      <c r="C20" s="5">
        <f>('24-25'!C20/'24-25'!B17)*'25-26'!B17</f>
        <v>121.53480662983426</v>
      </c>
      <c r="D20" s="5"/>
      <c r="E20" s="5"/>
      <c r="F20" s="5"/>
      <c r="G20" s="5"/>
      <c r="H20" s="5"/>
      <c r="I20" s="5">
        <f>SUM(B20:H20)</f>
        <v>121.53480662983426</v>
      </c>
      <c r="J20" s="20"/>
      <c r="K20" s="5"/>
      <c r="L20" s="5">
        <f>('24-25'!L20/'24-25'!K17)*'25-26'!K17</f>
        <v>73.714285714285708</v>
      </c>
      <c r="M20" s="5"/>
      <c r="N20" s="5"/>
      <c r="O20" s="5"/>
      <c r="P20" s="5"/>
      <c r="Q20" s="5"/>
      <c r="R20" s="5">
        <f>SUM(K20:Q20)</f>
        <v>73.714285714285708</v>
      </c>
      <c r="T20" s="5"/>
      <c r="U20" s="5">
        <f>('24-25'!U20/'24-25'!T17)*'25-26'!T17</f>
        <v>112.70746018440904</v>
      </c>
      <c r="V20" s="5"/>
      <c r="W20" s="5"/>
      <c r="X20" s="5"/>
      <c r="Y20" s="5"/>
      <c r="Z20" s="5"/>
      <c r="AA20" s="5">
        <f>SUM(T20:Z20)</f>
        <v>112.70746018440904</v>
      </c>
      <c r="AC20" s="5"/>
      <c r="AD20" s="5">
        <f>('24-25'!AD20/'24-25'!AC17)*'25-26'!AC17</f>
        <v>290.12831479897346</v>
      </c>
      <c r="AE20" s="5"/>
      <c r="AF20" s="5"/>
      <c r="AG20" s="5"/>
      <c r="AH20" s="5"/>
      <c r="AI20" s="5"/>
      <c r="AJ20" s="5">
        <f>SUM(AC20:AI20)</f>
        <v>290.12831479897346</v>
      </c>
      <c r="AL20" s="5"/>
      <c r="AM20" s="5">
        <f>('24-25'!AM20/'24-25'!AL17)*'25-26'!AL17</f>
        <v>216.56406869220609</v>
      </c>
      <c r="AN20" s="5"/>
      <c r="AO20" s="5"/>
      <c r="AP20" s="5"/>
      <c r="AQ20" s="5"/>
      <c r="AR20" s="5"/>
      <c r="AS20" s="5">
        <f>SUM(AL20:AR20)</f>
        <v>216.56406869220609</v>
      </c>
      <c r="AU20" s="5"/>
      <c r="AV20" s="5">
        <f>('24-25'!AV20/'24-25'!AU17)*'25-26'!AU17</f>
        <v>18.666666666666668</v>
      </c>
      <c r="AW20" s="5"/>
      <c r="AX20" s="5"/>
      <c r="AY20" s="5"/>
      <c r="AZ20" s="5"/>
      <c r="BA20" s="5"/>
      <c r="BB20" s="5">
        <f>SUM(AU20:BA20)</f>
        <v>18.666666666666668</v>
      </c>
      <c r="BD20" s="5"/>
      <c r="BE20" s="5">
        <f>('24-25'!BE20/'24-25'!BD17)*'25-26'!BD17</f>
        <v>22.112781954887218</v>
      </c>
      <c r="BF20" s="5"/>
      <c r="BG20" s="5"/>
      <c r="BH20" s="5"/>
      <c r="BI20" s="5"/>
      <c r="BJ20" s="5"/>
      <c r="BK20" s="5">
        <f>SUM(BD20:BJ20)</f>
        <v>22.112781954887218</v>
      </c>
      <c r="BM20" s="5">
        <v>0</v>
      </c>
      <c r="BN20" s="5">
        <v>0</v>
      </c>
      <c r="BO20" s="5"/>
      <c r="BP20" s="5"/>
      <c r="BQ20" s="5"/>
      <c r="BR20" s="5"/>
      <c r="BS20" s="5"/>
      <c r="BT20" s="5">
        <f>SUM(BM20:BS20)</f>
        <v>0</v>
      </c>
      <c r="BV20" s="5">
        <f>B20+K20+T20+AC20+AL20+AU20+BD20+BM20</f>
        <v>0</v>
      </c>
      <c r="BW20" s="5">
        <f t="shared" ref="BW20:CA24" si="57">C20+L20+U20+AD20+AM20+AV20+BE20+BN20</f>
        <v>855.42838464126237</v>
      </c>
      <c r="BX20" s="5">
        <f t="shared" si="57"/>
        <v>0</v>
      </c>
      <c r="BY20" s="5">
        <f t="shared" si="57"/>
        <v>0</v>
      </c>
      <c r="BZ20" s="5">
        <f t="shared" si="57"/>
        <v>0</v>
      </c>
      <c r="CA20" s="5">
        <f t="shared" si="57"/>
        <v>0</v>
      </c>
      <c r="CB20" s="5"/>
      <c r="CC20" s="5">
        <f>SUM(BV20:CB20)</f>
        <v>855.42838464126237</v>
      </c>
    </row>
    <row r="21" spans="1:82">
      <c r="A21" s="13" t="s">
        <v>24</v>
      </c>
      <c r="B21" s="5">
        <f>('24-25'!B21/'24-25'!B17)*'25-26'!B17</f>
        <v>36.159116022099447</v>
      </c>
      <c r="C21" s="5"/>
      <c r="D21" s="5"/>
      <c r="E21" s="5"/>
      <c r="F21" s="5"/>
      <c r="G21" s="5"/>
      <c r="H21" s="5"/>
      <c r="I21" s="5">
        <f>SUM(B21:H21)</f>
        <v>36.159116022099447</v>
      </c>
      <c r="J21" s="20"/>
      <c r="K21" s="5">
        <f>('24-25'!K21/'24-25'!K17)*'25-26'!K17</f>
        <v>22.215264187866925</v>
      </c>
      <c r="L21" s="5"/>
      <c r="M21" s="5"/>
      <c r="N21" s="5"/>
      <c r="O21" s="5"/>
      <c r="P21" s="5"/>
      <c r="Q21" s="5"/>
      <c r="R21" s="5">
        <f>SUM(K21:Q21)</f>
        <v>22.215264187866925</v>
      </c>
      <c r="T21" s="5">
        <f>('24-25'!T21/'24-25'!T17)*'25-26'!T17</f>
        <v>17.740989103101423</v>
      </c>
      <c r="U21" s="5"/>
      <c r="V21" s="5"/>
      <c r="W21" s="5"/>
      <c r="X21" s="5"/>
      <c r="Y21" s="5"/>
      <c r="Z21" s="5"/>
      <c r="AA21" s="5">
        <f>SUM(T21:Z21)</f>
        <v>17.740989103101423</v>
      </c>
      <c r="AC21" s="5">
        <f>('24-25'!AC21/'24-25'!AC17)*'25-26'!AC17</f>
        <v>43.832335329341319</v>
      </c>
      <c r="AD21" s="5"/>
      <c r="AE21" s="5"/>
      <c r="AF21" s="5"/>
      <c r="AG21" s="5"/>
      <c r="AH21" s="5"/>
      <c r="AI21" s="5"/>
      <c r="AJ21" s="5">
        <f>SUM(AC21:AI21)</f>
        <v>43.832335329341319</v>
      </c>
      <c r="AL21" s="5">
        <f>('24-25'!AL21/'24-25'!AL17)*'25-26'!AL17</f>
        <v>41.686041391457508</v>
      </c>
      <c r="AM21" s="5"/>
      <c r="AN21" s="5"/>
      <c r="AO21" s="5"/>
      <c r="AP21" s="5"/>
      <c r="AQ21" s="5"/>
      <c r="AR21" s="5"/>
      <c r="AS21" s="5">
        <f>SUM(AL21:AR21)</f>
        <v>41.686041391457508</v>
      </c>
      <c r="AU21" s="5">
        <f>('24-25'!AU21/'24-25'!AU17)*'25-26'!AU17</f>
        <v>1.037037037037037</v>
      </c>
      <c r="AV21" s="5"/>
      <c r="AW21" s="5"/>
      <c r="AX21" s="5"/>
      <c r="AY21" s="5"/>
      <c r="AZ21" s="5"/>
      <c r="BA21" s="5"/>
      <c r="BB21" s="5">
        <f>SUM(AU21:BA21)</f>
        <v>1.037037037037037</v>
      </c>
      <c r="BD21" s="5">
        <f>('24-25'!BD21/'24-25'!BD17)*'25-26'!BD17</f>
        <v>28.616541353383457</v>
      </c>
      <c r="BE21" s="5"/>
      <c r="BF21" s="5"/>
      <c r="BG21" s="5"/>
      <c r="BH21" s="5"/>
      <c r="BI21" s="5"/>
      <c r="BJ21" s="5"/>
      <c r="BK21" s="5">
        <f>SUM(BD21:BJ21)</f>
        <v>28.616541353383457</v>
      </c>
      <c r="BM21" s="5"/>
      <c r="BN21" s="5"/>
      <c r="BO21" s="5"/>
      <c r="BP21" s="5"/>
      <c r="BQ21" s="5"/>
      <c r="BR21" s="5"/>
      <c r="BS21" s="5"/>
      <c r="BT21" s="5">
        <f>SUM(BM21:BS21)</f>
        <v>0</v>
      </c>
      <c r="BV21" s="5">
        <f t="shared" ref="BV21:BV24" si="58">B21+K21+T21+AC21+AL21+AU21+BD21+BM21</f>
        <v>191.28732442428714</v>
      </c>
      <c r="BW21" s="5">
        <f t="shared" si="57"/>
        <v>0</v>
      </c>
      <c r="BX21" s="5">
        <f t="shared" si="57"/>
        <v>0</v>
      </c>
      <c r="BY21" s="5">
        <f t="shared" si="57"/>
        <v>0</v>
      </c>
      <c r="BZ21" s="5">
        <f t="shared" si="57"/>
        <v>0</v>
      </c>
      <c r="CA21" s="5">
        <f t="shared" si="57"/>
        <v>0</v>
      </c>
      <c r="CB21" s="5"/>
      <c r="CC21" s="5">
        <f>SUM(BV21:CB21)</f>
        <v>191.28732442428714</v>
      </c>
    </row>
    <row r="22" spans="1:82">
      <c r="A22" s="13" t="s">
        <v>25</v>
      </c>
      <c r="B22" s="11">
        <f>('24-25'!B22/'24-25'!B17)*'25-26'!B17</f>
        <v>51.225414364640883</v>
      </c>
      <c r="C22" s="11"/>
      <c r="D22" s="11"/>
      <c r="E22" s="11"/>
      <c r="F22" s="11"/>
      <c r="G22" s="11"/>
      <c r="H22" s="11"/>
      <c r="I22" s="5">
        <f>SUM(B22:H22)</f>
        <v>51.225414364640883</v>
      </c>
      <c r="K22" s="11">
        <f>('24-25'!K22/'24-25'!K17)*'25-26'!K17</f>
        <v>67.655577299412911</v>
      </c>
      <c r="L22" s="11"/>
      <c r="M22" s="11"/>
      <c r="N22" s="11"/>
      <c r="O22" s="11"/>
      <c r="P22" s="11"/>
      <c r="Q22" s="11"/>
      <c r="R22" s="5">
        <f>SUM(K22:Q22)</f>
        <v>67.655577299412911</v>
      </c>
      <c r="T22" s="11">
        <f>('24-25'!T22/'24-25'!T17)*'25-26'!T17</f>
        <v>115.83822296730931</v>
      </c>
      <c r="U22" s="11"/>
      <c r="V22" s="11"/>
      <c r="W22" s="11"/>
      <c r="X22" s="11"/>
      <c r="Y22" s="11"/>
      <c r="Z22" s="11"/>
      <c r="AA22" s="5">
        <f>SUM(T22:Z22)</f>
        <v>115.83822296730931</v>
      </c>
      <c r="AC22" s="11">
        <f>('24-25'!AC22/'24-25'!AC17)*'25-26'!AC17</f>
        <v>66.792130025662956</v>
      </c>
      <c r="AD22" s="11"/>
      <c r="AE22" s="11"/>
      <c r="AF22" s="11"/>
      <c r="AG22" s="11"/>
      <c r="AH22" s="11"/>
      <c r="AI22" s="11"/>
      <c r="AJ22" s="5">
        <f>SUM(AC22:AI22)</f>
        <v>66.792130025662956</v>
      </c>
      <c r="AL22" s="11">
        <f>('24-25'!AL22/'24-25'!AL17)*'25-26'!AL17</f>
        <v>115.90752972258917</v>
      </c>
      <c r="AM22" s="11"/>
      <c r="AN22" s="11"/>
      <c r="AO22" s="11"/>
      <c r="AP22" s="11"/>
      <c r="AQ22" s="11"/>
      <c r="AR22" s="11"/>
      <c r="AS22" s="5">
        <f>SUM(AL22:AR22)</f>
        <v>115.90752972258917</v>
      </c>
      <c r="AU22" s="11">
        <f>('24-25'!AU22/'24-25'!AU17)*'25-26'!AU17</f>
        <v>0</v>
      </c>
      <c r="AV22" s="11"/>
      <c r="AW22" s="11"/>
      <c r="AX22" s="11"/>
      <c r="AY22" s="11"/>
      <c r="AZ22" s="11"/>
      <c r="BA22" s="11"/>
      <c r="BB22" s="5">
        <f>SUM(AU22:BA22)</f>
        <v>0</v>
      </c>
      <c r="BD22" s="11">
        <f>('24-25'!BD22/'24-25'!BD17)*'25-26'!BD17</f>
        <v>0</v>
      </c>
      <c r="BE22" s="11"/>
      <c r="BF22" s="11"/>
      <c r="BG22" s="11"/>
      <c r="BH22" s="11"/>
      <c r="BI22" s="11"/>
      <c r="BJ22" s="11"/>
      <c r="BK22" s="5">
        <f>SUM(BD22:BJ22)</f>
        <v>0</v>
      </c>
      <c r="BM22" s="11"/>
      <c r="BN22" s="11"/>
      <c r="BO22" s="11"/>
      <c r="BP22" s="11"/>
      <c r="BQ22" s="11"/>
      <c r="BR22" s="11"/>
      <c r="BS22" s="11"/>
      <c r="BT22" s="5">
        <f>SUM(BM22:BS22)</f>
        <v>0</v>
      </c>
      <c r="BV22" s="5">
        <f t="shared" si="58"/>
        <v>417.41887437961526</v>
      </c>
      <c r="BW22" s="5">
        <f t="shared" si="57"/>
        <v>0</v>
      </c>
      <c r="BX22" s="5">
        <f t="shared" si="57"/>
        <v>0</v>
      </c>
      <c r="BY22" s="5">
        <f t="shared" si="57"/>
        <v>0</v>
      </c>
      <c r="BZ22" s="5">
        <f t="shared" si="57"/>
        <v>0</v>
      </c>
      <c r="CA22" s="5">
        <f t="shared" si="57"/>
        <v>0</v>
      </c>
      <c r="CB22" s="11"/>
      <c r="CC22" s="5">
        <f>SUM(BV22:CB22)</f>
        <v>417.41887437961526</v>
      </c>
    </row>
    <row r="23" spans="1:82">
      <c r="A23" s="13" t="s">
        <v>26</v>
      </c>
      <c r="B23" s="21"/>
      <c r="C23" s="21"/>
      <c r="D23" s="22">
        <v>0.4073</v>
      </c>
      <c r="E23" s="22"/>
      <c r="F23" s="22"/>
      <c r="G23" s="22"/>
      <c r="H23" s="22"/>
      <c r="I23" s="21">
        <f>SUM(B23:H23)</f>
        <v>0.4073</v>
      </c>
      <c r="J23" s="23"/>
      <c r="K23" s="21"/>
      <c r="L23" s="21"/>
      <c r="M23" s="22">
        <v>0.31319999999999998</v>
      </c>
      <c r="N23" s="22"/>
      <c r="O23" s="22"/>
      <c r="P23" s="22"/>
      <c r="Q23" s="22"/>
      <c r="R23" s="21">
        <f>SUM(K23:Q23)</f>
        <v>0.31319999999999998</v>
      </c>
      <c r="T23" s="21"/>
      <c r="U23" s="21"/>
      <c r="V23" s="22">
        <v>0.13780000000000001</v>
      </c>
      <c r="W23" s="22"/>
      <c r="X23" s="22"/>
      <c r="Y23" s="22"/>
      <c r="Z23" s="22"/>
      <c r="AA23" s="21">
        <f>SUM(T23:Z23)</f>
        <v>0.13780000000000001</v>
      </c>
      <c r="AC23" s="21"/>
      <c r="AD23" s="21"/>
      <c r="AE23" s="22">
        <v>0.31780000000000003</v>
      </c>
      <c r="AF23" s="22"/>
      <c r="AG23" s="22"/>
      <c r="AH23" s="22"/>
      <c r="AI23" s="22"/>
      <c r="AJ23" s="21">
        <f>SUM(AC23:AI23)</f>
        <v>0.31780000000000003</v>
      </c>
      <c r="AL23" s="21"/>
      <c r="AM23" s="21"/>
      <c r="AN23" s="104">
        <v>0.1978</v>
      </c>
      <c r="AO23" s="22"/>
      <c r="AP23" s="22"/>
      <c r="AQ23" s="22"/>
      <c r="AR23" s="22"/>
      <c r="AS23" s="21">
        <f>SUM(AL23:AR23)</f>
        <v>0.1978</v>
      </c>
      <c r="AU23" s="21"/>
      <c r="AV23" s="21"/>
      <c r="AW23" s="22">
        <v>0.24360000000000001</v>
      </c>
      <c r="AX23" s="22"/>
      <c r="AY23" s="22"/>
      <c r="AZ23" s="22"/>
      <c r="BA23" s="22"/>
      <c r="BB23" s="21">
        <f>SUM(AU23:BA23)</f>
        <v>0.24360000000000001</v>
      </c>
      <c r="BD23" s="21"/>
      <c r="BE23" s="21"/>
      <c r="BF23" s="22">
        <v>1</v>
      </c>
      <c r="BG23" s="22"/>
      <c r="BH23" s="22"/>
      <c r="BI23" s="22"/>
      <c r="BJ23" s="22"/>
      <c r="BK23" s="21">
        <f>SUM(BD23:BJ23)</f>
        <v>1</v>
      </c>
      <c r="BM23" s="21"/>
      <c r="BN23" s="21"/>
      <c r="BO23" s="22"/>
      <c r="BP23" s="22"/>
      <c r="BQ23" s="22"/>
      <c r="BR23" s="22"/>
      <c r="BS23" s="22"/>
      <c r="BT23" s="21">
        <f>SUM(BM23:BS23)</f>
        <v>0</v>
      </c>
      <c r="BV23" s="5">
        <f t="shared" si="58"/>
        <v>0</v>
      </c>
      <c r="BW23" s="5">
        <f t="shared" si="57"/>
        <v>0</v>
      </c>
      <c r="BX23" s="101">
        <f>AVERAGE(D23,M23,V23,AE23,AN23,AW23,BF23,BO23)</f>
        <v>0.37392857142857139</v>
      </c>
      <c r="BY23" s="5">
        <f t="shared" si="57"/>
        <v>0</v>
      </c>
      <c r="BZ23" s="5">
        <f t="shared" si="57"/>
        <v>0</v>
      </c>
      <c r="CA23" s="5">
        <f t="shared" si="57"/>
        <v>0</v>
      </c>
      <c r="CB23" s="22"/>
      <c r="CC23" s="21">
        <f>SUM(BV23:CB23)</f>
        <v>0.37392857142857139</v>
      </c>
    </row>
    <row r="24" spans="1:82">
      <c r="A24" s="13" t="s">
        <v>27</v>
      </c>
      <c r="B24" s="5"/>
      <c r="C24" s="5"/>
      <c r="D24" s="5"/>
      <c r="E24" s="5"/>
      <c r="F24" s="5"/>
      <c r="G24" s="5"/>
      <c r="H24" s="5"/>
      <c r="I24" s="5">
        <f>SUM(B24:H24)</f>
        <v>0</v>
      </c>
      <c r="J24" s="23"/>
      <c r="K24" s="5"/>
      <c r="L24" s="5"/>
      <c r="M24" s="5"/>
      <c r="N24" s="5"/>
      <c r="O24" s="5"/>
      <c r="P24" s="5"/>
      <c r="Q24" s="5"/>
      <c r="R24" s="5">
        <f>SUM(K24:Q24)</f>
        <v>0</v>
      </c>
      <c r="T24" s="5">
        <v>0</v>
      </c>
      <c r="U24" s="5"/>
      <c r="V24" s="5"/>
      <c r="W24" s="5"/>
      <c r="X24" s="5"/>
      <c r="Y24" s="5"/>
      <c r="Z24" s="5"/>
      <c r="AA24" s="5">
        <f>SUM(T24:Z24)</f>
        <v>0</v>
      </c>
      <c r="AC24" s="5">
        <v>152</v>
      </c>
      <c r="AD24" s="5"/>
      <c r="AE24" s="5"/>
      <c r="AF24" s="5"/>
      <c r="AG24" s="5"/>
      <c r="AH24" s="5"/>
      <c r="AI24" s="5"/>
      <c r="AJ24" s="5">
        <f>SUM(AC24:AI24)</f>
        <v>152</v>
      </c>
      <c r="AL24" s="5">
        <v>122</v>
      </c>
      <c r="AM24" s="5"/>
      <c r="AN24" s="5"/>
      <c r="AO24" s="5"/>
      <c r="AP24" s="5"/>
      <c r="AQ24" s="5"/>
      <c r="AR24" s="5"/>
      <c r="AS24" s="5">
        <f>SUM(AL24:AR24)</f>
        <v>122</v>
      </c>
      <c r="AU24" s="5">
        <v>39</v>
      </c>
      <c r="AV24" s="5"/>
      <c r="AW24" s="5"/>
      <c r="AX24" s="5"/>
      <c r="AY24" s="5"/>
      <c r="AZ24" s="5"/>
      <c r="BA24" s="5"/>
      <c r="BB24" s="5">
        <f>SUM(AU24:BA24)</f>
        <v>39</v>
      </c>
      <c r="BD24" s="5">
        <v>35</v>
      </c>
      <c r="BE24" s="5"/>
      <c r="BF24" s="5"/>
      <c r="BG24" s="5"/>
      <c r="BH24" s="5"/>
      <c r="BI24" s="5"/>
      <c r="BJ24" s="5"/>
      <c r="BK24" s="5">
        <f>SUM(BD24:BJ24)</f>
        <v>35</v>
      </c>
      <c r="BM24" s="5"/>
      <c r="BN24" s="5"/>
      <c r="BO24" s="5"/>
      <c r="BP24" s="5"/>
      <c r="BQ24" s="5"/>
      <c r="BR24" s="5"/>
      <c r="BS24" s="5"/>
      <c r="BT24" s="5">
        <f>SUM(BM24:BS24)</f>
        <v>0</v>
      </c>
      <c r="BV24" s="5">
        <f t="shared" si="58"/>
        <v>348</v>
      </c>
      <c r="BW24" s="5">
        <f t="shared" si="57"/>
        <v>0</v>
      </c>
      <c r="BX24" s="5">
        <f t="shared" si="57"/>
        <v>0</v>
      </c>
      <c r="BY24" s="5">
        <f t="shared" si="57"/>
        <v>0</v>
      </c>
      <c r="BZ24" s="5">
        <f t="shared" si="57"/>
        <v>0</v>
      </c>
      <c r="CA24" s="5">
        <f t="shared" si="57"/>
        <v>0</v>
      </c>
      <c r="CB24" s="5"/>
      <c r="CC24" s="5">
        <f>SUM(BV24:CB24)</f>
        <v>348</v>
      </c>
    </row>
    <row r="25" spans="1:82">
      <c r="A25" s="13"/>
      <c r="B25" s="5"/>
      <c r="C25" s="5"/>
      <c r="D25" s="5"/>
      <c r="E25" s="5"/>
      <c r="F25" s="5"/>
      <c r="G25" s="5"/>
      <c r="H25" s="5"/>
      <c r="I25" s="5"/>
      <c r="J25" s="7"/>
      <c r="K25" s="5"/>
      <c r="L25" s="5"/>
      <c r="M25" s="5"/>
      <c r="N25" s="5"/>
      <c r="O25" s="5"/>
      <c r="P25" s="5"/>
      <c r="Q25" s="5"/>
      <c r="R25" s="5"/>
      <c r="T25" s="5"/>
      <c r="U25" s="5"/>
      <c r="V25" s="5"/>
      <c r="W25" s="5"/>
      <c r="X25" s="5"/>
      <c r="Y25" s="5"/>
      <c r="Z25" s="5"/>
      <c r="AA25" s="5"/>
      <c r="AC25" s="5"/>
      <c r="AD25" s="5"/>
      <c r="AE25" s="5"/>
      <c r="AF25" s="5"/>
      <c r="AG25" s="5"/>
      <c r="AH25" s="5"/>
      <c r="AI25" s="5"/>
      <c r="AJ25" s="5"/>
      <c r="AL25" s="5"/>
      <c r="AM25" s="5"/>
      <c r="AN25" s="5"/>
      <c r="AO25" s="5"/>
      <c r="AP25" s="5"/>
      <c r="AQ25" s="5"/>
      <c r="AR25" s="5"/>
      <c r="AS25" s="5"/>
      <c r="AU25" s="5"/>
      <c r="AV25" s="5"/>
      <c r="AW25" s="5"/>
      <c r="AX25" s="5"/>
      <c r="AY25" s="5"/>
      <c r="AZ25" s="5"/>
      <c r="BA25" s="5"/>
      <c r="BB25" s="5"/>
      <c r="BD25" s="5"/>
      <c r="BE25" s="5"/>
      <c r="BF25" s="5"/>
      <c r="BG25" s="5"/>
      <c r="BH25" s="5"/>
      <c r="BI25" s="5"/>
      <c r="BJ25" s="5"/>
      <c r="BK25" s="5"/>
      <c r="BM25" s="5"/>
      <c r="BN25" s="5"/>
      <c r="BO25" s="5"/>
      <c r="BP25" s="5"/>
      <c r="BQ25" s="5"/>
      <c r="BR25" s="5"/>
      <c r="BS25" s="5"/>
      <c r="BT25" s="5"/>
      <c r="BV25" s="5"/>
      <c r="BW25" s="5"/>
      <c r="BX25" s="5"/>
      <c r="BY25" s="5"/>
      <c r="BZ25" s="5"/>
      <c r="CA25" s="5"/>
      <c r="CB25" s="5"/>
      <c r="CC25" s="5"/>
    </row>
    <row r="26" spans="1:82" ht="15">
      <c r="A26" s="24" t="s">
        <v>28</v>
      </c>
      <c r="B26" s="18" t="str">
        <f t="shared" ref="B26:I26" si="59">B1</f>
        <v>Operating</v>
      </c>
      <c r="C26" s="18" t="str">
        <f t="shared" si="59"/>
        <v>SPED</v>
      </c>
      <c r="D26" s="18" t="str">
        <f t="shared" si="59"/>
        <v>NSLP</v>
      </c>
      <c r="E26" s="18" t="str">
        <f t="shared" si="59"/>
        <v>Other</v>
      </c>
      <c r="F26" s="18" t="str">
        <f t="shared" si="59"/>
        <v>Title I</v>
      </c>
      <c r="G26" s="18" t="str">
        <f t="shared" si="59"/>
        <v>SGF</v>
      </c>
      <c r="H26" s="18" t="str">
        <f t="shared" si="59"/>
        <v>Title III</v>
      </c>
      <c r="I26" s="18" t="str">
        <f t="shared" si="59"/>
        <v>Horizon</v>
      </c>
      <c r="J26" s="19"/>
      <c r="K26" s="18" t="str">
        <f t="shared" ref="K26:R26" si="60">K1</f>
        <v>Operating</v>
      </c>
      <c r="L26" s="18" t="str">
        <f t="shared" si="60"/>
        <v>SPED</v>
      </c>
      <c r="M26" s="18" t="str">
        <f t="shared" si="60"/>
        <v>NSLP</v>
      </c>
      <c r="N26" s="18" t="str">
        <f t="shared" si="60"/>
        <v>Other</v>
      </c>
      <c r="O26" s="18" t="str">
        <f t="shared" si="60"/>
        <v>Title I</v>
      </c>
      <c r="P26" s="18" t="str">
        <f t="shared" si="60"/>
        <v>SGF</v>
      </c>
      <c r="Q26" s="18" t="str">
        <f t="shared" si="60"/>
        <v>Title III</v>
      </c>
      <c r="R26" s="18" t="str">
        <f t="shared" si="60"/>
        <v>St. Rose</v>
      </c>
      <c r="T26" s="18" t="str">
        <f t="shared" ref="T26:AA26" si="61">T1</f>
        <v>Operating</v>
      </c>
      <c r="U26" s="18" t="str">
        <f t="shared" si="61"/>
        <v>SPED</v>
      </c>
      <c r="V26" s="18" t="str">
        <f t="shared" si="61"/>
        <v>NSLP</v>
      </c>
      <c r="W26" s="18" t="str">
        <f t="shared" si="61"/>
        <v>Other</v>
      </c>
      <c r="X26" s="18" t="str">
        <f t="shared" si="61"/>
        <v>Title I</v>
      </c>
      <c r="Y26" s="18" t="str">
        <f t="shared" si="61"/>
        <v>SGF</v>
      </c>
      <c r="Z26" s="18" t="str">
        <f t="shared" si="61"/>
        <v>Title III</v>
      </c>
      <c r="AA26" s="18" t="str">
        <f t="shared" si="61"/>
        <v>Inspirada</v>
      </c>
      <c r="AC26" s="18" t="str">
        <f t="shared" ref="AC26:AJ26" si="62">AC1</f>
        <v>Operating</v>
      </c>
      <c r="AD26" s="18" t="str">
        <f t="shared" si="62"/>
        <v>SPED</v>
      </c>
      <c r="AE26" s="18" t="str">
        <f t="shared" si="62"/>
        <v>NSLP</v>
      </c>
      <c r="AF26" s="18" t="str">
        <f t="shared" si="62"/>
        <v>Other</v>
      </c>
      <c r="AG26" s="18" t="str">
        <f t="shared" si="62"/>
        <v>Title I</v>
      </c>
      <c r="AH26" s="18" t="str">
        <f t="shared" si="62"/>
        <v>SGF</v>
      </c>
      <c r="AI26" s="18" t="str">
        <f t="shared" si="62"/>
        <v>Title III</v>
      </c>
      <c r="AJ26" s="18" t="str">
        <f t="shared" si="62"/>
        <v>Cadence</v>
      </c>
      <c r="AL26" s="18" t="str">
        <f t="shared" ref="AL26:AS26" si="63">AL1</f>
        <v>Operating</v>
      </c>
      <c r="AM26" s="18" t="str">
        <f t="shared" si="63"/>
        <v>SPED</v>
      </c>
      <c r="AN26" s="18" t="str">
        <f t="shared" si="63"/>
        <v>NSLP</v>
      </c>
      <c r="AO26" s="18" t="str">
        <f t="shared" si="63"/>
        <v>Other</v>
      </c>
      <c r="AP26" s="18" t="str">
        <f t="shared" si="63"/>
        <v>Title I</v>
      </c>
      <c r="AQ26" s="18" t="str">
        <f t="shared" si="63"/>
        <v>SGF</v>
      </c>
      <c r="AR26" s="18" t="str">
        <f t="shared" si="63"/>
        <v>Title III</v>
      </c>
      <c r="AS26" s="18" t="str">
        <f t="shared" si="63"/>
        <v>Sloan</v>
      </c>
      <c r="AU26" s="18" t="str">
        <f t="shared" ref="AU26:BB26" si="64">AU1</f>
        <v>Operating</v>
      </c>
      <c r="AV26" s="18" t="str">
        <f t="shared" si="64"/>
        <v>SPED</v>
      </c>
      <c r="AW26" s="18" t="str">
        <f t="shared" si="64"/>
        <v>NSLP</v>
      </c>
      <c r="AX26" s="18" t="str">
        <f t="shared" si="64"/>
        <v>Other</v>
      </c>
      <c r="AY26" s="18" t="str">
        <f t="shared" si="64"/>
        <v>Title I</v>
      </c>
      <c r="AZ26" s="18" t="str">
        <f t="shared" si="64"/>
        <v>SGF</v>
      </c>
      <c r="BA26" s="18" t="str">
        <f t="shared" si="64"/>
        <v>Title III</v>
      </c>
      <c r="BB26" s="18" t="str">
        <f t="shared" si="64"/>
        <v>Virtual</v>
      </c>
      <c r="BD26" s="18" t="str">
        <f t="shared" ref="BD26:BK26" si="65">BD1</f>
        <v>Operating</v>
      </c>
      <c r="BE26" s="18" t="str">
        <f t="shared" si="65"/>
        <v>SPED</v>
      </c>
      <c r="BF26" s="18" t="str">
        <f t="shared" si="65"/>
        <v>NSLP</v>
      </c>
      <c r="BG26" s="18" t="str">
        <f t="shared" si="65"/>
        <v>Other</v>
      </c>
      <c r="BH26" s="18" t="str">
        <f t="shared" si="65"/>
        <v>Title I</v>
      </c>
      <c r="BI26" s="18" t="str">
        <f t="shared" si="65"/>
        <v>SGF</v>
      </c>
      <c r="BJ26" s="18" t="str">
        <f t="shared" si="65"/>
        <v>Title III</v>
      </c>
      <c r="BK26" s="18" t="str">
        <f t="shared" si="65"/>
        <v>Springs</v>
      </c>
      <c r="BM26" s="18" t="str">
        <f t="shared" ref="BM26:BT26" si="66">BM1</f>
        <v>Operating</v>
      </c>
      <c r="BN26" s="18" t="str">
        <f t="shared" si="66"/>
        <v>SPED</v>
      </c>
      <c r="BO26" s="18" t="str">
        <f t="shared" si="66"/>
        <v>NSLP</v>
      </c>
      <c r="BP26" s="18" t="str">
        <f t="shared" si="66"/>
        <v>Other</v>
      </c>
      <c r="BQ26" s="18" t="str">
        <f t="shared" si="66"/>
        <v>Title I</v>
      </c>
      <c r="BR26" s="18" t="str">
        <f t="shared" si="66"/>
        <v>SGF</v>
      </c>
      <c r="BS26" s="18" t="str">
        <f t="shared" si="66"/>
        <v>Title III</v>
      </c>
      <c r="BT26" s="18" t="str">
        <f t="shared" si="66"/>
        <v>Exec. Office</v>
      </c>
      <c r="BV26" s="18" t="str">
        <f t="shared" ref="BV26:CC26" si="67">BV1</f>
        <v>Operating</v>
      </c>
      <c r="BW26" s="18" t="str">
        <f t="shared" si="67"/>
        <v>SPED</v>
      </c>
      <c r="BX26" s="18" t="str">
        <f t="shared" si="67"/>
        <v>NSLP</v>
      </c>
      <c r="BY26" s="18" t="str">
        <f t="shared" si="67"/>
        <v>Other</v>
      </c>
      <c r="BZ26" s="18" t="str">
        <f t="shared" si="67"/>
        <v>Title I</v>
      </c>
      <c r="CA26" s="18" t="str">
        <f t="shared" si="67"/>
        <v>SGF</v>
      </c>
      <c r="CB26" s="18" t="str">
        <f t="shared" si="67"/>
        <v>Title III</v>
      </c>
      <c r="CC26" s="18" t="str">
        <f t="shared" si="67"/>
        <v>Systemwide</v>
      </c>
    </row>
    <row r="27" spans="1:82">
      <c r="A27" s="25" t="s">
        <v>29</v>
      </c>
      <c r="B27" s="26">
        <v>35</v>
      </c>
      <c r="C27" s="26"/>
      <c r="D27" s="26"/>
      <c r="E27" s="26"/>
      <c r="F27" s="26"/>
      <c r="G27" s="26"/>
      <c r="H27" s="26"/>
      <c r="I27" s="26">
        <f t="shared" ref="I27:I32" si="68">SUM(B27:H27)</f>
        <v>35</v>
      </c>
      <c r="J27" s="12">
        <f>I27/6</f>
        <v>5.833333333333333</v>
      </c>
      <c r="K27" s="26">
        <v>36</v>
      </c>
      <c r="L27" s="26"/>
      <c r="M27" s="26"/>
      <c r="N27" s="26"/>
      <c r="O27" s="26"/>
      <c r="P27" s="26"/>
      <c r="Q27" s="26"/>
      <c r="R27" s="26">
        <f t="shared" ref="R27:R32" si="69">SUM(K27:Q27)</f>
        <v>36</v>
      </c>
      <c r="S27" s="12">
        <f>R27/6</f>
        <v>6</v>
      </c>
      <c r="T27" s="26">
        <v>46</v>
      </c>
      <c r="U27" s="26"/>
      <c r="V27" s="26"/>
      <c r="W27" s="26"/>
      <c r="X27" s="26"/>
      <c r="Y27" s="26"/>
      <c r="Z27" s="26"/>
      <c r="AA27" s="26">
        <f t="shared" ref="AA27:AA32" si="70">SUM(T27:Z27)</f>
        <v>46</v>
      </c>
      <c r="AB27" s="12">
        <f>AA27/6</f>
        <v>7.666666666666667</v>
      </c>
      <c r="AC27" s="26">
        <v>82</v>
      </c>
      <c r="AD27" s="26"/>
      <c r="AE27" s="26"/>
      <c r="AF27" s="26"/>
      <c r="AG27" s="26"/>
      <c r="AH27" s="26"/>
      <c r="AI27" s="26"/>
      <c r="AJ27" s="26">
        <f t="shared" ref="AJ27:AJ32" si="71">SUM(AC27:AI27)</f>
        <v>82</v>
      </c>
      <c r="AK27" s="12">
        <f>AJ27/6</f>
        <v>13.666666666666666</v>
      </c>
      <c r="AL27" s="26">
        <v>80</v>
      </c>
      <c r="AM27" s="26"/>
      <c r="AN27" s="26"/>
      <c r="AO27" s="26"/>
      <c r="AP27" s="26"/>
      <c r="AQ27" s="26"/>
      <c r="AR27" s="26"/>
      <c r="AS27" s="26">
        <f t="shared" ref="AS27:AS32" si="72">SUM(AL27:AR27)</f>
        <v>80</v>
      </c>
      <c r="AT27" s="12">
        <f>AS27/6</f>
        <v>13.333333333333334</v>
      </c>
      <c r="AU27" s="26"/>
      <c r="AV27" s="26"/>
      <c r="AW27" s="26"/>
      <c r="AX27" s="26"/>
      <c r="AY27" s="26"/>
      <c r="AZ27" s="26"/>
      <c r="BA27" s="26"/>
      <c r="BB27" s="26">
        <f t="shared" ref="BB27:BB32" si="73">SUM(AU27:BA27)</f>
        <v>0</v>
      </c>
      <c r="BC27" s="12">
        <f>BB27/6</f>
        <v>0</v>
      </c>
      <c r="BD27" s="26">
        <v>14</v>
      </c>
      <c r="BE27" s="26"/>
      <c r="BF27" s="26"/>
      <c r="BG27" s="26"/>
      <c r="BH27" s="26"/>
      <c r="BI27" s="26"/>
      <c r="BJ27" s="26"/>
      <c r="BK27" s="26">
        <f t="shared" ref="BK27:BK32" si="74">SUM(BD27:BJ27)</f>
        <v>14</v>
      </c>
      <c r="BL27" s="12">
        <f>BK27/6</f>
        <v>2.3333333333333335</v>
      </c>
      <c r="BM27" s="26"/>
      <c r="BN27" s="26"/>
      <c r="BO27" s="26"/>
      <c r="BP27" s="26"/>
      <c r="BQ27" s="26"/>
      <c r="BR27" s="26"/>
      <c r="BS27" s="26"/>
      <c r="BT27" s="26">
        <f t="shared" ref="BT27:BT32" si="75">SUM(BM27:BS27)</f>
        <v>0</v>
      </c>
      <c r="BU27" s="12">
        <f>BT27/6</f>
        <v>0</v>
      </c>
      <c r="BV27" s="26">
        <f>B27+K27+T27+AC27+AL27+AU27+BD27+BM27</f>
        <v>293</v>
      </c>
      <c r="BW27" s="26">
        <f t="shared" ref="BW27:CA35" si="76">C27+L27+U27+AD27+AM27+AV27+BE27+BN27</f>
        <v>0</v>
      </c>
      <c r="BX27" s="26">
        <f t="shared" si="76"/>
        <v>0</v>
      </c>
      <c r="BY27" s="26">
        <f t="shared" si="76"/>
        <v>0</v>
      </c>
      <c r="BZ27" s="26">
        <f t="shared" si="76"/>
        <v>0</v>
      </c>
      <c r="CA27" s="26">
        <f t="shared" si="76"/>
        <v>0</v>
      </c>
      <c r="CB27" s="26"/>
      <c r="CC27" s="26">
        <f t="shared" ref="CC27:CC28" si="77">SUM(BV27:CB27)</f>
        <v>293</v>
      </c>
      <c r="CD27" s="12">
        <f>CC27/6</f>
        <v>48.833333333333336</v>
      </c>
    </row>
    <row r="28" spans="1:82">
      <c r="A28" s="25" t="s">
        <v>30</v>
      </c>
      <c r="B28" s="27">
        <v>0</v>
      </c>
      <c r="C28" s="27">
        <v>5</v>
      </c>
      <c r="D28" s="27"/>
      <c r="E28" s="27"/>
      <c r="F28" s="27"/>
      <c r="G28" s="27"/>
      <c r="H28" s="27"/>
      <c r="I28" s="26">
        <f t="shared" si="68"/>
        <v>5</v>
      </c>
      <c r="J28" s="12">
        <f>C20/21</f>
        <v>5.7873717442778219</v>
      </c>
      <c r="K28" s="27">
        <v>0</v>
      </c>
      <c r="L28" s="27">
        <v>4</v>
      </c>
      <c r="M28" s="27"/>
      <c r="N28" s="27"/>
      <c r="O28" s="27"/>
      <c r="P28" s="27"/>
      <c r="Q28" s="27"/>
      <c r="R28" s="26">
        <f t="shared" si="69"/>
        <v>4</v>
      </c>
      <c r="S28" s="12">
        <f>L20/21</f>
        <v>3.510204081632653</v>
      </c>
      <c r="T28" s="27"/>
      <c r="U28" s="27">
        <v>5</v>
      </c>
      <c r="V28" s="27"/>
      <c r="W28" s="27"/>
      <c r="X28" s="27"/>
      <c r="Y28" s="27"/>
      <c r="Z28" s="27"/>
      <c r="AA28" s="26">
        <f t="shared" si="70"/>
        <v>5</v>
      </c>
      <c r="AB28" s="12">
        <f>U20/21</f>
        <v>5.3670219135432875</v>
      </c>
      <c r="AC28" s="27">
        <v>0</v>
      </c>
      <c r="AD28" s="27">
        <v>13</v>
      </c>
      <c r="AE28" s="27"/>
      <c r="AF28" s="27"/>
      <c r="AG28" s="27"/>
      <c r="AH28" s="27"/>
      <c r="AI28" s="27"/>
      <c r="AJ28" s="26">
        <f t="shared" si="71"/>
        <v>13</v>
      </c>
      <c r="AK28" s="12">
        <f>AD20/21</f>
        <v>13.815634038046355</v>
      </c>
      <c r="AL28" s="27">
        <v>0</v>
      </c>
      <c r="AM28" s="27">
        <v>12</v>
      </c>
      <c r="AN28" s="27"/>
      <c r="AO28" s="27"/>
      <c r="AP28" s="27"/>
      <c r="AQ28" s="27"/>
      <c r="AR28" s="27"/>
      <c r="AS28" s="26">
        <f t="shared" si="72"/>
        <v>12</v>
      </c>
      <c r="AT28" s="12">
        <f>AM20/21</f>
        <v>10.312574699628861</v>
      </c>
      <c r="AU28" s="27"/>
      <c r="AV28" s="27">
        <v>1</v>
      </c>
      <c r="AW28" s="27"/>
      <c r="AX28" s="27"/>
      <c r="AY28" s="27"/>
      <c r="AZ28" s="27"/>
      <c r="BA28" s="27"/>
      <c r="BB28" s="26">
        <f t="shared" si="73"/>
        <v>1</v>
      </c>
      <c r="BC28" s="12">
        <f>AV20/21</f>
        <v>0.88888888888888895</v>
      </c>
      <c r="BD28" s="27">
        <v>0</v>
      </c>
      <c r="BE28" s="27">
        <v>1</v>
      </c>
      <c r="BF28" s="27"/>
      <c r="BG28" s="27"/>
      <c r="BH28" s="27"/>
      <c r="BI28" s="27"/>
      <c r="BJ28" s="27"/>
      <c r="BK28" s="26">
        <f t="shared" si="74"/>
        <v>1</v>
      </c>
      <c r="BL28" s="12">
        <f>BE20/21</f>
        <v>1.0529896168993913</v>
      </c>
      <c r="BM28" s="27"/>
      <c r="BN28" s="27"/>
      <c r="BO28" s="27"/>
      <c r="BP28" s="27"/>
      <c r="BQ28" s="27"/>
      <c r="BR28" s="27"/>
      <c r="BS28" s="27"/>
      <c r="BT28" s="26">
        <f t="shared" si="75"/>
        <v>0</v>
      </c>
      <c r="BU28" s="12">
        <f>BN20/21</f>
        <v>0</v>
      </c>
      <c r="BV28" s="26">
        <f t="shared" ref="BV28:BV35" si="78">B28+K28+T28+AC28+AL28+AU28+BD28+BM28</f>
        <v>0</v>
      </c>
      <c r="BW28" s="26">
        <f t="shared" si="76"/>
        <v>41</v>
      </c>
      <c r="BX28" s="26">
        <f t="shared" si="76"/>
        <v>0</v>
      </c>
      <c r="BY28" s="26">
        <f t="shared" si="76"/>
        <v>0</v>
      </c>
      <c r="BZ28" s="26">
        <f t="shared" si="76"/>
        <v>0</v>
      </c>
      <c r="CA28" s="26">
        <f t="shared" si="76"/>
        <v>0</v>
      </c>
      <c r="CB28" s="27"/>
      <c r="CC28" s="26">
        <f t="shared" si="77"/>
        <v>41</v>
      </c>
      <c r="CD28" s="12">
        <f>BW20/21</f>
        <v>40.734684982917258</v>
      </c>
    </row>
    <row r="29" spans="1:82">
      <c r="A29" s="25" t="s">
        <v>31</v>
      </c>
      <c r="B29" s="26">
        <v>1</v>
      </c>
      <c r="C29" s="26"/>
      <c r="D29" s="26"/>
      <c r="E29" s="26"/>
      <c r="F29" s="26"/>
      <c r="G29" s="26"/>
      <c r="H29" s="26"/>
      <c r="I29" s="26">
        <f>SUM(B29:H29)</f>
        <v>1</v>
      </c>
      <c r="K29" s="26">
        <v>1</v>
      </c>
      <c r="L29" s="26"/>
      <c r="M29" s="26"/>
      <c r="N29" s="26"/>
      <c r="O29" s="26"/>
      <c r="P29" s="26"/>
      <c r="Q29" s="26"/>
      <c r="R29" s="26">
        <f>SUM(K29:Q29)</f>
        <v>1</v>
      </c>
      <c r="T29" s="26">
        <v>1</v>
      </c>
      <c r="U29" s="26"/>
      <c r="V29" s="26"/>
      <c r="W29" s="26"/>
      <c r="X29" s="26"/>
      <c r="Y29" s="26"/>
      <c r="Z29" s="26"/>
      <c r="AA29" s="26">
        <f>SUM(T29:Z29)</f>
        <v>1</v>
      </c>
      <c r="AC29" s="26">
        <v>2</v>
      </c>
      <c r="AD29" s="26"/>
      <c r="AE29" s="26"/>
      <c r="AF29" s="26"/>
      <c r="AG29" s="26"/>
      <c r="AH29" s="26"/>
      <c r="AI29" s="26"/>
      <c r="AJ29" s="26">
        <f>SUM(AC29:AI29)</f>
        <v>2</v>
      </c>
      <c r="AL29" s="26">
        <v>2</v>
      </c>
      <c r="AM29" s="26"/>
      <c r="AN29" s="26"/>
      <c r="AO29" s="26"/>
      <c r="AP29" s="26"/>
      <c r="AQ29" s="26"/>
      <c r="AR29" s="26"/>
      <c r="AS29" s="26">
        <f>SUM(AL29:AR29)</f>
        <v>2</v>
      </c>
      <c r="AU29" s="26"/>
      <c r="AV29" s="26"/>
      <c r="AW29" s="26"/>
      <c r="AX29" s="26"/>
      <c r="AY29" s="26"/>
      <c r="AZ29" s="26"/>
      <c r="BA29" s="26"/>
      <c r="BB29" s="26">
        <f>SUM(AU29:BA29)</f>
        <v>0</v>
      </c>
      <c r="BD29" s="26">
        <v>0</v>
      </c>
      <c r="BE29" s="26"/>
      <c r="BF29" s="26"/>
      <c r="BG29" s="26"/>
      <c r="BH29" s="26"/>
      <c r="BI29" s="26"/>
      <c r="BJ29" s="26"/>
      <c r="BK29" s="26">
        <f>SUM(BD29:BJ29)</f>
        <v>0</v>
      </c>
      <c r="BM29" s="26"/>
      <c r="BN29" s="26"/>
      <c r="BO29" s="26"/>
      <c r="BP29" s="26"/>
      <c r="BQ29" s="26"/>
      <c r="BR29" s="26"/>
      <c r="BS29" s="26"/>
      <c r="BT29" s="26">
        <f>SUM(BM29:BS29)</f>
        <v>0</v>
      </c>
      <c r="BV29" s="26">
        <f t="shared" si="78"/>
        <v>7</v>
      </c>
      <c r="BW29" s="26">
        <f t="shared" si="76"/>
        <v>0</v>
      </c>
      <c r="BX29" s="26">
        <f t="shared" si="76"/>
        <v>0</v>
      </c>
      <c r="BY29" s="26">
        <f t="shared" si="76"/>
        <v>0</v>
      </c>
      <c r="BZ29" s="26">
        <f t="shared" si="76"/>
        <v>0</v>
      </c>
      <c r="CA29" s="26">
        <f t="shared" si="76"/>
        <v>0</v>
      </c>
      <c r="CB29" s="26"/>
      <c r="CC29" s="26">
        <f>SUM(BV29:CB29)</f>
        <v>7</v>
      </c>
    </row>
    <row r="30" spans="1:82">
      <c r="A30" s="25" t="s">
        <v>32</v>
      </c>
      <c r="B30" s="26">
        <v>1</v>
      </c>
      <c r="C30" s="26"/>
      <c r="D30" s="26"/>
      <c r="E30" s="26"/>
      <c r="F30" s="26"/>
      <c r="G30" s="26"/>
      <c r="H30" s="26"/>
      <c r="I30" s="26">
        <f t="shared" si="68"/>
        <v>1</v>
      </c>
      <c r="K30" s="26">
        <v>1</v>
      </c>
      <c r="L30" s="26"/>
      <c r="M30" s="26"/>
      <c r="N30" s="26"/>
      <c r="O30" s="26"/>
      <c r="P30" s="26"/>
      <c r="Q30" s="26"/>
      <c r="R30" s="26">
        <f t="shared" si="69"/>
        <v>1</v>
      </c>
      <c r="T30" s="26">
        <v>1</v>
      </c>
      <c r="U30" s="26"/>
      <c r="V30" s="26"/>
      <c r="W30" s="26"/>
      <c r="X30" s="26"/>
      <c r="Y30" s="26"/>
      <c r="Z30" s="26"/>
      <c r="AA30" s="26">
        <f t="shared" si="70"/>
        <v>1</v>
      </c>
      <c r="AC30" s="26">
        <v>2</v>
      </c>
      <c r="AD30" s="26"/>
      <c r="AE30" s="26"/>
      <c r="AF30" s="26"/>
      <c r="AG30" s="26"/>
      <c r="AH30" s="26"/>
      <c r="AI30" s="26"/>
      <c r="AJ30" s="26">
        <f t="shared" si="71"/>
        <v>2</v>
      </c>
      <c r="AL30" s="26">
        <v>3</v>
      </c>
      <c r="AM30" s="26"/>
      <c r="AN30" s="26"/>
      <c r="AO30" s="26"/>
      <c r="AP30" s="26"/>
      <c r="AQ30" s="26"/>
      <c r="AR30" s="26"/>
      <c r="AS30" s="26">
        <f t="shared" si="72"/>
        <v>3</v>
      </c>
      <c r="AU30" s="26"/>
      <c r="AV30" s="26"/>
      <c r="AW30" s="26"/>
      <c r="AX30" s="26"/>
      <c r="AY30" s="26"/>
      <c r="AZ30" s="26"/>
      <c r="BA30" s="26"/>
      <c r="BB30" s="26">
        <f t="shared" si="73"/>
        <v>0</v>
      </c>
      <c r="BD30" s="26">
        <v>0</v>
      </c>
      <c r="BE30" s="26"/>
      <c r="BF30" s="26"/>
      <c r="BG30" s="26"/>
      <c r="BH30" s="26"/>
      <c r="BI30" s="26"/>
      <c r="BJ30" s="26"/>
      <c r="BK30" s="26">
        <f t="shared" si="74"/>
        <v>0</v>
      </c>
      <c r="BM30" s="26">
        <v>1</v>
      </c>
      <c r="BN30" s="26"/>
      <c r="BO30" s="26"/>
      <c r="BP30" s="26"/>
      <c r="BQ30" s="26"/>
      <c r="BR30" s="26"/>
      <c r="BS30" s="26"/>
      <c r="BT30" s="26">
        <f t="shared" si="75"/>
        <v>1</v>
      </c>
      <c r="BV30" s="26">
        <f t="shared" si="78"/>
        <v>9</v>
      </c>
      <c r="BW30" s="26">
        <f t="shared" si="76"/>
        <v>0</v>
      </c>
      <c r="BX30" s="26">
        <f t="shared" si="76"/>
        <v>0</v>
      </c>
      <c r="BY30" s="26">
        <f t="shared" si="76"/>
        <v>0</v>
      </c>
      <c r="BZ30" s="26">
        <f t="shared" si="76"/>
        <v>0</v>
      </c>
      <c r="CA30" s="26">
        <f t="shared" si="76"/>
        <v>0</v>
      </c>
      <c r="CB30" s="26"/>
      <c r="CC30" s="26">
        <f t="shared" ref="CC30:CC32" si="79">SUM(BV30:CB30)</f>
        <v>9</v>
      </c>
    </row>
    <row r="31" spans="1:82">
      <c r="A31" s="25" t="s">
        <v>33</v>
      </c>
      <c r="B31" s="26">
        <v>1</v>
      </c>
      <c r="C31" s="26"/>
      <c r="D31" s="26"/>
      <c r="E31" s="26"/>
      <c r="F31" s="26"/>
      <c r="G31" s="26"/>
      <c r="H31" s="26"/>
      <c r="I31" s="26">
        <f t="shared" si="68"/>
        <v>1</v>
      </c>
      <c r="K31" s="26">
        <v>1</v>
      </c>
      <c r="L31" s="26"/>
      <c r="M31" s="26"/>
      <c r="N31" s="26"/>
      <c r="O31" s="26"/>
      <c r="P31" s="26"/>
      <c r="Q31" s="26"/>
      <c r="R31" s="26">
        <f t="shared" si="69"/>
        <v>1</v>
      </c>
      <c r="T31" s="26">
        <v>1</v>
      </c>
      <c r="U31" s="26"/>
      <c r="V31" s="26"/>
      <c r="W31" s="26"/>
      <c r="X31" s="26"/>
      <c r="Y31" s="26"/>
      <c r="Z31" s="26"/>
      <c r="AA31" s="26">
        <f t="shared" si="70"/>
        <v>1</v>
      </c>
      <c r="AC31" s="26">
        <v>3</v>
      </c>
      <c r="AD31" s="26"/>
      <c r="AE31" s="26"/>
      <c r="AF31" s="26"/>
      <c r="AG31" s="26"/>
      <c r="AH31" s="26"/>
      <c r="AI31" s="26"/>
      <c r="AJ31" s="26">
        <f t="shared" si="71"/>
        <v>3</v>
      </c>
      <c r="AL31" s="26">
        <v>2</v>
      </c>
      <c r="AM31" s="26"/>
      <c r="AN31" s="26"/>
      <c r="AO31" s="26"/>
      <c r="AP31" s="26"/>
      <c r="AQ31" s="26"/>
      <c r="AR31" s="26"/>
      <c r="AS31" s="26">
        <f t="shared" si="72"/>
        <v>2</v>
      </c>
      <c r="AU31" s="26"/>
      <c r="AV31" s="26"/>
      <c r="AW31" s="26"/>
      <c r="AX31" s="26"/>
      <c r="AY31" s="26"/>
      <c r="AZ31" s="26"/>
      <c r="BA31" s="26"/>
      <c r="BB31" s="26">
        <f t="shared" si="73"/>
        <v>0</v>
      </c>
      <c r="BD31" s="26">
        <v>1</v>
      </c>
      <c r="BE31" s="26"/>
      <c r="BF31" s="26"/>
      <c r="BG31" s="26"/>
      <c r="BH31" s="26"/>
      <c r="BI31" s="26"/>
      <c r="BJ31" s="26"/>
      <c r="BK31" s="26">
        <f t="shared" si="74"/>
        <v>1</v>
      </c>
      <c r="BM31" s="26"/>
      <c r="BN31" s="26"/>
      <c r="BO31" s="26"/>
      <c r="BP31" s="26"/>
      <c r="BQ31" s="26"/>
      <c r="BR31" s="26"/>
      <c r="BS31" s="26"/>
      <c r="BT31" s="26">
        <f t="shared" si="75"/>
        <v>0</v>
      </c>
      <c r="BV31" s="26">
        <f t="shared" si="78"/>
        <v>9</v>
      </c>
      <c r="BW31" s="26">
        <f t="shared" si="76"/>
        <v>0</v>
      </c>
      <c r="BX31" s="26">
        <f t="shared" si="76"/>
        <v>0</v>
      </c>
      <c r="BY31" s="26">
        <f t="shared" si="76"/>
        <v>0</v>
      </c>
      <c r="BZ31" s="26">
        <f t="shared" si="76"/>
        <v>0</v>
      </c>
      <c r="CA31" s="26">
        <f t="shared" si="76"/>
        <v>0</v>
      </c>
      <c r="CB31" s="26"/>
      <c r="CC31" s="26">
        <f t="shared" si="79"/>
        <v>9</v>
      </c>
    </row>
    <row r="32" spans="1:82">
      <c r="A32" s="28" t="s">
        <v>34</v>
      </c>
      <c r="B32" s="26">
        <v>1</v>
      </c>
      <c r="C32" s="26"/>
      <c r="D32" s="26"/>
      <c r="E32" s="26"/>
      <c r="F32" s="26"/>
      <c r="G32" s="26"/>
      <c r="H32" s="26"/>
      <c r="I32" s="26">
        <f t="shared" si="68"/>
        <v>1</v>
      </c>
      <c r="K32" s="26">
        <v>1</v>
      </c>
      <c r="L32" s="26"/>
      <c r="M32" s="26"/>
      <c r="N32" s="26"/>
      <c r="O32" s="26"/>
      <c r="P32" s="26"/>
      <c r="Q32" s="26"/>
      <c r="R32" s="26">
        <f t="shared" si="69"/>
        <v>1</v>
      </c>
      <c r="T32" s="26">
        <v>1</v>
      </c>
      <c r="U32" s="26"/>
      <c r="V32" s="26"/>
      <c r="W32" s="26"/>
      <c r="X32" s="26"/>
      <c r="Y32" s="26"/>
      <c r="Z32" s="26"/>
      <c r="AA32" s="26">
        <f t="shared" si="70"/>
        <v>1</v>
      </c>
      <c r="AC32" s="26">
        <v>3</v>
      </c>
      <c r="AD32" s="26"/>
      <c r="AE32" s="26"/>
      <c r="AF32" s="26"/>
      <c r="AG32" s="26"/>
      <c r="AH32" s="26"/>
      <c r="AI32" s="26"/>
      <c r="AJ32" s="26">
        <f t="shared" si="71"/>
        <v>3</v>
      </c>
      <c r="AL32" s="26">
        <v>2</v>
      </c>
      <c r="AM32" s="26"/>
      <c r="AN32" s="26"/>
      <c r="AO32" s="26"/>
      <c r="AP32" s="26"/>
      <c r="AQ32" s="26"/>
      <c r="AR32" s="26"/>
      <c r="AS32" s="26">
        <f t="shared" si="72"/>
        <v>2</v>
      </c>
      <c r="AU32" s="26"/>
      <c r="AV32" s="26"/>
      <c r="AW32" s="26"/>
      <c r="AX32" s="26"/>
      <c r="AY32" s="26"/>
      <c r="AZ32" s="26"/>
      <c r="BA32" s="26"/>
      <c r="BB32" s="26">
        <f t="shared" si="73"/>
        <v>0</v>
      </c>
      <c r="BD32" s="26">
        <v>1</v>
      </c>
      <c r="BE32" s="26"/>
      <c r="BF32" s="26"/>
      <c r="BG32" s="26"/>
      <c r="BH32" s="26"/>
      <c r="BI32" s="26"/>
      <c r="BJ32" s="26"/>
      <c r="BK32" s="26">
        <f t="shared" si="74"/>
        <v>1</v>
      </c>
      <c r="BM32" s="26"/>
      <c r="BN32" s="26"/>
      <c r="BO32" s="26"/>
      <c r="BP32" s="26"/>
      <c r="BQ32" s="26"/>
      <c r="BR32" s="26"/>
      <c r="BS32" s="26"/>
      <c r="BT32" s="26">
        <f t="shared" si="75"/>
        <v>0</v>
      </c>
      <c r="BV32" s="26">
        <f t="shared" si="78"/>
        <v>9</v>
      </c>
      <c r="BW32" s="26">
        <f t="shared" si="76"/>
        <v>0</v>
      </c>
      <c r="BX32" s="26">
        <f t="shared" si="76"/>
        <v>0</v>
      </c>
      <c r="BY32" s="26">
        <f t="shared" si="76"/>
        <v>0</v>
      </c>
      <c r="BZ32" s="26">
        <f t="shared" si="76"/>
        <v>0</v>
      </c>
      <c r="CA32" s="26">
        <f t="shared" si="76"/>
        <v>0</v>
      </c>
      <c r="CB32" s="26"/>
      <c r="CC32" s="26">
        <f t="shared" si="79"/>
        <v>9</v>
      </c>
    </row>
    <row r="33" spans="1:81">
      <c r="A33" s="28" t="s">
        <v>35</v>
      </c>
      <c r="B33" s="26">
        <v>1</v>
      </c>
      <c r="C33" s="26"/>
      <c r="D33" s="26"/>
      <c r="E33" s="26"/>
      <c r="F33" s="26"/>
      <c r="G33" s="26"/>
      <c r="H33" s="26"/>
      <c r="I33" s="26">
        <f>SUM(B33:H33)</f>
        <v>1</v>
      </c>
      <c r="K33" s="26">
        <v>1</v>
      </c>
      <c r="L33" s="26"/>
      <c r="M33" s="26"/>
      <c r="N33" s="26"/>
      <c r="O33" s="26"/>
      <c r="P33" s="26"/>
      <c r="Q33" s="26"/>
      <c r="R33" s="26">
        <f>SUM(K33:Q33)</f>
        <v>1</v>
      </c>
      <c r="T33" s="26">
        <v>1</v>
      </c>
      <c r="U33" s="26"/>
      <c r="V33" s="26"/>
      <c r="W33" s="26"/>
      <c r="X33" s="26"/>
      <c r="Y33" s="26"/>
      <c r="Z33" s="26"/>
      <c r="AA33" s="26">
        <f>SUM(T33:Z33)</f>
        <v>1</v>
      </c>
      <c r="AC33" s="26">
        <v>2</v>
      </c>
      <c r="AD33" s="26"/>
      <c r="AE33" s="26"/>
      <c r="AF33" s="26"/>
      <c r="AG33" s="26"/>
      <c r="AH33" s="26"/>
      <c r="AI33" s="26"/>
      <c r="AJ33" s="26">
        <f>SUM(AC33:AI33)</f>
        <v>2</v>
      </c>
      <c r="AL33" s="26">
        <v>2</v>
      </c>
      <c r="AM33" s="26"/>
      <c r="AN33" s="26"/>
      <c r="AO33" s="26"/>
      <c r="AP33" s="26"/>
      <c r="AQ33" s="26"/>
      <c r="AR33" s="26"/>
      <c r="AS33" s="26">
        <f>SUM(AL33:AR33)</f>
        <v>2</v>
      </c>
      <c r="AU33" s="26"/>
      <c r="AV33" s="26"/>
      <c r="AW33" s="26"/>
      <c r="AX33" s="26"/>
      <c r="AY33" s="26"/>
      <c r="AZ33" s="26"/>
      <c r="BA33" s="26"/>
      <c r="BB33" s="26">
        <f>SUM(AU33:BA33)</f>
        <v>0</v>
      </c>
      <c r="BD33" s="26">
        <v>0</v>
      </c>
      <c r="BE33" s="26"/>
      <c r="BF33" s="26"/>
      <c r="BG33" s="26"/>
      <c r="BH33" s="26"/>
      <c r="BI33" s="26"/>
      <c r="BJ33" s="26"/>
      <c r="BK33" s="26">
        <f>SUM(BD33:BJ33)</f>
        <v>0</v>
      </c>
      <c r="BM33" s="26"/>
      <c r="BN33" s="26"/>
      <c r="BO33" s="26"/>
      <c r="BP33" s="26"/>
      <c r="BQ33" s="26"/>
      <c r="BR33" s="26"/>
      <c r="BS33" s="26"/>
      <c r="BT33" s="26">
        <f>SUM(BM33:BS33)</f>
        <v>0</v>
      </c>
      <c r="BV33" s="26">
        <f t="shared" si="78"/>
        <v>7</v>
      </c>
      <c r="BW33" s="26">
        <f t="shared" si="76"/>
        <v>0</v>
      </c>
      <c r="BX33" s="26">
        <f t="shared" si="76"/>
        <v>0</v>
      </c>
      <c r="BY33" s="26">
        <f t="shared" si="76"/>
        <v>0</v>
      </c>
      <c r="BZ33" s="26">
        <f t="shared" si="76"/>
        <v>0</v>
      </c>
      <c r="CA33" s="26">
        <f t="shared" si="76"/>
        <v>0</v>
      </c>
      <c r="CB33" s="26"/>
      <c r="CC33" s="26">
        <f>SUM(BV33:CB33)</f>
        <v>7</v>
      </c>
    </row>
    <row r="34" spans="1:81">
      <c r="A34" s="28" t="s">
        <v>36</v>
      </c>
      <c r="B34" s="26">
        <v>1</v>
      </c>
      <c r="C34" s="26"/>
      <c r="D34" s="26"/>
      <c r="E34" s="26"/>
      <c r="F34" s="26"/>
      <c r="G34" s="26"/>
      <c r="H34" s="26"/>
      <c r="I34" s="26">
        <f>SUM(B34:H34)</f>
        <v>1</v>
      </c>
      <c r="K34" s="26">
        <v>2</v>
      </c>
      <c r="L34" s="26"/>
      <c r="M34" s="26"/>
      <c r="N34" s="26"/>
      <c r="O34" s="26"/>
      <c r="P34" s="26"/>
      <c r="Q34" s="26"/>
      <c r="R34" s="26">
        <f>SUM(K34:Q34)</f>
        <v>2</v>
      </c>
      <c r="T34" s="26">
        <v>3</v>
      </c>
      <c r="U34" s="26"/>
      <c r="V34" s="26"/>
      <c r="W34" s="26"/>
      <c r="X34" s="26"/>
      <c r="Y34" s="26"/>
      <c r="Z34" s="26"/>
      <c r="AA34" s="26">
        <f>SUM(T34:Z34)</f>
        <v>3</v>
      </c>
      <c r="AC34" s="26">
        <v>3</v>
      </c>
      <c r="AD34" s="26"/>
      <c r="AE34" s="26"/>
      <c r="AF34" s="26"/>
      <c r="AG34" s="26"/>
      <c r="AH34" s="26"/>
      <c r="AI34" s="26"/>
      <c r="AJ34" s="26">
        <f>SUM(AC34:AI34)</f>
        <v>3</v>
      </c>
      <c r="AL34" s="26">
        <v>3</v>
      </c>
      <c r="AM34" s="26"/>
      <c r="AN34" s="26"/>
      <c r="AO34" s="26"/>
      <c r="AP34" s="26"/>
      <c r="AQ34" s="26"/>
      <c r="AR34" s="26"/>
      <c r="AS34" s="26">
        <f>SUM(AL34:AR34)</f>
        <v>3</v>
      </c>
      <c r="AU34" s="26"/>
      <c r="AV34" s="26"/>
      <c r="AW34" s="26"/>
      <c r="AX34" s="26"/>
      <c r="AY34" s="26"/>
      <c r="AZ34" s="26"/>
      <c r="BA34" s="26"/>
      <c r="BB34" s="26">
        <f>SUM(AU34:BA34)</f>
        <v>0</v>
      </c>
      <c r="BD34" s="26">
        <v>0</v>
      </c>
      <c r="BE34" s="26"/>
      <c r="BF34" s="26"/>
      <c r="BG34" s="26"/>
      <c r="BH34" s="26"/>
      <c r="BI34" s="26"/>
      <c r="BJ34" s="26"/>
      <c r="BK34" s="26">
        <f>SUM(BD34:BJ34)</f>
        <v>0</v>
      </c>
      <c r="BM34" s="26"/>
      <c r="BN34" s="26"/>
      <c r="BO34" s="26"/>
      <c r="BP34" s="26"/>
      <c r="BQ34" s="26"/>
      <c r="BR34" s="26"/>
      <c r="BS34" s="26"/>
      <c r="BT34" s="26">
        <f>SUM(BM34:BS34)</f>
        <v>0</v>
      </c>
      <c r="BV34" s="26">
        <f t="shared" si="78"/>
        <v>12</v>
      </c>
      <c r="BW34" s="26">
        <f t="shared" si="76"/>
        <v>0</v>
      </c>
      <c r="BX34" s="26">
        <f t="shared" si="76"/>
        <v>0</v>
      </c>
      <c r="BY34" s="26">
        <f t="shared" si="76"/>
        <v>0</v>
      </c>
      <c r="BZ34" s="26">
        <f t="shared" si="76"/>
        <v>0</v>
      </c>
      <c r="CA34" s="26">
        <f t="shared" si="76"/>
        <v>0</v>
      </c>
      <c r="CB34" s="26"/>
      <c r="CC34" s="26">
        <f>SUM(BV34:CB34)</f>
        <v>12</v>
      </c>
    </row>
    <row r="35" spans="1:81">
      <c r="A35" s="29" t="s">
        <v>37</v>
      </c>
      <c r="B35" s="26">
        <v>0.5</v>
      </c>
      <c r="C35" s="26"/>
      <c r="D35" s="26"/>
      <c r="E35" s="26"/>
      <c r="F35" s="26"/>
      <c r="G35" s="26"/>
      <c r="H35" s="26"/>
      <c r="I35" s="26">
        <f>SUM(B35:H35)</f>
        <v>0.5</v>
      </c>
      <c r="K35" s="26">
        <v>1</v>
      </c>
      <c r="L35" s="26"/>
      <c r="M35" s="26"/>
      <c r="N35" s="26"/>
      <c r="O35" s="26"/>
      <c r="P35" s="26"/>
      <c r="Q35" s="26"/>
      <c r="R35" s="26">
        <f>SUM(K35:Q35)</f>
        <v>1</v>
      </c>
      <c r="T35" s="26">
        <v>2</v>
      </c>
      <c r="U35" s="26"/>
      <c r="V35" s="26"/>
      <c r="W35" s="26"/>
      <c r="X35" s="26"/>
      <c r="Y35" s="26"/>
      <c r="Z35" s="26"/>
      <c r="AA35" s="26">
        <f>SUM(T35:Z35)</f>
        <v>2</v>
      </c>
      <c r="AC35" s="26">
        <v>1</v>
      </c>
      <c r="AD35" s="26"/>
      <c r="AE35" s="26"/>
      <c r="AF35" s="26"/>
      <c r="AG35" s="26"/>
      <c r="AH35" s="26"/>
      <c r="AI35" s="26"/>
      <c r="AJ35" s="26">
        <f>SUM(AC35:AI35)</f>
        <v>1</v>
      </c>
      <c r="AL35" s="26">
        <v>2</v>
      </c>
      <c r="AM35" s="26"/>
      <c r="AN35" s="26"/>
      <c r="AO35" s="26"/>
      <c r="AP35" s="26"/>
      <c r="AQ35" s="26"/>
      <c r="AR35" s="26"/>
      <c r="AS35" s="26">
        <f>SUM(AL35:AR35)</f>
        <v>2</v>
      </c>
      <c r="AU35" s="26"/>
      <c r="AV35" s="26"/>
      <c r="AW35" s="26"/>
      <c r="AX35" s="26"/>
      <c r="AY35" s="26"/>
      <c r="AZ35" s="26"/>
      <c r="BA35" s="26"/>
      <c r="BB35" s="26">
        <f>SUM(AU35:BA35)</f>
        <v>0</v>
      </c>
      <c r="BD35" s="26">
        <v>0</v>
      </c>
      <c r="BE35" s="26"/>
      <c r="BF35" s="26"/>
      <c r="BG35" s="26"/>
      <c r="BH35" s="26"/>
      <c r="BI35" s="26"/>
      <c r="BJ35" s="26"/>
      <c r="BK35" s="26">
        <f>SUM(BD35:BJ35)</f>
        <v>0</v>
      </c>
      <c r="BM35" s="26">
        <v>0</v>
      </c>
      <c r="BN35" s="26"/>
      <c r="BO35" s="26"/>
      <c r="BP35" s="26"/>
      <c r="BQ35" s="26"/>
      <c r="BR35" s="26"/>
      <c r="BS35" s="26"/>
      <c r="BT35" s="26">
        <f>SUM(BM35:BS35)</f>
        <v>0</v>
      </c>
      <c r="BV35" s="26">
        <f t="shared" si="78"/>
        <v>6.5</v>
      </c>
      <c r="BW35" s="26">
        <f t="shared" si="76"/>
        <v>0</v>
      </c>
      <c r="BX35" s="26">
        <f t="shared" si="76"/>
        <v>0</v>
      </c>
      <c r="BY35" s="26">
        <f t="shared" si="76"/>
        <v>0</v>
      </c>
      <c r="BZ35" s="26">
        <f t="shared" si="76"/>
        <v>0</v>
      </c>
      <c r="CA35" s="26">
        <f t="shared" si="76"/>
        <v>0</v>
      </c>
      <c r="CB35" s="26"/>
      <c r="CC35" s="26">
        <f>SUM(BV35:CB35)</f>
        <v>6.5</v>
      </c>
    </row>
    <row r="36" spans="1:81" ht="15">
      <c r="A36" s="24" t="s">
        <v>38</v>
      </c>
      <c r="B36" s="30">
        <f>SUM(B27:B35)</f>
        <v>41.5</v>
      </c>
      <c r="C36" s="30">
        <f t="shared" ref="C36:H36" si="80">SUM(C27:C35)</f>
        <v>5</v>
      </c>
      <c r="D36" s="30">
        <f t="shared" si="80"/>
        <v>0</v>
      </c>
      <c r="E36" s="30"/>
      <c r="F36" s="30">
        <f t="shared" si="80"/>
        <v>0</v>
      </c>
      <c r="G36" s="30">
        <f t="shared" si="80"/>
        <v>0</v>
      </c>
      <c r="H36" s="30">
        <f t="shared" si="80"/>
        <v>0</v>
      </c>
      <c r="I36" s="30">
        <f>SUM(I27:I35)</f>
        <v>46.5</v>
      </c>
      <c r="J36" s="7"/>
      <c r="K36" s="30">
        <f>SUM(K27:K35)</f>
        <v>44</v>
      </c>
      <c r="L36" s="30">
        <f t="shared" ref="L36:Q36" si="81">SUM(L27:L35)</f>
        <v>4</v>
      </c>
      <c r="M36" s="30">
        <f t="shared" si="81"/>
        <v>0</v>
      </c>
      <c r="N36" s="30"/>
      <c r="O36" s="30">
        <f t="shared" si="81"/>
        <v>0</v>
      </c>
      <c r="P36" s="30">
        <f t="shared" si="81"/>
        <v>0</v>
      </c>
      <c r="Q36" s="30">
        <f t="shared" si="81"/>
        <v>0</v>
      </c>
      <c r="R36" s="30">
        <f>SUM(R27:R35)</f>
        <v>48</v>
      </c>
      <c r="T36" s="30">
        <f>SUM(T27:T35)</f>
        <v>56</v>
      </c>
      <c r="U36" s="30">
        <f t="shared" ref="U36:Z36" si="82">SUM(U27:U35)</f>
        <v>5</v>
      </c>
      <c r="V36" s="30">
        <f t="shared" si="82"/>
        <v>0</v>
      </c>
      <c r="W36" s="30"/>
      <c r="X36" s="30">
        <f t="shared" si="82"/>
        <v>0</v>
      </c>
      <c r="Y36" s="30">
        <f t="shared" si="82"/>
        <v>0</v>
      </c>
      <c r="Z36" s="30">
        <f t="shared" si="82"/>
        <v>0</v>
      </c>
      <c r="AA36" s="30">
        <f>SUM(AA27:AA35)</f>
        <v>61</v>
      </c>
      <c r="AC36" s="30">
        <f>SUM(AC27:AC35)</f>
        <v>98</v>
      </c>
      <c r="AD36" s="30">
        <f t="shared" ref="AD36:AI36" si="83">SUM(AD27:AD35)</f>
        <v>13</v>
      </c>
      <c r="AE36" s="30">
        <f t="shared" si="83"/>
        <v>0</v>
      </c>
      <c r="AF36" s="30"/>
      <c r="AG36" s="30">
        <f t="shared" si="83"/>
        <v>0</v>
      </c>
      <c r="AH36" s="30">
        <f t="shared" si="83"/>
        <v>0</v>
      </c>
      <c r="AI36" s="30">
        <f t="shared" si="83"/>
        <v>0</v>
      </c>
      <c r="AJ36" s="30">
        <f>SUM(AJ27:AJ35)</f>
        <v>111</v>
      </c>
      <c r="AL36" s="30">
        <f>SUM(AL27:AL35)</f>
        <v>96</v>
      </c>
      <c r="AM36" s="30">
        <f t="shared" ref="AM36:AR36" si="84">SUM(AM27:AM35)</f>
        <v>12</v>
      </c>
      <c r="AN36" s="30">
        <f t="shared" si="84"/>
        <v>0</v>
      </c>
      <c r="AO36" s="30"/>
      <c r="AP36" s="30">
        <f t="shared" si="84"/>
        <v>0</v>
      </c>
      <c r="AQ36" s="30">
        <f t="shared" si="84"/>
        <v>0</v>
      </c>
      <c r="AR36" s="30">
        <f t="shared" si="84"/>
        <v>0</v>
      </c>
      <c r="AS36" s="30">
        <f>SUM(AS27:AS35)</f>
        <v>108</v>
      </c>
      <c r="AU36" s="30">
        <f>SUM(AU27:AU35)</f>
        <v>0</v>
      </c>
      <c r="AV36" s="30">
        <f t="shared" ref="AV36:BA36" si="85">SUM(AV27:AV35)</f>
        <v>1</v>
      </c>
      <c r="AW36" s="30">
        <f t="shared" si="85"/>
        <v>0</v>
      </c>
      <c r="AX36" s="30"/>
      <c r="AY36" s="30">
        <f t="shared" si="85"/>
        <v>0</v>
      </c>
      <c r="AZ36" s="30">
        <f t="shared" si="85"/>
        <v>0</v>
      </c>
      <c r="BA36" s="30">
        <f t="shared" si="85"/>
        <v>0</v>
      </c>
      <c r="BB36" s="30">
        <f>SUM(BB27:BB35)</f>
        <v>1</v>
      </c>
      <c r="BD36" s="30">
        <f>SUM(BD27:BD35)</f>
        <v>16</v>
      </c>
      <c r="BE36" s="30">
        <f t="shared" ref="BE36:BJ36" si="86">SUM(BE27:BE35)</f>
        <v>1</v>
      </c>
      <c r="BF36" s="30">
        <f t="shared" si="86"/>
        <v>0</v>
      </c>
      <c r="BG36" s="30"/>
      <c r="BH36" s="30">
        <f t="shared" si="86"/>
        <v>0</v>
      </c>
      <c r="BI36" s="30">
        <f t="shared" si="86"/>
        <v>0</v>
      </c>
      <c r="BJ36" s="30">
        <f t="shared" si="86"/>
        <v>0</v>
      </c>
      <c r="BK36" s="30">
        <f>SUM(BK27:BK35)</f>
        <v>17</v>
      </c>
      <c r="BM36" s="30">
        <f>SUM(BM27:BM35)</f>
        <v>1</v>
      </c>
      <c r="BN36" s="30">
        <f t="shared" ref="BN36:BS36" si="87">SUM(BN27:BN35)</f>
        <v>0</v>
      </c>
      <c r="BO36" s="30">
        <f t="shared" si="87"/>
        <v>0</v>
      </c>
      <c r="BP36" s="30"/>
      <c r="BQ36" s="30">
        <f t="shared" si="87"/>
        <v>0</v>
      </c>
      <c r="BR36" s="30">
        <f t="shared" si="87"/>
        <v>0</v>
      </c>
      <c r="BS36" s="30">
        <f t="shared" si="87"/>
        <v>0</v>
      </c>
      <c r="BT36" s="30">
        <f>SUM(BT27:BT35)</f>
        <v>1</v>
      </c>
      <c r="BV36" s="30">
        <f>SUM(BV27:BV35)</f>
        <v>352.5</v>
      </c>
      <c r="BW36" s="30">
        <f t="shared" ref="BW36:BX36" si="88">SUM(BW27:BW35)</f>
        <v>41</v>
      </c>
      <c r="BX36" s="30">
        <f t="shared" si="88"/>
        <v>0</v>
      </c>
      <c r="BY36" s="30"/>
      <c r="BZ36" s="30">
        <f t="shared" ref="BZ36:CB36" si="89">SUM(BZ27:BZ35)</f>
        <v>0</v>
      </c>
      <c r="CA36" s="30">
        <f t="shared" si="89"/>
        <v>0</v>
      </c>
      <c r="CB36" s="30">
        <f t="shared" si="89"/>
        <v>0</v>
      </c>
      <c r="CC36" s="30">
        <f>SUM(CC27:CC35)</f>
        <v>393.5</v>
      </c>
    </row>
    <row r="37" spans="1:81" ht="15">
      <c r="A37" s="31"/>
      <c r="B37" s="5"/>
      <c r="C37" s="5"/>
      <c r="D37" s="5"/>
      <c r="E37" s="5"/>
      <c r="F37" s="5"/>
      <c r="G37" s="5"/>
      <c r="H37" s="5"/>
      <c r="I37" s="5"/>
      <c r="J37" s="7"/>
      <c r="K37" s="5"/>
      <c r="L37" s="5"/>
      <c r="M37" s="5"/>
      <c r="N37" s="5"/>
      <c r="O37" s="5"/>
      <c r="P37" s="5"/>
      <c r="Q37" s="5"/>
      <c r="R37" s="5"/>
      <c r="T37" s="5"/>
      <c r="U37" s="5"/>
      <c r="V37" s="5"/>
      <c r="W37" s="5"/>
      <c r="X37" s="5"/>
      <c r="Y37" s="5"/>
      <c r="Z37" s="5"/>
      <c r="AA37" s="5"/>
      <c r="AC37" s="5"/>
      <c r="AD37" s="5"/>
      <c r="AE37" s="5"/>
      <c r="AF37" s="5"/>
      <c r="AG37" s="5"/>
      <c r="AH37" s="5"/>
      <c r="AI37" s="5"/>
      <c r="AJ37" s="5"/>
      <c r="AL37" s="5"/>
      <c r="AM37" s="5"/>
      <c r="AN37" s="5"/>
      <c r="AO37" s="5"/>
      <c r="AP37" s="5"/>
      <c r="AQ37" s="5"/>
      <c r="AR37" s="5"/>
      <c r="AS37" s="5"/>
      <c r="AU37" s="5"/>
      <c r="AV37" s="5"/>
      <c r="AW37" s="5"/>
      <c r="AX37" s="5"/>
      <c r="AY37" s="5"/>
      <c r="AZ37" s="5"/>
      <c r="BA37" s="5"/>
      <c r="BB37" s="5"/>
      <c r="BD37" s="5"/>
      <c r="BE37" s="5"/>
      <c r="BF37" s="5"/>
      <c r="BG37" s="5"/>
      <c r="BH37" s="5"/>
      <c r="BI37" s="5"/>
      <c r="BJ37" s="5"/>
      <c r="BK37" s="5"/>
      <c r="BM37" s="5"/>
      <c r="BN37" s="5"/>
      <c r="BO37" s="5"/>
      <c r="BP37" s="5"/>
      <c r="BQ37" s="5"/>
      <c r="BR37" s="5"/>
      <c r="BS37" s="5"/>
      <c r="BT37" s="5"/>
      <c r="BV37" s="5"/>
      <c r="BW37" s="5"/>
      <c r="BX37" s="5"/>
      <c r="BY37" s="5"/>
      <c r="BZ37" s="5"/>
      <c r="CA37" s="5"/>
      <c r="CB37" s="5"/>
      <c r="CC37" s="5"/>
    </row>
    <row r="38" spans="1:81" ht="15">
      <c r="A38" s="24" t="s">
        <v>39</v>
      </c>
      <c r="B38" s="18" t="str">
        <f t="shared" ref="B38:I38" si="90">B1</f>
        <v>Operating</v>
      </c>
      <c r="C38" s="18" t="str">
        <f t="shared" si="90"/>
        <v>SPED</v>
      </c>
      <c r="D38" s="18" t="str">
        <f t="shared" si="90"/>
        <v>NSLP</v>
      </c>
      <c r="E38" s="18" t="str">
        <f t="shared" si="90"/>
        <v>Other</v>
      </c>
      <c r="F38" s="18" t="str">
        <f t="shared" si="90"/>
        <v>Title I</v>
      </c>
      <c r="G38" s="18" t="str">
        <f t="shared" si="90"/>
        <v>SGF</v>
      </c>
      <c r="H38" s="18" t="str">
        <f t="shared" si="90"/>
        <v>Title III</v>
      </c>
      <c r="I38" s="18" t="str">
        <f t="shared" si="90"/>
        <v>Horizon</v>
      </c>
      <c r="J38" s="19"/>
      <c r="K38" s="18" t="str">
        <f t="shared" ref="K38:R38" si="91">K1</f>
        <v>Operating</v>
      </c>
      <c r="L38" s="18" t="str">
        <f t="shared" si="91"/>
        <v>SPED</v>
      </c>
      <c r="M38" s="18" t="str">
        <f t="shared" si="91"/>
        <v>NSLP</v>
      </c>
      <c r="N38" s="18" t="str">
        <f t="shared" si="91"/>
        <v>Other</v>
      </c>
      <c r="O38" s="18" t="str">
        <f t="shared" si="91"/>
        <v>Title I</v>
      </c>
      <c r="P38" s="18" t="str">
        <f t="shared" si="91"/>
        <v>SGF</v>
      </c>
      <c r="Q38" s="18" t="str">
        <f t="shared" si="91"/>
        <v>Title III</v>
      </c>
      <c r="R38" s="18" t="str">
        <f t="shared" si="91"/>
        <v>St. Rose</v>
      </c>
      <c r="T38" s="18" t="str">
        <f t="shared" ref="T38:AA38" si="92">T1</f>
        <v>Operating</v>
      </c>
      <c r="U38" s="18" t="str">
        <f t="shared" si="92"/>
        <v>SPED</v>
      </c>
      <c r="V38" s="18" t="str">
        <f t="shared" si="92"/>
        <v>NSLP</v>
      </c>
      <c r="W38" s="18" t="str">
        <f t="shared" si="92"/>
        <v>Other</v>
      </c>
      <c r="X38" s="18" t="str">
        <f t="shared" si="92"/>
        <v>Title I</v>
      </c>
      <c r="Y38" s="18" t="str">
        <f t="shared" si="92"/>
        <v>SGF</v>
      </c>
      <c r="Z38" s="18" t="str">
        <f t="shared" si="92"/>
        <v>Title III</v>
      </c>
      <c r="AA38" s="18" t="str">
        <f t="shared" si="92"/>
        <v>Inspirada</v>
      </c>
      <c r="AC38" s="18" t="str">
        <f t="shared" ref="AC38:AJ38" si="93">AC1</f>
        <v>Operating</v>
      </c>
      <c r="AD38" s="18" t="str">
        <f t="shared" si="93"/>
        <v>SPED</v>
      </c>
      <c r="AE38" s="18" t="str">
        <f t="shared" si="93"/>
        <v>NSLP</v>
      </c>
      <c r="AF38" s="18" t="str">
        <f t="shared" si="93"/>
        <v>Other</v>
      </c>
      <c r="AG38" s="18" t="str">
        <f t="shared" si="93"/>
        <v>Title I</v>
      </c>
      <c r="AH38" s="18" t="str">
        <f t="shared" si="93"/>
        <v>SGF</v>
      </c>
      <c r="AI38" s="18" t="str">
        <f t="shared" si="93"/>
        <v>Title III</v>
      </c>
      <c r="AJ38" s="18" t="str">
        <f t="shared" si="93"/>
        <v>Cadence</v>
      </c>
      <c r="AL38" s="18" t="str">
        <f t="shared" ref="AL38:AS38" si="94">AL1</f>
        <v>Operating</v>
      </c>
      <c r="AM38" s="18" t="str">
        <f t="shared" si="94"/>
        <v>SPED</v>
      </c>
      <c r="AN38" s="18" t="str">
        <f t="shared" si="94"/>
        <v>NSLP</v>
      </c>
      <c r="AO38" s="18" t="str">
        <f t="shared" si="94"/>
        <v>Other</v>
      </c>
      <c r="AP38" s="18" t="str">
        <f t="shared" si="94"/>
        <v>Title I</v>
      </c>
      <c r="AQ38" s="18" t="str">
        <f t="shared" si="94"/>
        <v>SGF</v>
      </c>
      <c r="AR38" s="18" t="str">
        <f t="shared" si="94"/>
        <v>Title III</v>
      </c>
      <c r="AS38" s="18" t="str">
        <f t="shared" si="94"/>
        <v>Sloan</v>
      </c>
      <c r="AU38" s="18" t="str">
        <f t="shared" ref="AU38:BB38" si="95">AU1</f>
        <v>Operating</v>
      </c>
      <c r="AV38" s="18" t="str">
        <f t="shared" si="95"/>
        <v>SPED</v>
      </c>
      <c r="AW38" s="18" t="str">
        <f t="shared" si="95"/>
        <v>NSLP</v>
      </c>
      <c r="AX38" s="18" t="str">
        <f t="shared" si="95"/>
        <v>Other</v>
      </c>
      <c r="AY38" s="18" t="str">
        <f t="shared" si="95"/>
        <v>Title I</v>
      </c>
      <c r="AZ38" s="18" t="str">
        <f t="shared" si="95"/>
        <v>SGF</v>
      </c>
      <c r="BA38" s="18" t="str">
        <f t="shared" si="95"/>
        <v>Title III</v>
      </c>
      <c r="BB38" s="18" t="str">
        <f t="shared" si="95"/>
        <v>Virtual</v>
      </c>
      <c r="BD38" s="18" t="str">
        <f t="shared" ref="BD38:BK38" si="96">BD1</f>
        <v>Operating</v>
      </c>
      <c r="BE38" s="18" t="str">
        <f t="shared" si="96"/>
        <v>SPED</v>
      </c>
      <c r="BF38" s="18" t="str">
        <f t="shared" si="96"/>
        <v>NSLP</v>
      </c>
      <c r="BG38" s="18" t="str">
        <f t="shared" si="96"/>
        <v>Other</v>
      </c>
      <c r="BH38" s="18" t="str">
        <f t="shared" si="96"/>
        <v>Title I</v>
      </c>
      <c r="BI38" s="18" t="str">
        <f t="shared" si="96"/>
        <v>SGF</v>
      </c>
      <c r="BJ38" s="18" t="str">
        <f t="shared" si="96"/>
        <v>Title III</v>
      </c>
      <c r="BK38" s="18" t="str">
        <f t="shared" si="96"/>
        <v>Springs</v>
      </c>
      <c r="BM38" s="18" t="str">
        <f t="shared" ref="BM38:BT38" si="97">BM1</f>
        <v>Operating</v>
      </c>
      <c r="BN38" s="18" t="str">
        <f t="shared" si="97"/>
        <v>SPED</v>
      </c>
      <c r="BO38" s="18" t="str">
        <f t="shared" si="97"/>
        <v>NSLP</v>
      </c>
      <c r="BP38" s="18" t="str">
        <f t="shared" si="97"/>
        <v>Other</v>
      </c>
      <c r="BQ38" s="18" t="str">
        <f t="shared" si="97"/>
        <v>Title I</v>
      </c>
      <c r="BR38" s="18" t="str">
        <f t="shared" si="97"/>
        <v>SGF</v>
      </c>
      <c r="BS38" s="18" t="str">
        <f t="shared" si="97"/>
        <v>Title III</v>
      </c>
      <c r="BT38" s="18" t="str">
        <f t="shared" si="97"/>
        <v>Exec. Office</v>
      </c>
      <c r="BV38" s="18" t="str">
        <f t="shared" ref="BV38:CC38" si="98">BV1</f>
        <v>Operating</v>
      </c>
      <c r="BW38" s="18" t="str">
        <f t="shared" si="98"/>
        <v>SPED</v>
      </c>
      <c r="BX38" s="18" t="str">
        <f t="shared" si="98"/>
        <v>NSLP</v>
      </c>
      <c r="BY38" s="18" t="str">
        <f t="shared" si="98"/>
        <v>Other</v>
      </c>
      <c r="BZ38" s="18" t="str">
        <f t="shared" si="98"/>
        <v>Title I</v>
      </c>
      <c r="CA38" s="18" t="str">
        <f t="shared" si="98"/>
        <v>SGF</v>
      </c>
      <c r="CB38" s="18" t="str">
        <f t="shared" si="98"/>
        <v>Title III</v>
      </c>
      <c r="CC38" s="18" t="str">
        <f t="shared" si="98"/>
        <v>Systemwide</v>
      </c>
    </row>
    <row r="39" spans="1:81">
      <c r="A39" s="25" t="s">
        <v>40</v>
      </c>
      <c r="B39" s="27">
        <v>1</v>
      </c>
      <c r="C39" s="27"/>
      <c r="D39" s="27"/>
      <c r="E39" s="27"/>
      <c r="F39" s="27"/>
      <c r="G39" s="27"/>
      <c r="H39" s="27"/>
      <c r="I39" s="26">
        <f t="shared" ref="I39:I60" si="99">SUM(B39:H39)</f>
        <v>1</v>
      </c>
      <c r="K39" s="27">
        <v>1</v>
      </c>
      <c r="L39" s="27"/>
      <c r="M39" s="27"/>
      <c r="N39" s="27"/>
      <c r="O39" s="27"/>
      <c r="P39" s="27"/>
      <c r="Q39" s="27"/>
      <c r="R39" s="26">
        <f t="shared" ref="R39:R60" si="100">SUM(K39:Q39)</f>
        <v>1</v>
      </c>
      <c r="T39" s="27">
        <v>1</v>
      </c>
      <c r="U39" s="27"/>
      <c r="V39" s="27"/>
      <c r="W39" s="27"/>
      <c r="X39" s="27"/>
      <c r="Y39" s="27"/>
      <c r="Z39" s="27"/>
      <c r="AA39" s="26">
        <f t="shared" ref="AA39:AA60" si="101">SUM(T39:Z39)</f>
        <v>1</v>
      </c>
      <c r="AC39" s="27">
        <v>1</v>
      </c>
      <c r="AD39" s="27"/>
      <c r="AE39" s="27"/>
      <c r="AF39" s="27"/>
      <c r="AG39" s="27"/>
      <c r="AH39" s="27"/>
      <c r="AI39" s="27"/>
      <c r="AJ39" s="26">
        <f t="shared" ref="AJ39:AJ60" si="102">SUM(AC39:AI39)</f>
        <v>1</v>
      </c>
      <c r="AL39" s="27">
        <v>1</v>
      </c>
      <c r="AM39" s="27"/>
      <c r="AN39" s="27"/>
      <c r="AO39" s="27"/>
      <c r="AP39" s="27"/>
      <c r="AQ39" s="27"/>
      <c r="AR39" s="27"/>
      <c r="AS39" s="26">
        <f t="shared" ref="AS39:AS60" si="103">SUM(AL39:AR39)</f>
        <v>1</v>
      </c>
      <c r="AU39" s="27"/>
      <c r="AV39" s="27"/>
      <c r="AW39" s="27"/>
      <c r="AX39" s="27"/>
      <c r="AY39" s="27"/>
      <c r="AZ39" s="27"/>
      <c r="BA39" s="27"/>
      <c r="BB39" s="26">
        <f t="shared" ref="BB39:BB60" si="104">SUM(AU39:BA39)</f>
        <v>0</v>
      </c>
      <c r="BD39" s="27">
        <v>1</v>
      </c>
      <c r="BE39" s="27"/>
      <c r="BF39" s="27"/>
      <c r="BG39" s="27"/>
      <c r="BH39" s="27"/>
      <c r="BI39" s="27"/>
      <c r="BJ39" s="27"/>
      <c r="BK39" s="26">
        <f t="shared" ref="BK39:BK60" si="105">SUM(BD39:BJ39)</f>
        <v>1</v>
      </c>
      <c r="BM39" s="27">
        <v>0</v>
      </c>
      <c r="BN39" s="27"/>
      <c r="BO39" s="27"/>
      <c r="BP39" s="27"/>
      <c r="BQ39" s="27"/>
      <c r="BR39" s="27"/>
      <c r="BS39" s="27"/>
      <c r="BT39" s="26">
        <f t="shared" ref="BT39:BT60" si="106">SUM(BM39:BS39)</f>
        <v>0</v>
      </c>
      <c r="BV39" s="26">
        <f>B39+K39+T39+AC39+AL39+AU39+BD39+BM39</f>
        <v>6</v>
      </c>
      <c r="BW39" s="26">
        <f t="shared" ref="BW39:CA54" si="107">C39+L39+U39+AD39+AM39+AV39+BE39+BN39</f>
        <v>0</v>
      </c>
      <c r="BX39" s="26">
        <f t="shared" si="107"/>
        <v>0</v>
      </c>
      <c r="BY39" s="26">
        <f t="shared" si="107"/>
        <v>0</v>
      </c>
      <c r="BZ39" s="26">
        <f t="shared" si="107"/>
        <v>0</v>
      </c>
      <c r="CA39" s="26">
        <f t="shared" si="107"/>
        <v>0</v>
      </c>
      <c r="CB39" s="27"/>
      <c r="CC39" s="26">
        <f t="shared" ref="CC39" si="108">SUM(BV39:CB39)</f>
        <v>6</v>
      </c>
    </row>
    <row r="40" spans="1:81">
      <c r="A40" s="25" t="s">
        <v>41</v>
      </c>
      <c r="B40" s="27">
        <v>3</v>
      </c>
      <c r="C40" s="27"/>
      <c r="D40" s="27"/>
      <c r="E40" s="27"/>
      <c r="F40" s="27"/>
      <c r="G40" s="27"/>
      <c r="H40" s="27"/>
      <c r="I40" s="26">
        <f>SUM(B40:H40)</f>
        <v>3</v>
      </c>
      <c r="K40" s="27">
        <v>3</v>
      </c>
      <c r="L40" s="27"/>
      <c r="M40" s="27"/>
      <c r="N40" s="27"/>
      <c r="O40" s="27"/>
      <c r="P40" s="27"/>
      <c r="Q40" s="27"/>
      <c r="R40" s="26">
        <f>SUM(K40:Q40)</f>
        <v>3</v>
      </c>
      <c r="T40" s="27">
        <v>3</v>
      </c>
      <c r="U40" s="27"/>
      <c r="V40" s="27"/>
      <c r="W40" s="27"/>
      <c r="X40" s="27"/>
      <c r="Y40" s="27"/>
      <c r="Z40" s="27"/>
      <c r="AA40" s="26">
        <f>SUM(T40:Z40)</f>
        <v>3</v>
      </c>
      <c r="AC40" s="27">
        <v>5</v>
      </c>
      <c r="AD40" s="27"/>
      <c r="AE40" s="27"/>
      <c r="AF40" s="27"/>
      <c r="AG40" s="27"/>
      <c r="AH40" s="27"/>
      <c r="AI40" s="27"/>
      <c r="AJ40" s="26">
        <f>SUM(AC40:AI40)</f>
        <v>5</v>
      </c>
      <c r="AL40" s="27">
        <v>4</v>
      </c>
      <c r="AM40" s="27"/>
      <c r="AN40" s="27"/>
      <c r="AO40" s="27"/>
      <c r="AP40" s="27"/>
      <c r="AQ40" s="27"/>
      <c r="AR40" s="27"/>
      <c r="AS40" s="26">
        <f>SUM(AL40:AR40)</f>
        <v>4</v>
      </c>
      <c r="AU40" s="27"/>
      <c r="AV40" s="27"/>
      <c r="AW40" s="27"/>
      <c r="AX40" s="27"/>
      <c r="AY40" s="27"/>
      <c r="AZ40" s="27"/>
      <c r="BA40" s="27"/>
      <c r="BB40" s="26">
        <f>SUM(AU40:BA40)</f>
        <v>0</v>
      </c>
      <c r="BD40" s="27">
        <v>1</v>
      </c>
      <c r="BE40" s="27"/>
      <c r="BF40" s="27"/>
      <c r="BG40" s="27"/>
      <c r="BH40" s="27"/>
      <c r="BI40" s="27"/>
      <c r="BJ40" s="27"/>
      <c r="BK40" s="26">
        <f>SUM(BD40:BJ40)</f>
        <v>1</v>
      </c>
      <c r="BM40" s="27">
        <v>0</v>
      </c>
      <c r="BN40" s="27"/>
      <c r="BO40" s="27"/>
      <c r="BP40" s="27"/>
      <c r="BQ40" s="27"/>
      <c r="BR40" s="27"/>
      <c r="BS40" s="27"/>
      <c r="BT40" s="26">
        <f>SUM(BM40:BS40)</f>
        <v>0</v>
      </c>
      <c r="BV40" s="26">
        <f t="shared" ref="BV40:CA60" si="109">B40+K40+T40+AC40+AL40+AU40+BD40+BM40</f>
        <v>19</v>
      </c>
      <c r="BW40" s="26">
        <f t="shared" si="107"/>
        <v>0</v>
      </c>
      <c r="BX40" s="26">
        <f t="shared" si="107"/>
        <v>0</v>
      </c>
      <c r="BY40" s="26">
        <f t="shared" si="107"/>
        <v>0</v>
      </c>
      <c r="BZ40" s="26">
        <f t="shared" si="107"/>
        <v>0</v>
      </c>
      <c r="CA40" s="26">
        <f t="shared" si="107"/>
        <v>0</v>
      </c>
      <c r="CB40" s="27"/>
      <c r="CC40" s="26">
        <f>SUM(BV40:CB40)</f>
        <v>19</v>
      </c>
    </row>
    <row r="41" spans="1:81">
      <c r="A41" s="29" t="s">
        <v>42</v>
      </c>
      <c r="B41" s="27">
        <v>0</v>
      </c>
      <c r="C41" s="27"/>
      <c r="D41" s="27"/>
      <c r="E41" s="27"/>
      <c r="F41" s="27"/>
      <c r="G41" s="27"/>
      <c r="H41" s="27"/>
      <c r="I41" s="26">
        <f>SUM(B41:H41)</f>
        <v>0</v>
      </c>
      <c r="K41" s="27">
        <v>0</v>
      </c>
      <c r="L41" s="27"/>
      <c r="M41" s="27"/>
      <c r="N41" s="27"/>
      <c r="O41" s="27"/>
      <c r="P41" s="27"/>
      <c r="Q41" s="27"/>
      <c r="R41" s="26">
        <f>SUM(K41:Q41)</f>
        <v>0</v>
      </c>
      <c r="T41" s="27"/>
      <c r="U41" s="27"/>
      <c r="V41" s="27"/>
      <c r="W41" s="27"/>
      <c r="X41" s="27"/>
      <c r="Y41" s="27"/>
      <c r="Z41" s="27"/>
      <c r="AA41" s="26">
        <f>SUM(T41:Z41)</f>
        <v>0</v>
      </c>
      <c r="AC41" s="27">
        <v>0</v>
      </c>
      <c r="AD41" s="27"/>
      <c r="AE41" s="27"/>
      <c r="AF41" s="27"/>
      <c r="AG41" s="27"/>
      <c r="AH41" s="27"/>
      <c r="AI41" s="27"/>
      <c r="AJ41" s="26">
        <f>SUM(AC41:AI41)</f>
        <v>0</v>
      </c>
      <c r="AL41" s="27">
        <v>0</v>
      </c>
      <c r="AM41" s="27"/>
      <c r="AN41" s="27"/>
      <c r="AO41" s="27"/>
      <c r="AP41" s="27"/>
      <c r="AQ41" s="27"/>
      <c r="AR41" s="27"/>
      <c r="AS41" s="26">
        <f>SUM(AL41:AR41)</f>
        <v>0</v>
      </c>
      <c r="AU41" s="27"/>
      <c r="AV41" s="27"/>
      <c r="AW41" s="27"/>
      <c r="AX41" s="27"/>
      <c r="AY41" s="27"/>
      <c r="AZ41" s="27"/>
      <c r="BA41" s="27"/>
      <c r="BB41" s="26">
        <f>SUM(AU41:BA41)</f>
        <v>0</v>
      </c>
      <c r="BD41" s="27">
        <v>1</v>
      </c>
      <c r="BE41" s="27"/>
      <c r="BF41" s="27"/>
      <c r="BG41" s="27"/>
      <c r="BH41" s="27"/>
      <c r="BI41" s="27"/>
      <c r="BJ41" s="27"/>
      <c r="BK41" s="26">
        <f>SUM(BD41:BJ41)</f>
        <v>1</v>
      </c>
      <c r="BM41" s="27">
        <v>0</v>
      </c>
      <c r="BN41" s="27"/>
      <c r="BO41" s="27"/>
      <c r="BP41" s="27"/>
      <c r="BQ41" s="27"/>
      <c r="BR41" s="27"/>
      <c r="BS41" s="27"/>
      <c r="BT41" s="26">
        <f>SUM(BM41:BS41)</f>
        <v>0</v>
      </c>
      <c r="BV41" s="26">
        <f t="shared" si="109"/>
        <v>1</v>
      </c>
      <c r="BW41" s="26">
        <f t="shared" si="107"/>
        <v>0</v>
      </c>
      <c r="BX41" s="26">
        <f t="shared" si="107"/>
        <v>0</v>
      </c>
      <c r="BY41" s="26">
        <f t="shared" si="107"/>
        <v>0</v>
      </c>
      <c r="BZ41" s="26">
        <f t="shared" si="107"/>
        <v>0</v>
      </c>
      <c r="CA41" s="26">
        <f t="shared" si="107"/>
        <v>0</v>
      </c>
      <c r="CB41" s="27"/>
      <c r="CC41" s="26">
        <f>SUM(BV41:CB41)</f>
        <v>1</v>
      </c>
    </row>
    <row r="42" spans="1:81">
      <c r="A42" s="32" t="s">
        <v>43</v>
      </c>
      <c r="B42" s="27">
        <v>0</v>
      </c>
      <c r="C42" s="27"/>
      <c r="D42" s="27"/>
      <c r="E42" s="27"/>
      <c r="F42" s="27"/>
      <c r="G42" s="27"/>
      <c r="H42" s="27"/>
      <c r="I42" s="26">
        <f>SUM(B42:H42)</f>
        <v>0</v>
      </c>
      <c r="K42" s="27">
        <v>1</v>
      </c>
      <c r="L42" s="27"/>
      <c r="M42" s="27"/>
      <c r="N42" s="27"/>
      <c r="O42" s="27"/>
      <c r="P42" s="27"/>
      <c r="Q42" s="27"/>
      <c r="R42" s="26">
        <f>SUM(K42:Q42)</f>
        <v>1</v>
      </c>
      <c r="T42" s="27"/>
      <c r="U42" s="27"/>
      <c r="V42" s="27"/>
      <c r="W42" s="27"/>
      <c r="X42" s="27"/>
      <c r="Y42" s="27"/>
      <c r="Z42" s="27"/>
      <c r="AA42" s="26">
        <f>SUM(T42:Z42)</f>
        <v>0</v>
      </c>
      <c r="AC42" s="27">
        <v>3</v>
      </c>
      <c r="AD42" s="27"/>
      <c r="AE42" s="27"/>
      <c r="AF42" s="27"/>
      <c r="AG42" s="27"/>
      <c r="AH42" s="27"/>
      <c r="AI42" s="27"/>
      <c r="AJ42" s="26">
        <f>SUM(AC42:AI42)</f>
        <v>3</v>
      </c>
      <c r="AL42" s="27">
        <v>3</v>
      </c>
      <c r="AM42" s="27"/>
      <c r="AN42" s="27"/>
      <c r="AO42" s="27"/>
      <c r="AP42" s="27"/>
      <c r="AQ42" s="27"/>
      <c r="AR42" s="27"/>
      <c r="AS42" s="26">
        <f>SUM(AL42:AR42)</f>
        <v>3</v>
      </c>
      <c r="AU42" s="27"/>
      <c r="AV42" s="27"/>
      <c r="AW42" s="27"/>
      <c r="AX42" s="27"/>
      <c r="AY42" s="27"/>
      <c r="AZ42" s="27"/>
      <c r="BA42" s="27"/>
      <c r="BB42" s="26">
        <f>SUM(AU42:BA42)</f>
        <v>0</v>
      </c>
      <c r="BD42" s="27">
        <v>0</v>
      </c>
      <c r="BE42" s="27"/>
      <c r="BF42" s="27"/>
      <c r="BG42" s="27"/>
      <c r="BH42" s="27"/>
      <c r="BI42" s="27"/>
      <c r="BJ42" s="27"/>
      <c r="BK42" s="26">
        <f>SUM(BD42:BJ42)</f>
        <v>0</v>
      </c>
      <c r="BM42" s="27">
        <v>0</v>
      </c>
      <c r="BN42" s="27"/>
      <c r="BO42" s="27"/>
      <c r="BP42" s="27"/>
      <c r="BQ42" s="27"/>
      <c r="BR42" s="27"/>
      <c r="BS42" s="27"/>
      <c r="BT42" s="26">
        <f>SUM(BM42:BS42)</f>
        <v>0</v>
      </c>
      <c r="BV42" s="26">
        <f t="shared" si="109"/>
        <v>7</v>
      </c>
      <c r="BW42" s="26">
        <f t="shared" si="107"/>
        <v>0</v>
      </c>
      <c r="BX42" s="26">
        <f t="shared" si="107"/>
        <v>0</v>
      </c>
      <c r="BY42" s="26">
        <f t="shared" si="107"/>
        <v>0</v>
      </c>
      <c r="BZ42" s="26">
        <f t="shared" si="107"/>
        <v>0</v>
      </c>
      <c r="CA42" s="26">
        <f t="shared" si="107"/>
        <v>0</v>
      </c>
      <c r="CB42" s="27"/>
      <c r="CC42" s="26">
        <f>SUM(BV42:CB42)</f>
        <v>7</v>
      </c>
    </row>
    <row r="43" spans="1:81">
      <c r="A43" s="32" t="s">
        <v>44</v>
      </c>
      <c r="B43" s="27">
        <v>1</v>
      </c>
      <c r="C43" s="27"/>
      <c r="D43" s="27"/>
      <c r="E43" s="27"/>
      <c r="F43" s="27"/>
      <c r="G43" s="27"/>
      <c r="H43" s="27"/>
      <c r="I43" s="26">
        <f>SUM(B43:H43)</f>
        <v>1</v>
      </c>
      <c r="K43" s="27">
        <v>1</v>
      </c>
      <c r="L43" s="27"/>
      <c r="M43" s="27"/>
      <c r="N43" s="27"/>
      <c r="O43" s="27"/>
      <c r="P43" s="27"/>
      <c r="Q43" s="27"/>
      <c r="R43" s="26">
        <f>SUM(K43:Q43)</f>
        <v>1</v>
      </c>
      <c r="T43" s="27">
        <v>1</v>
      </c>
      <c r="U43" s="27"/>
      <c r="V43" s="27"/>
      <c r="W43" s="27"/>
      <c r="X43" s="27"/>
      <c r="Y43" s="27"/>
      <c r="Z43" s="27"/>
      <c r="AA43" s="26">
        <f>SUM(T43:Z43)</f>
        <v>1</v>
      </c>
      <c r="AC43" s="27">
        <v>2</v>
      </c>
      <c r="AD43" s="27"/>
      <c r="AE43" s="27"/>
      <c r="AF43" s="27"/>
      <c r="AG43" s="27"/>
      <c r="AH43" s="27"/>
      <c r="AI43" s="27"/>
      <c r="AJ43" s="26">
        <f>SUM(AC43:AI43)</f>
        <v>2</v>
      </c>
      <c r="AL43" s="27">
        <v>2</v>
      </c>
      <c r="AM43" s="27"/>
      <c r="AN43" s="27"/>
      <c r="AO43" s="27"/>
      <c r="AP43" s="27"/>
      <c r="AQ43" s="27"/>
      <c r="AR43" s="27"/>
      <c r="AS43" s="26">
        <f>SUM(AL43:AR43)</f>
        <v>2</v>
      </c>
      <c r="AU43" s="27">
        <v>1</v>
      </c>
      <c r="AV43" s="27"/>
      <c r="AW43" s="27"/>
      <c r="AX43" s="27"/>
      <c r="AY43" s="27"/>
      <c r="AZ43" s="27"/>
      <c r="BA43" s="27"/>
      <c r="BB43" s="26">
        <f>SUM(AU43:BA43)</f>
        <v>1</v>
      </c>
      <c r="BD43" s="27">
        <v>0</v>
      </c>
      <c r="BE43" s="27"/>
      <c r="BF43" s="27"/>
      <c r="BG43" s="27"/>
      <c r="BH43" s="27"/>
      <c r="BI43" s="27"/>
      <c r="BJ43" s="27"/>
      <c r="BK43" s="26">
        <f>SUM(BD43:BJ43)</f>
        <v>0</v>
      </c>
      <c r="BM43" s="27">
        <v>1</v>
      </c>
      <c r="BN43" s="27"/>
      <c r="BO43" s="27"/>
      <c r="BP43" s="27"/>
      <c r="BQ43" s="27"/>
      <c r="BR43" s="27"/>
      <c r="BS43" s="27"/>
      <c r="BT43" s="26">
        <f>SUM(BM43:BS43)</f>
        <v>1</v>
      </c>
      <c r="BV43" s="26">
        <f t="shared" si="109"/>
        <v>9</v>
      </c>
      <c r="BW43" s="26">
        <f t="shared" si="107"/>
        <v>0</v>
      </c>
      <c r="BX43" s="26">
        <f t="shared" si="107"/>
        <v>0</v>
      </c>
      <c r="BY43" s="26">
        <f t="shared" si="107"/>
        <v>0</v>
      </c>
      <c r="BZ43" s="26">
        <f t="shared" si="107"/>
        <v>0</v>
      </c>
      <c r="CA43" s="26">
        <f t="shared" si="107"/>
        <v>0</v>
      </c>
      <c r="CB43" s="27"/>
      <c r="CC43" s="26">
        <f>SUM(BV43:CB43)</f>
        <v>9</v>
      </c>
    </row>
    <row r="44" spans="1:81">
      <c r="A44" s="32" t="s">
        <v>45</v>
      </c>
      <c r="B44" s="27">
        <v>0</v>
      </c>
      <c r="C44" s="27"/>
      <c r="D44" s="27"/>
      <c r="E44" s="27"/>
      <c r="F44" s="27"/>
      <c r="G44" s="27"/>
      <c r="H44" s="27"/>
      <c r="I44" s="26">
        <f>SUM(B44:H44)</f>
        <v>0</v>
      </c>
      <c r="K44" s="27">
        <v>0</v>
      </c>
      <c r="L44" s="27"/>
      <c r="M44" s="27"/>
      <c r="N44" s="27"/>
      <c r="O44" s="27"/>
      <c r="P44" s="27"/>
      <c r="Q44" s="27"/>
      <c r="R44" s="26">
        <f>SUM(K44:Q44)</f>
        <v>0</v>
      </c>
      <c r="T44" s="27">
        <v>1</v>
      </c>
      <c r="U44" s="27"/>
      <c r="V44" s="27"/>
      <c r="W44" s="27"/>
      <c r="X44" s="27"/>
      <c r="Y44" s="27"/>
      <c r="Z44" s="27"/>
      <c r="AA44" s="26">
        <f>SUM(T44:Z44)</f>
        <v>1</v>
      </c>
      <c r="AC44" s="27">
        <v>4</v>
      </c>
      <c r="AD44" s="27"/>
      <c r="AE44" s="27"/>
      <c r="AF44" s="27"/>
      <c r="AG44" s="27"/>
      <c r="AH44" s="27"/>
      <c r="AI44" s="27"/>
      <c r="AJ44" s="26">
        <f>SUM(AC44:AI44)</f>
        <v>4</v>
      </c>
      <c r="AL44" s="27">
        <v>3</v>
      </c>
      <c r="AM44" s="27"/>
      <c r="AN44" s="27"/>
      <c r="AO44" s="27"/>
      <c r="AP44" s="27"/>
      <c r="AQ44" s="27"/>
      <c r="AR44" s="27"/>
      <c r="AS44" s="26">
        <f>SUM(AL44:AR44)</f>
        <v>3</v>
      </c>
      <c r="AU44" s="27"/>
      <c r="AV44" s="27"/>
      <c r="AW44" s="27"/>
      <c r="AX44" s="27"/>
      <c r="AY44" s="27"/>
      <c r="AZ44" s="27"/>
      <c r="BA44" s="27"/>
      <c r="BB44" s="26">
        <f>SUM(AU44:BA44)</f>
        <v>0</v>
      </c>
      <c r="BD44" s="27">
        <v>0</v>
      </c>
      <c r="BE44" s="27"/>
      <c r="BF44" s="27"/>
      <c r="BG44" s="27"/>
      <c r="BH44" s="27"/>
      <c r="BI44" s="27"/>
      <c r="BJ44" s="27"/>
      <c r="BK44" s="26">
        <f>SUM(BD44:BJ44)</f>
        <v>0</v>
      </c>
      <c r="BM44" s="27">
        <v>0</v>
      </c>
      <c r="BN44" s="27"/>
      <c r="BO44" s="27"/>
      <c r="BP44" s="27"/>
      <c r="BQ44" s="27"/>
      <c r="BR44" s="27"/>
      <c r="BS44" s="27"/>
      <c r="BT44" s="26">
        <f>SUM(BM44:BS44)</f>
        <v>0</v>
      </c>
      <c r="BV44" s="26">
        <f t="shared" si="109"/>
        <v>8</v>
      </c>
      <c r="BW44" s="26">
        <f t="shared" si="107"/>
        <v>0</v>
      </c>
      <c r="BX44" s="26">
        <f t="shared" si="107"/>
        <v>0</v>
      </c>
      <c r="BY44" s="26">
        <f t="shared" si="107"/>
        <v>0</v>
      </c>
      <c r="BZ44" s="26">
        <f t="shared" si="107"/>
        <v>0</v>
      </c>
      <c r="CA44" s="26">
        <f t="shared" si="107"/>
        <v>0</v>
      </c>
      <c r="CB44" s="27"/>
      <c r="CC44" s="26">
        <f>SUM(BV44:CB44)</f>
        <v>8</v>
      </c>
    </row>
    <row r="45" spans="1:81">
      <c r="A45" s="32" t="s">
        <v>46</v>
      </c>
      <c r="B45" s="27">
        <v>0</v>
      </c>
      <c r="C45" s="27"/>
      <c r="D45" s="27"/>
      <c r="E45" s="27"/>
      <c r="F45" s="27"/>
      <c r="G45" s="27"/>
      <c r="H45" s="27"/>
      <c r="I45" s="26">
        <f t="shared" si="99"/>
        <v>0</v>
      </c>
      <c r="K45" s="27"/>
      <c r="L45" s="27"/>
      <c r="M45" s="27"/>
      <c r="N45" s="27"/>
      <c r="O45" s="27"/>
      <c r="P45" s="27"/>
      <c r="Q45" s="27"/>
      <c r="R45" s="26">
        <f t="shared" si="100"/>
        <v>0</v>
      </c>
      <c r="T45" s="27"/>
      <c r="U45" s="27"/>
      <c r="V45" s="27"/>
      <c r="W45" s="27"/>
      <c r="X45" s="27"/>
      <c r="Y45" s="27"/>
      <c r="Z45" s="27"/>
      <c r="AA45" s="26">
        <f t="shared" si="101"/>
        <v>0</v>
      </c>
      <c r="AC45" s="27">
        <v>0</v>
      </c>
      <c r="AD45" s="27"/>
      <c r="AE45" s="27"/>
      <c r="AF45" s="27"/>
      <c r="AG45" s="27"/>
      <c r="AH45" s="27"/>
      <c r="AI45" s="27"/>
      <c r="AJ45" s="26">
        <f t="shared" si="102"/>
        <v>0</v>
      </c>
      <c r="AL45" s="27">
        <v>0</v>
      </c>
      <c r="AM45" s="27"/>
      <c r="AN45" s="27"/>
      <c r="AO45" s="27"/>
      <c r="AP45" s="27"/>
      <c r="AQ45" s="27"/>
      <c r="AR45" s="27"/>
      <c r="AS45" s="26">
        <f t="shared" si="103"/>
        <v>0</v>
      </c>
      <c r="AU45" s="27"/>
      <c r="AV45" s="27"/>
      <c r="AW45" s="27"/>
      <c r="AX45" s="27"/>
      <c r="AY45" s="27"/>
      <c r="AZ45" s="27"/>
      <c r="BA45" s="27"/>
      <c r="BB45" s="26">
        <f t="shared" si="104"/>
        <v>0</v>
      </c>
      <c r="BD45" s="27">
        <v>0</v>
      </c>
      <c r="BE45" s="27"/>
      <c r="BF45" s="27"/>
      <c r="BG45" s="27"/>
      <c r="BH45" s="27"/>
      <c r="BI45" s="27"/>
      <c r="BJ45" s="27"/>
      <c r="BK45" s="26">
        <f t="shared" si="105"/>
        <v>0</v>
      </c>
      <c r="BM45" s="27">
        <v>0</v>
      </c>
      <c r="BN45" s="27"/>
      <c r="BO45" s="27"/>
      <c r="BP45" s="27"/>
      <c r="BQ45" s="27"/>
      <c r="BR45" s="27"/>
      <c r="BS45" s="27"/>
      <c r="BT45" s="26">
        <f t="shared" si="106"/>
        <v>0</v>
      </c>
      <c r="BV45" s="26">
        <f t="shared" si="109"/>
        <v>0</v>
      </c>
      <c r="BW45" s="26">
        <f t="shared" si="107"/>
        <v>0</v>
      </c>
      <c r="BX45" s="26">
        <f t="shared" si="107"/>
        <v>0</v>
      </c>
      <c r="BY45" s="26">
        <f t="shared" si="107"/>
        <v>0</v>
      </c>
      <c r="BZ45" s="26">
        <f t="shared" si="107"/>
        <v>0</v>
      </c>
      <c r="CA45" s="26">
        <f t="shared" si="107"/>
        <v>0</v>
      </c>
      <c r="CB45" s="27"/>
      <c r="CC45" s="26">
        <f t="shared" ref="CC45:CC46" si="110">SUM(BV45:CB45)</f>
        <v>0</v>
      </c>
    </row>
    <row r="46" spans="1:81">
      <c r="A46" s="25" t="s">
        <v>47</v>
      </c>
      <c r="B46" s="27">
        <v>2</v>
      </c>
      <c r="C46" s="27"/>
      <c r="D46" s="27"/>
      <c r="E46" s="27"/>
      <c r="F46" s="27"/>
      <c r="G46" s="27"/>
      <c r="H46" s="27"/>
      <c r="I46" s="26">
        <f t="shared" si="99"/>
        <v>2</v>
      </c>
      <c r="K46" s="27">
        <v>1</v>
      </c>
      <c r="L46" s="27"/>
      <c r="M46" s="27"/>
      <c r="N46" s="27"/>
      <c r="O46" s="27"/>
      <c r="P46" s="27"/>
      <c r="Q46" s="27"/>
      <c r="R46" s="26">
        <f t="shared" si="100"/>
        <v>1</v>
      </c>
      <c r="T46" s="27">
        <v>1</v>
      </c>
      <c r="U46" s="27"/>
      <c r="V46" s="27"/>
      <c r="W46" s="27"/>
      <c r="X46" s="27"/>
      <c r="Y46" s="27"/>
      <c r="Z46" s="27"/>
      <c r="AA46" s="26">
        <f t="shared" si="101"/>
        <v>1</v>
      </c>
      <c r="AC46" s="27">
        <v>2</v>
      </c>
      <c r="AD46" s="27"/>
      <c r="AE46" s="27"/>
      <c r="AF46" s="27"/>
      <c r="AG46" s="27"/>
      <c r="AH46" s="27"/>
      <c r="AI46" s="27"/>
      <c r="AJ46" s="26">
        <f t="shared" si="102"/>
        <v>2</v>
      </c>
      <c r="AL46" s="27">
        <v>2</v>
      </c>
      <c r="AM46" s="27"/>
      <c r="AN46" s="27"/>
      <c r="AO46" s="27"/>
      <c r="AP46" s="27"/>
      <c r="AQ46" s="27"/>
      <c r="AR46" s="27"/>
      <c r="AS46" s="26">
        <f t="shared" si="103"/>
        <v>2</v>
      </c>
      <c r="AU46" s="27"/>
      <c r="AV46" s="27"/>
      <c r="AW46" s="27"/>
      <c r="AX46" s="27"/>
      <c r="AY46" s="27"/>
      <c r="AZ46" s="27"/>
      <c r="BA46" s="27"/>
      <c r="BB46" s="26">
        <f t="shared" si="104"/>
        <v>0</v>
      </c>
      <c r="BD46" s="27">
        <v>1</v>
      </c>
      <c r="BE46" s="27"/>
      <c r="BF46" s="27"/>
      <c r="BG46" s="27"/>
      <c r="BH46" s="27"/>
      <c r="BI46" s="27"/>
      <c r="BJ46" s="27"/>
      <c r="BK46" s="26">
        <f t="shared" si="105"/>
        <v>1</v>
      </c>
      <c r="BM46" s="27">
        <v>1</v>
      </c>
      <c r="BN46" s="27"/>
      <c r="BO46" s="27"/>
      <c r="BP46" s="27"/>
      <c r="BQ46" s="27"/>
      <c r="BR46" s="27"/>
      <c r="BS46" s="27"/>
      <c r="BT46" s="26">
        <f t="shared" si="106"/>
        <v>1</v>
      </c>
      <c r="BV46" s="26">
        <f t="shared" si="109"/>
        <v>10</v>
      </c>
      <c r="BW46" s="26">
        <f t="shared" si="107"/>
        <v>0</v>
      </c>
      <c r="BX46" s="26">
        <f t="shared" si="107"/>
        <v>0</v>
      </c>
      <c r="BY46" s="26">
        <f t="shared" si="107"/>
        <v>0</v>
      </c>
      <c r="BZ46" s="26">
        <f t="shared" si="107"/>
        <v>0</v>
      </c>
      <c r="CA46" s="26">
        <f t="shared" si="107"/>
        <v>0</v>
      </c>
      <c r="CB46" s="27"/>
      <c r="CC46" s="26">
        <f t="shared" si="110"/>
        <v>10</v>
      </c>
    </row>
    <row r="47" spans="1:81">
      <c r="A47" s="25" t="s">
        <v>48</v>
      </c>
      <c r="B47" s="27">
        <v>1</v>
      </c>
      <c r="C47" s="27"/>
      <c r="D47" s="27"/>
      <c r="E47" s="27"/>
      <c r="F47" s="27"/>
      <c r="G47" s="27"/>
      <c r="H47" s="27"/>
      <c r="I47" s="26">
        <f>SUM(B47:H47)</f>
        <v>1</v>
      </c>
      <c r="K47" s="27">
        <v>1</v>
      </c>
      <c r="L47" s="27"/>
      <c r="M47" s="27"/>
      <c r="N47" s="27"/>
      <c r="O47" s="27"/>
      <c r="P47" s="27"/>
      <c r="Q47" s="27"/>
      <c r="R47" s="26">
        <f>SUM(K47:Q47)</f>
        <v>1</v>
      </c>
      <c r="T47" s="27">
        <v>1</v>
      </c>
      <c r="U47" s="27"/>
      <c r="V47" s="27"/>
      <c r="W47" s="27"/>
      <c r="X47" s="27"/>
      <c r="Y47" s="27"/>
      <c r="Z47" s="27"/>
      <c r="AA47" s="26">
        <f>SUM(T47:Z47)</f>
        <v>1</v>
      </c>
      <c r="AC47" s="27">
        <v>2</v>
      </c>
      <c r="AD47" s="27"/>
      <c r="AE47" s="27"/>
      <c r="AF47" s="27"/>
      <c r="AG47" s="27"/>
      <c r="AH47" s="27"/>
      <c r="AI47" s="27"/>
      <c r="AJ47" s="26">
        <f>SUM(AC47:AI47)</f>
        <v>2</v>
      </c>
      <c r="AL47" s="27">
        <v>2</v>
      </c>
      <c r="AM47" s="27"/>
      <c r="AN47" s="27"/>
      <c r="AO47" s="27"/>
      <c r="AP47" s="27"/>
      <c r="AQ47" s="27"/>
      <c r="AR47" s="27"/>
      <c r="AS47" s="26">
        <f>SUM(AL47:AR47)</f>
        <v>2</v>
      </c>
      <c r="AU47" s="27"/>
      <c r="AV47" s="27"/>
      <c r="AW47" s="27"/>
      <c r="AX47" s="27"/>
      <c r="AY47" s="27"/>
      <c r="AZ47" s="27"/>
      <c r="BA47" s="27"/>
      <c r="BB47" s="26">
        <f>SUM(AU47:BA47)</f>
        <v>0</v>
      </c>
      <c r="BD47" s="27">
        <v>0</v>
      </c>
      <c r="BE47" s="27"/>
      <c r="BF47" s="27"/>
      <c r="BG47" s="27"/>
      <c r="BH47" s="27"/>
      <c r="BI47" s="27"/>
      <c r="BJ47" s="27"/>
      <c r="BK47" s="26">
        <f>SUM(BD47:BJ47)</f>
        <v>0</v>
      </c>
      <c r="BM47" s="27">
        <v>0</v>
      </c>
      <c r="BN47" s="27"/>
      <c r="BO47" s="27"/>
      <c r="BP47" s="27"/>
      <c r="BQ47" s="27"/>
      <c r="BR47" s="27"/>
      <c r="BS47" s="27"/>
      <c r="BT47" s="26">
        <f>SUM(BM47:BS47)</f>
        <v>0</v>
      </c>
      <c r="BV47" s="26">
        <f t="shared" si="109"/>
        <v>7</v>
      </c>
      <c r="BW47" s="26">
        <f t="shared" si="107"/>
        <v>0</v>
      </c>
      <c r="BX47" s="26">
        <f t="shared" si="107"/>
        <v>0</v>
      </c>
      <c r="BY47" s="26">
        <f t="shared" si="107"/>
        <v>0</v>
      </c>
      <c r="BZ47" s="26">
        <f t="shared" si="107"/>
        <v>0</v>
      </c>
      <c r="CA47" s="26">
        <f t="shared" si="107"/>
        <v>0</v>
      </c>
      <c r="CB47" s="27"/>
      <c r="CC47" s="26">
        <f>SUM(BV47:CB47)</f>
        <v>7</v>
      </c>
    </row>
    <row r="48" spans="1:81">
      <c r="A48" s="25" t="s">
        <v>49</v>
      </c>
      <c r="B48" s="27">
        <v>1</v>
      </c>
      <c r="C48" s="27"/>
      <c r="D48" s="27"/>
      <c r="E48" s="27"/>
      <c r="F48" s="27"/>
      <c r="G48" s="27"/>
      <c r="H48" s="27"/>
      <c r="I48" s="26">
        <f t="shared" si="99"/>
        <v>1</v>
      </c>
      <c r="K48" s="27">
        <v>1</v>
      </c>
      <c r="L48" s="27"/>
      <c r="M48" s="27"/>
      <c r="N48" s="27"/>
      <c r="O48" s="27"/>
      <c r="P48" s="27"/>
      <c r="Q48" s="27"/>
      <c r="R48" s="26">
        <f t="shared" si="100"/>
        <v>1</v>
      </c>
      <c r="T48" s="27">
        <v>1</v>
      </c>
      <c r="U48" s="27"/>
      <c r="V48" s="27"/>
      <c r="W48" s="27"/>
      <c r="X48" s="27"/>
      <c r="Y48" s="27"/>
      <c r="Z48" s="27"/>
      <c r="AA48" s="26">
        <f t="shared" si="101"/>
        <v>1</v>
      </c>
      <c r="AC48" s="27">
        <v>3</v>
      </c>
      <c r="AD48" s="27"/>
      <c r="AE48" s="27"/>
      <c r="AF48" s="27"/>
      <c r="AG48" s="27"/>
      <c r="AH48" s="27"/>
      <c r="AI48" s="27"/>
      <c r="AJ48" s="26">
        <f t="shared" si="102"/>
        <v>3</v>
      </c>
      <c r="AL48" s="27">
        <v>2</v>
      </c>
      <c r="AM48" s="27"/>
      <c r="AN48" s="27"/>
      <c r="AO48" s="27"/>
      <c r="AP48" s="27"/>
      <c r="AQ48" s="27"/>
      <c r="AR48" s="27"/>
      <c r="AS48" s="26">
        <f t="shared" si="103"/>
        <v>2</v>
      </c>
      <c r="AU48" s="27"/>
      <c r="AV48" s="27"/>
      <c r="AW48" s="27"/>
      <c r="AX48" s="27"/>
      <c r="AY48" s="27"/>
      <c r="AZ48" s="27"/>
      <c r="BA48" s="27"/>
      <c r="BB48" s="26">
        <f t="shared" si="104"/>
        <v>0</v>
      </c>
      <c r="BD48" s="27">
        <v>0</v>
      </c>
      <c r="BE48" s="27"/>
      <c r="BF48" s="27"/>
      <c r="BG48" s="27"/>
      <c r="BH48" s="27"/>
      <c r="BI48" s="27"/>
      <c r="BJ48" s="27"/>
      <c r="BK48" s="26">
        <f t="shared" si="105"/>
        <v>0</v>
      </c>
      <c r="BM48" s="27">
        <v>0</v>
      </c>
      <c r="BN48" s="27"/>
      <c r="BO48" s="27"/>
      <c r="BP48" s="27"/>
      <c r="BQ48" s="27"/>
      <c r="BR48" s="27"/>
      <c r="BS48" s="27"/>
      <c r="BT48" s="26">
        <f t="shared" si="106"/>
        <v>0</v>
      </c>
      <c r="BV48" s="26">
        <f t="shared" si="109"/>
        <v>8</v>
      </c>
      <c r="BW48" s="26">
        <f t="shared" si="107"/>
        <v>0</v>
      </c>
      <c r="BX48" s="26">
        <f t="shared" si="107"/>
        <v>0</v>
      </c>
      <c r="BY48" s="26">
        <f t="shared" si="107"/>
        <v>0</v>
      </c>
      <c r="BZ48" s="26">
        <f t="shared" si="107"/>
        <v>0</v>
      </c>
      <c r="CA48" s="26">
        <f t="shared" si="107"/>
        <v>0</v>
      </c>
      <c r="CB48" s="27"/>
      <c r="CC48" s="26">
        <f t="shared" ref="CC48" si="111">SUM(BV48:CB48)</f>
        <v>8</v>
      </c>
    </row>
    <row r="49" spans="1:81">
      <c r="A49" s="25" t="s">
        <v>50</v>
      </c>
      <c r="B49" s="27">
        <v>2</v>
      </c>
      <c r="C49" s="27"/>
      <c r="D49" s="27"/>
      <c r="E49" s="27"/>
      <c r="F49" s="27"/>
      <c r="G49" s="27"/>
      <c r="H49" s="27"/>
      <c r="I49" s="26">
        <f>SUM(B49:H49)</f>
        <v>2</v>
      </c>
      <c r="K49" s="27">
        <v>2</v>
      </c>
      <c r="L49" s="27"/>
      <c r="M49" s="27"/>
      <c r="N49" s="27"/>
      <c r="O49" s="27"/>
      <c r="P49" s="27"/>
      <c r="Q49" s="27"/>
      <c r="R49" s="26">
        <f>SUM(K49:Q49)</f>
        <v>2</v>
      </c>
      <c r="T49" s="27">
        <v>2</v>
      </c>
      <c r="U49" s="27"/>
      <c r="V49" s="27"/>
      <c r="W49" s="27"/>
      <c r="X49" s="27"/>
      <c r="Y49" s="27"/>
      <c r="Z49" s="27"/>
      <c r="AA49" s="26">
        <f>SUM(T49:Z49)</f>
        <v>2</v>
      </c>
      <c r="AC49" s="27">
        <v>5</v>
      </c>
      <c r="AD49" s="27"/>
      <c r="AE49" s="27"/>
      <c r="AF49" s="27"/>
      <c r="AG49" s="27"/>
      <c r="AH49" s="27"/>
      <c r="AI49" s="27"/>
      <c r="AJ49" s="26">
        <f>SUM(AC49:AI49)</f>
        <v>5</v>
      </c>
      <c r="AL49" s="27">
        <v>4</v>
      </c>
      <c r="AM49" s="27"/>
      <c r="AN49" s="27"/>
      <c r="AO49" s="27"/>
      <c r="AP49" s="27"/>
      <c r="AQ49" s="27"/>
      <c r="AR49" s="27"/>
      <c r="AS49" s="26">
        <f>SUM(AL49:AR49)</f>
        <v>4</v>
      </c>
      <c r="AU49" s="27"/>
      <c r="AV49" s="27"/>
      <c r="AW49" s="27"/>
      <c r="AX49" s="27"/>
      <c r="AY49" s="27"/>
      <c r="AZ49" s="27"/>
      <c r="BA49" s="27"/>
      <c r="BB49" s="26">
        <f>SUM(AU49:BA49)</f>
        <v>0</v>
      </c>
      <c r="BD49" s="27">
        <v>1</v>
      </c>
      <c r="BE49" s="27"/>
      <c r="BF49" s="27"/>
      <c r="BG49" s="27"/>
      <c r="BH49" s="27">
        <v>0</v>
      </c>
      <c r="BI49" s="27"/>
      <c r="BJ49" s="27"/>
      <c r="BK49" s="26">
        <f>SUM(BD49:BJ49)</f>
        <v>1</v>
      </c>
      <c r="BM49" s="27">
        <v>0</v>
      </c>
      <c r="BN49" s="27"/>
      <c r="BO49" s="27"/>
      <c r="BP49" s="27"/>
      <c r="BQ49" s="27"/>
      <c r="BR49" s="27"/>
      <c r="BS49" s="27"/>
      <c r="BT49" s="26">
        <f>SUM(BM49:BS49)</f>
        <v>0</v>
      </c>
      <c r="BV49" s="26">
        <f t="shared" si="109"/>
        <v>16</v>
      </c>
      <c r="BW49" s="26">
        <f t="shared" si="107"/>
        <v>0</v>
      </c>
      <c r="BX49" s="26">
        <f t="shared" si="107"/>
        <v>0</v>
      </c>
      <c r="BY49" s="26">
        <f t="shared" si="107"/>
        <v>0</v>
      </c>
      <c r="BZ49" s="26">
        <f t="shared" si="107"/>
        <v>0</v>
      </c>
      <c r="CA49" s="26">
        <f t="shared" si="107"/>
        <v>0</v>
      </c>
      <c r="CB49" s="27"/>
      <c r="CC49" s="26">
        <f>SUM(BV49:CB49)</f>
        <v>16</v>
      </c>
    </row>
    <row r="50" spans="1:81">
      <c r="A50" s="25" t="s">
        <v>51</v>
      </c>
      <c r="B50" s="27">
        <v>4</v>
      </c>
      <c r="C50" s="27">
        <v>4</v>
      </c>
      <c r="D50" s="27">
        <v>1</v>
      </c>
      <c r="E50" s="27"/>
      <c r="F50" s="27"/>
      <c r="G50" s="27"/>
      <c r="H50" s="27"/>
      <c r="I50" s="26">
        <f>SUM(B50:H50)</f>
        <v>9</v>
      </c>
      <c r="K50" s="27">
        <v>7</v>
      </c>
      <c r="L50" s="27">
        <v>4</v>
      </c>
      <c r="M50" s="27">
        <v>1</v>
      </c>
      <c r="N50" s="27"/>
      <c r="O50" s="27"/>
      <c r="P50" s="27"/>
      <c r="Q50" s="27"/>
      <c r="R50" s="26">
        <f>SUM(K50:Q50)</f>
        <v>12</v>
      </c>
      <c r="T50" s="27">
        <v>5</v>
      </c>
      <c r="U50" s="27">
        <v>5</v>
      </c>
      <c r="V50" s="27">
        <v>1</v>
      </c>
      <c r="W50" s="27"/>
      <c r="X50" s="27"/>
      <c r="Y50" s="27"/>
      <c r="Z50" s="27"/>
      <c r="AA50" s="26">
        <f>SUM(T50:Z50)</f>
        <v>11</v>
      </c>
      <c r="AC50" s="27">
        <v>11</v>
      </c>
      <c r="AD50" s="27">
        <v>13</v>
      </c>
      <c r="AE50" s="27">
        <v>3</v>
      </c>
      <c r="AF50" s="27"/>
      <c r="AG50" s="27"/>
      <c r="AH50" s="27"/>
      <c r="AI50" s="27"/>
      <c r="AJ50" s="26">
        <f>SUM(AC50:AI50)</f>
        <v>27</v>
      </c>
      <c r="AL50" s="27">
        <v>5</v>
      </c>
      <c r="AM50" s="27">
        <v>12</v>
      </c>
      <c r="AN50" s="27">
        <v>3</v>
      </c>
      <c r="AO50" s="27"/>
      <c r="AP50" s="27"/>
      <c r="AQ50" s="27"/>
      <c r="AR50" s="27"/>
      <c r="AS50" s="26">
        <f>SUM(AL50:AR50)</f>
        <v>20</v>
      </c>
      <c r="AU50" s="27">
        <v>2</v>
      </c>
      <c r="AV50" s="27">
        <v>1</v>
      </c>
      <c r="AW50" s="27"/>
      <c r="AX50" s="27"/>
      <c r="AY50" s="27"/>
      <c r="AZ50" s="27"/>
      <c r="BA50" s="27"/>
      <c r="BB50" s="26">
        <f>SUM(AU50:BA50)</f>
        <v>3</v>
      </c>
      <c r="BD50" s="27">
        <v>2</v>
      </c>
      <c r="BE50" s="27">
        <v>0</v>
      </c>
      <c r="BF50" s="27">
        <v>0</v>
      </c>
      <c r="BG50" s="27"/>
      <c r="BH50" s="27"/>
      <c r="BI50" s="27"/>
      <c r="BJ50" s="27"/>
      <c r="BK50" s="26">
        <f>SUM(BD50:BJ50)</f>
        <v>2</v>
      </c>
      <c r="BM50" s="27">
        <v>0.5</v>
      </c>
      <c r="BN50" s="27"/>
      <c r="BO50" s="27">
        <v>0</v>
      </c>
      <c r="BP50" s="27"/>
      <c r="BQ50" s="27"/>
      <c r="BR50" s="27"/>
      <c r="BS50" s="27"/>
      <c r="BT50" s="26">
        <f>SUM(BM50:BS50)</f>
        <v>0.5</v>
      </c>
      <c r="BV50" s="26">
        <f t="shared" si="109"/>
        <v>36.5</v>
      </c>
      <c r="BW50" s="26">
        <f t="shared" si="107"/>
        <v>39</v>
      </c>
      <c r="BX50" s="26">
        <f t="shared" si="107"/>
        <v>9</v>
      </c>
      <c r="BY50" s="26">
        <f t="shared" si="107"/>
        <v>0</v>
      </c>
      <c r="BZ50" s="26">
        <f t="shared" si="107"/>
        <v>0</v>
      </c>
      <c r="CA50" s="26">
        <f t="shared" si="107"/>
        <v>0</v>
      </c>
      <c r="CB50" s="27"/>
      <c r="CC50" s="26">
        <f>SUM(BV50:CB50)</f>
        <v>84.5</v>
      </c>
    </row>
    <row r="51" spans="1:81">
      <c r="A51" s="25" t="s">
        <v>52</v>
      </c>
      <c r="B51" s="27">
        <v>2</v>
      </c>
      <c r="C51" s="27"/>
      <c r="D51" s="27"/>
      <c r="E51" s="27"/>
      <c r="F51" s="27"/>
      <c r="G51" s="27"/>
      <c r="H51" s="27"/>
      <c r="I51" s="26">
        <f t="shared" si="99"/>
        <v>2</v>
      </c>
      <c r="K51" s="27">
        <v>3</v>
      </c>
      <c r="L51" s="27"/>
      <c r="M51" s="27"/>
      <c r="N51" s="27"/>
      <c r="O51" s="27"/>
      <c r="P51" s="27"/>
      <c r="Q51" s="27"/>
      <c r="R51" s="26">
        <f t="shared" si="100"/>
        <v>3</v>
      </c>
      <c r="T51" s="27">
        <v>3</v>
      </c>
      <c r="U51" s="27"/>
      <c r="V51" s="27"/>
      <c r="W51" s="27"/>
      <c r="X51" s="27"/>
      <c r="Y51" s="27"/>
      <c r="Z51" s="27"/>
      <c r="AA51" s="26">
        <f t="shared" si="101"/>
        <v>3</v>
      </c>
      <c r="AC51" s="27">
        <v>7</v>
      </c>
      <c r="AD51" s="27"/>
      <c r="AE51" s="27"/>
      <c r="AF51" s="27"/>
      <c r="AG51" s="27"/>
      <c r="AH51" s="27"/>
      <c r="AI51" s="27"/>
      <c r="AJ51" s="26">
        <f t="shared" si="102"/>
        <v>7</v>
      </c>
      <c r="AL51" s="27">
        <v>8</v>
      </c>
      <c r="AM51" s="27"/>
      <c r="AN51" s="27"/>
      <c r="AO51" s="27"/>
      <c r="AP51" s="27"/>
      <c r="AQ51" s="27"/>
      <c r="AR51" s="27"/>
      <c r="AS51" s="26">
        <f t="shared" si="103"/>
        <v>8</v>
      </c>
      <c r="AU51" s="27"/>
      <c r="AV51" s="27"/>
      <c r="AW51" s="27"/>
      <c r="AX51" s="27"/>
      <c r="AY51" s="27"/>
      <c r="AZ51" s="27"/>
      <c r="BA51" s="27"/>
      <c r="BB51" s="26">
        <f t="shared" si="104"/>
        <v>0</v>
      </c>
      <c r="BD51" s="27">
        <v>1</v>
      </c>
      <c r="BE51" s="27"/>
      <c r="BF51" s="27"/>
      <c r="BG51" s="27"/>
      <c r="BH51" s="27"/>
      <c r="BI51" s="27"/>
      <c r="BJ51" s="27"/>
      <c r="BK51" s="26">
        <f t="shared" si="105"/>
        <v>1</v>
      </c>
      <c r="BM51" s="27">
        <v>0</v>
      </c>
      <c r="BN51" s="27"/>
      <c r="BO51" s="27"/>
      <c r="BP51" s="27"/>
      <c r="BQ51" s="27"/>
      <c r="BR51" s="27"/>
      <c r="BS51" s="27"/>
      <c r="BT51" s="26">
        <f t="shared" si="106"/>
        <v>0</v>
      </c>
      <c r="BV51" s="26">
        <f t="shared" si="109"/>
        <v>24</v>
      </c>
      <c r="BW51" s="26">
        <f t="shared" si="107"/>
        <v>0</v>
      </c>
      <c r="BX51" s="26">
        <f t="shared" si="107"/>
        <v>0</v>
      </c>
      <c r="BY51" s="26">
        <f t="shared" si="107"/>
        <v>0</v>
      </c>
      <c r="BZ51" s="26">
        <f t="shared" si="107"/>
        <v>0</v>
      </c>
      <c r="CA51" s="26">
        <f t="shared" si="107"/>
        <v>0</v>
      </c>
      <c r="CB51" s="27"/>
      <c r="CC51" s="26">
        <f t="shared" ref="CC51" si="112">SUM(BV51:CB51)</f>
        <v>24</v>
      </c>
    </row>
    <row r="52" spans="1:81">
      <c r="A52" s="25" t="s">
        <v>53</v>
      </c>
      <c r="B52" s="27"/>
      <c r="C52" s="27"/>
      <c r="D52" s="27">
        <v>1</v>
      </c>
      <c r="E52" s="27"/>
      <c r="F52" s="27"/>
      <c r="G52" s="27"/>
      <c r="H52" s="27"/>
      <c r="I52" s="26">
        <f>SUM(B52:H52)</f>
        <v>1</v>
      </c>
      <c r="K52" s="27"/>
      <c r="L52" s="27"/>
      <c r="M52" s="27">
        <v>1</v>
      </c>
      <c r="N52" s="27"/>
      <c r="O52" s="27"/>
      <c r="P52" s="27"/>
      <c r="Q52" s="27"/>
      <c r="R52" s="26">
        <f>SUM(K52:Q52)</f>
        <v>1</v>
      </c>
      <c r="T52" s="27"/>
      <c r="U52" s="27"/>
      <c r="V52" s="27">
        <v>1</v>
      </c>
      <c r="W52" s="27"/>
      <c r="X52" s="27"/>
      <c r="Y52" s="27"/>
      <c r="Z52" s="27"/>
      <c r="AA52" s="26">
        <f>SUM(T52:Z52)</f>
        <v>1</v>
      </c>
      <c r="AC52" s="27"/>
      <c r="AD52" s="27"/>
      <c r="AE52" s="27">
        <v>3</v>
      </c>
      <c r="AF52" s="27"/>
      <c r="AG52" s="27"/>
      <c r="AH52" s="27"/>
      <c r="AI52" s="27"/>
      <c r="AJ52" s="26">
        <f>SUM(AC52:AI52)</f>
        <v>3</v>
      </c>
      <c r="AL52" s="27"/>
      <c r="AM52" s="27"/>
      <c r="AN52" s="27">
        <v>1</v>
      </c>
      <c r="AO52" s="27"/>
      <c r="AP52" s="27"/>
      <c r="AQ52" s="27"/>
      <c r="AR52" s="27"/>
      <c r="AS52" s="26">
        <f>SUM(AL52:AR52)</f>
        <v>1</v>
      </c>
      <c r="AU52" s="27"/>
      <c r="AV52" s="27"/>
      <c r="AW52" s="27"/>
      <c r="AX52" s="27"/>
      <c r="AY52" s="27"/>
      <c r="AZ52" s="27"/>
      <c r="BA52" s="27"/>
      <c r="BB52" s="26">
        <f>SUM(AU52:BA52)</f>
        <v>0</v>
      </c>
      <c r="BD52" s="27"/>
      <c r="BE52" s="27"/>
      <c r="BF52" s="27">
        <v>1</v>
      </c>
      <c r="BG52" s="27"/>
      <c r="BH52" s="27"/>
      <c r="BI52" s="27"/>
      <c r="BJ52" s="27"/>
      <c r="BK52" s="26">
        <f>SUM(BD52:BJ52)</f>
        <v>1</v>
      </c>
      <c r="BM52" s="27">
        <v>0</v>
      </c>
      <c r="BN52" s="27"/>
      <c r="BO52" s="27">
        <v>0.5</v>
      </c>
      <c r="BP52" s="27"/>
      <c r="BQ52" s="27"/>
      <c r="BR52" s="27"/>
      <c r="BS52" s="27"/>
      <c r="BT52" s="26">
        <f>SUM(BM52:BS52)</f>
        <v>0.5</v>
      </c>
      <c r="BV52" s="26">
        <f t="shared" si="109"/>
        <v>0</v>
      </c>
      <c r="BW52" s="26">
        <f t="shared" si="107"/>
        <v>0</v>
      </c>
      <c r="BX52" s="26">
        <f t="shared" si="107"/>
        <v>8.5</v>
      </c>
      <c r="BY52" s="26">
        <f t="shared" si="107"/>
        <v>0</v>
      </c>
      <c r="BZ52" s="26">
        <f t="shared" si="107"/>
        <v>0</v>
      </c>
      <c r="CA52" s="26">
        <f t="shared" si="107"/>
        <v>0</v>
      </c>
      <c r="CB52" s="27"/>
      <c r="CC52" s="26">
        <f>SUM(BV52:CB52)</f>
        <v>8.5</v>
      </c>
    </row>
    <row r="53" spans="1:81">
      <c r="A53" s="25" t="s">
        <v>54</v>
      </c>
      <c r="B53" s="27">
        <v>0</v>
      </c>
      <c r="C53" s="27"/>
      <c r="D53" s="27"/>
      <c r="E53" s="27"/>
      <c r="F53" s="27"/>
      <c r="G53" s="27"/>
      <c r="H53" s="27"/>
      <c r="I53" s="26">
        <f t="shared" si="99"/>
        <v>0</v>
      </c>
      <c r="J53" s="6"/>
      <c r="K53" s="27"/>
      <c r="L53" s="27"/>
      <c r="M53" s="27"/>
      <c r="N53" s="27"/>
      <c r="O53" s="27"/>
      <c r="P53" s="27"/>
      <c r="Q53" s="27"/>
      <c r="R53" s="26">
        <f t="shared" si="100"/>
        <v>0</v>
      </c>
      <c r="T53" s="27"/>
      <c r="U53" s="27"/>
      <c r="V53" s="27"/>
      <c r="W53" s="27"/>
      <c r="X53" s="27"/>
      <c r="Y53" s="27"/>
      <c r="Z53" s="27"/>
      <c r="AA53" s="26">
        <f t="shared" si="101"/>
        <v>0</v>
      </c>
      <c r="AC53" s="27">
        <v>0</v>
      </c>
      <c r="AD53" s="27"/>
      <c r="AE53" s="27"/>
      <c r="AF53" s="27"/>
      <c r="AG53" s="27"/>
      <c r="AH53" s="27"/>
      <c r="AI53" s="27"/>
      <c r="AJ53" s="26">
        <f t="shared" si="102"/>
        <v>0</v>
      </c>
      <c r="AL53" s="27">
        <v>0</v>
      </c>
      <c r="AM53" s="27"/>
      <c r="AN53" s="27"/>
      <c r="AO53" s="27"/>
      <c r="AP53" s="27"/>
      <c r="AQ53" s="27"/>
      <c r="AR53" s="27"/>
      <c r="AS53" s="26">
        <f t="shared" si="103"/>
        <v>0</v>
      </c>
      <c r="AU53" s="27"/>
      <c r="AV53" s="27"/>
      <c r="AW53" s="27"/>
      <c r="AX53" s="27"/>
      <c r="AY53" s="27"/>
      <c r="AZ53" s="27"/>
      <c r="BA53" s="27"/>
      <c r="BB53" s="26">
        <f t="shared" si="104"/>
        <v>0</v>
      </c>
      <c r="BD53" s="27"/>
      <c r="BE53" s="27"/>
      <c r="BF53" s="27"/>
      <c r="BG53" s="27"/>
      <c r="BH53" s="27"/>
      <c r="BI53" s="27"/>
      <c r="BJ53" s="27"/>
      <c r="BK53" s="26">
        <f t="shared" si="105"/>
        <v>0</v>
      </c>
      <c r="BM53" s="27">
        <v>0</v>
      </c>
      <c r="BN53" s="27"/>
      <c r="BO53" s="27"/>
      <c r="BP53" s="27"/>
      <c r="BQ53" s="27"/>
      <c r="BR53" s="27"/>
      <c r="BS53" s="27"/>
      <c r="BT53" s="26">
        <f t="shared" si="106"/>
        <v>0</v>
      </c>
      <c r="BV53" s="26">
        <f t="shared" si="109"/>
        <v>0</v>
      </c>
      <c r="BW53" s="26">
        <f t="shared" si="107"/>
        <v>0</v>
      </c>
      <c r="BX53" s="26">
        <f t="shared" si="107"/>
        <v>0</v>
      </c>
      <c r="BY53" s="26">
        <f t="shared" si="107"/>
        <v>0</v>
      </c>
      <c r="BZ53" s="26">
        <f t="shared" si="107"/>
        <v>0</v>
      </c>
      <c r="CA53" s="26">
        <f t="shared" si="107"/>
        <v>0</v>
      </c>
      <c r="CB53" s="27"/>
      <c r="CC53" s="26">
        <f t="shared" ref="CC53:CC55" si="113">SUM(BV53:CB53)</f>
        <v>0</v>
      </c>
    </row>
    <row r="54" spans="1:81">
      <c r="A54" s="29" t="s">
        <v>55</v>
      </c>
      <c r="B54" s="27"/>
      <c r="C54" s="27">
        <v>1</v>
      </c>
      <c r="D54" s="27"/>
      <c r="E54" s="27"/>
      <c r="F54" s="27"/>
      <c r="G54" s="27"/>
      <c r="H54" s="27"/>
      <c r="I54" s="26">
        <f t="shared" si="99"/>
        <v>1</v>
      </c>
      <c r="J54" s="6"/>
      <c r="K54" s="27"/>
      <c r="L54" s="27">
        <v>1</v>
      </c>
      <c r="M54" s="27"/>
      <c r="N54" s="27"/>
      <c r="O54" s="27"/>
      <c r="P54" s="27"/>
      <c r="Q54" s="27"/>
      <c r="R54" s="26">
        <f t="shared" si="100"/>
        <v>1</v>
      </c>
      <c r="T54" s="27"/>
      <c r="U54" s="27">
        <v>1</v>
      </c>
      <c r="V54" s="27"/>
      <c r="W54" s="27"/>
      <c r="X54" s="27"/>
      <c r="Y54" s="27"/>
      <c r="Z54" s="27"/>
      <c r="AA54" s="26">
        <f t="shared" si="101"/>
        <v>1</v>
      </c>
      <c r="AC54" s="27"/>
      <c r="AD54" s="27">
        <v>1</v>
      </c>
      <c r="AE54" s="27"/>
      <c r="AF54" s="27"/>
      <c r="AG54" s="27"/>
      <c r="AH54" s="27"/>
      <c r="AI54" s="27"/>
      <c r="AJ54" s="26">
        <f t="shared" si="102"/>
        <v>1</v>
      </c>
      <c r="AL54" s="27"/>
      <c r="AM54" s="27">
        <v>0</v>
      </c>
      <c r="AN54" s="27"/>
      <c r="AO54" s="27"/>
      <c r="AP54" s="27"/>
      <c r="AQ54" s="27"/>
      <c r="AR54" s="27"/>
      <c r="AS54" s="26">
        <f t="shared" si="103"/>
        <v>0</v>
      </c>
      <c r="AU54" s="27"/>
      <c r="AV54" s="27"/>
      <c r="AW54" s="27"/>
      <c r="AX54" s="27"/>
      <c r="AY54" s="27"/>
      <c r="AZ54" s="27"/>
      <c r="BA54" s="27"/>
      <c r="BB54" s="26">
        <f t="shared" si="104"/>
        <v>0</v>
      </c>
      <c r="BD54" s="27"/>
      <c r="BE54" s="27"/>
      <c r="BF54" s="27"/>
      <c r="BG54" s="27"/>
      <c r="BH54" s="27"/>
      <c r="BI54" s="27"/>
      <c r="BJ54" s="27"/>
      <c r="BK54" s="26">
        <f t="shared" si="105"/>
        <v>0</v>
      </c>
      <c r="BM54" s="27"/>
      <c r="BN54" s="27"/>
      <c r="BO54" s="27"/>
      <c r="BP54" s="27"/>
      <c r="BQ54" s="27"/>
      <c r="BR54" s="27"/>
      <c r="BS54" s="27"/>
      <c r="BT54" s="26">
        <f t="shared" si="106"/>
        <v>0</v>
      </c>
      <c r="BV54" s="26">
        <f t="shared" si="109"/>
        <v>0</v>
      </c>
      <c r="BW54" s="26">
        <f t="shared" si="107"/>
        <v>4</v>
      </c>
      <c r="BX54" s="26">
        <f t="shared" si="107"/>
        <v>0</v>
      </c>
      <c r="BY54" s="26">
        <f t="shared" si="107"/>
        <v>0</v>
      </c>
      <c r="BZ54" s="26">
        <f t="shared" si="107"/>
        <v>0</v>
      </c>
      <c r="CA54" s="26">
        <f t="shared" si="107"/>
        <v>0</v>
      </c>
      <c r="CB54" s="27"/>
      <c r="CC54" s="26">
        <f t="shared" si="113"/>
        <v>4</v>
      </c>
    </row>
    <row r="55" spans="1:81">
      <c r="A55" s="29" t="s">
        <v>56</v>
      </c>
      <c r="B55" s="27"/>
      <c r="C55" s="27">
        <v>0</v>
      </c>
      <c r="D55" s="27"/>
      <c r="E55" s="27"/>
      <c r="F55" s="27"/>
      <c r="G55" s="27"/>
      <c r="H55" s="27"/>
      <c r="I55" s="26">
        <f t="shared" si="99"/>
        <v>0</v>
      </c>
      <c r="J55" s="6"/>
      <c r="K55" s="27"/>
      <c r="L55" s="27">
        <v>0</v>
      </c>
      <c r="M55" s="27"/>
      <c r="N55" s="27"/>
      <c r="O55" s="27"/>
      <c r="P55" s="27"/>
      <c r="Q55" s="27"/>
      <c r="R55" s="26">
        <f t="shared" si="100"/>
        <v>0</v>
      </c>
      <c r="T55" s="27"/>
      <c r="U55" s="27">
        <v>1</v>
      </c>
      <c r="V55" s="27"/>
      <c r="W55" s="27"/>
      <c r="X55" s="27"/>
      <c r="Y55" s="27"/>
      <c r="Z55" s="27"/>
      <c r="AA55" s="26">
        <f t="shared" si="101"/>
        <v>1</v>
      </c>
      <c r="AC55" s="27"/>
      <c r="AD55" s="27">
        <v>1</v>
      </c>
      <c r="AE55" s="27"/>
      <c r="AF55" s="27"/>
      <c r="AG55" s="27"/>
      <c r="AH55" s="27"/>
      <c r="AI55" s="27"/>
      <c r="AJ55" s="26">
        <f t="shared" si="102"/>
        <v>1</v>
      </c>
      <c r="AL55" s="27"/>
      <c r="AM55" s="27">
        <v>0</v>
      </c>
      <c r="AN55" s="27"/>
      <c r="AO55" s="27"/>
      <c r="AP55" s="27"/>
      <c r="AQ55" s="27"/>
      <c r="AR55" s="27"/>
      <c r="AS55" s="26">
        <f t="shared" si="103"/>
        <v>0</v>
      </c>
      <c r="AU55" s="27"/>
      <c r="AV55" s="27"/>
      <c r="AW55" s="27"/>
      <c r="AX55" s="27"/>
      <c r="AY55" s="27"/>
      <c r="AZ55" s="27"/>
      <c r="BA55" s="27"/>
      <c r="BB55" s="26">
        <f t="shared" si="104"/>
        <v>0</v>
      </c>
      <c r="BD55" s="27"/>
      <c r="BE55" s="27"/>
      <c r="BF55" s="27"/>
      <c r="BG55" s="27"/>
      <c r="BH55" s="27"/>
      <c r="BI55" s="27"/>
      <c r="BJ55" s="27"/>
      <c r="BK55" s="26">
        <f t="shared" si="105"/>
        <v>0</v>
      </c>
      <c r="BM55" s="27"/>
      <c r="BN55" s="27"/>
      <c r="BO55" s="27"/>
      <c r="BP55" s="27"/>
      <c r="BQ55" s="27"/>
      <c r="BR55" s="27"/>
      <c r="BS55" s="27"/>
      <c r="BT55" s="26">
        <f t="shared" si="106"/>
        <v>0</v>
      </c>
      <c r="BV55" s="26">
        <f t="shared" si="109"/>
        <v>0</v>
      </c>
      <c r="BW55" s="26">
        <f t="shared" si="109"/>
        <v>2</v>
      </c>
      <c r="BX55" s="26">
        <f t="shared" si="109"/>
        <v>0</v>
      </c>
      <c r="BY55" s="26">
        <f t="shared" si="109"/>
        <v>0</v>
      </c>
      <c r="BZ55" s="26">
        <f t="shared" si="109"/>
        <v>0</v>
      </c>
      <c r="CA55" s="26">
        <f t="shared" si="109"/>
        <v>0</v>
      </c>
      <c r="CB55" s="27"/>
      <c r="CC55" s="26">
        <f t="shared" si="113"/>
        <v>2</v>
      </c>
    </row>
    <row r="56" spans="1:81">
      <c r="A56" s="29" t="s">
        <v>57</v>
      </c>
      <c r="B56" s="27"/>
      <c r="C56" s="27">
        <v>0</v>
      </c>
      <c r="D56" s="27"/>
      <c r="E56" s="27"/>
      <c r="F56" s="27"/>
      <c r="G56" s="27"/>
      <c r="H56" s="27"/>
      <c r="I56" s="26">
        <f>SUM(B56:H56)</f>
        <v>0</v>
      </c>
      <c r="J56" s="6"/>
      <c r="K56" s="27"/>
      <c r="L56" s="27">
        <v>0.5</v>
      </c>
      <c r="M56" s="27"/>
      <c r="N56" s="27"/>
      <c r="O56" s="27"/>
      <c r="P56" s="27"/>
      <c r="Q56" s="27"/>
      <c r="R56" s="26">
        <f>SUM(K56:Q56)</f>
        <v>0.5</v>
      </c>
      <c r="T56" s="27"/>
      <c r="U56" s="27">
        <v>0.5</v>
      </c>
      <c r="V56" s="27"/>
      <c r="W56" s="27"/>
      <c r="X56" s="27"/>
      <c r="Y56" s="27"/>
      <c r="Z56" s="27"/>
      <c r="AA56" s="26">
        <f>SUM(T56:Z56)</f>
        <v>0.5</v>
      </c>
      <c r="AC56" s="27"/>
      <c r="AD56" s="27">
        <v>1</v>
      </c>
      <c r="AE56" s="27"/>
      <c r="AF56" s="27"/>
      <c r="AG56" s="27"/>
      <c r="AH56" s="27"/>
      <c r="AI56" s="27"/>
      <c r="AJ56" s="26">
        <f>SUM(AC56:AI56)</f>
        <v>1</v>
      </c>
      <c r="AL56" s="27"/>
      <c r="AM56" s="27">
        <v>1</v>
      </c>
      <c r="AN56" s="27"/>
      <c r="AO56" s="27"/>
      <c r="AP56" s="27"/>
      <c r="AQ56" s="27"/>
      <c r="AR56" s="27"/>
      <c r="AS56" s="26">
        <f>SUM(AL56:AR56)</f>
        <v>1</v>
      </c>
      <c r="AU56" s="27"/>
      <c r="AV56" s="27"/>
      <c r="AW56" s="27"/>
      <c r="AX56" s="27"/>
      <c r="AY56" s="27"/>
      <c r="AZ56" s="27"/>
      <c r="BA56" s="27"/>
      <c r="BB56" s="26">
        <f>SUM(AU56:BA56)</f>
        <v>0</v>
      </c>
      <c r="BD56" s="27"/>
      <c r="BE56" s="27"/>
      <c r="BF56" s="27"/>
      <c r="BG56" s="27"/>
      <c r="BH56" s="27"/>
      <c r="BI56" s="27"/>
      <c r="BJ56" s="27"/>
      <c r="BK56" s="26">
        <f>SUM(BD56:BJ56)</f>
        <v>0</v>
      </c>
      <c r="BM56" s="27"/>
      <c r="BN56" s="27">
        <v>0</v>
      </c>
      <c r="BO56" s="27"/>
      <c r="BP56" s="27"/>
      <c r="BQ56" s="27"/>
      <c r="BR56" s="27"/>
      <c r="BS56" s="27"/>
      <c r="BT56" s="26">
        <f>SUM(BM56:BS56)</f>
        <v>0</v>
      </c>
      <c r="BV56" s="26">
        <f t="shared" si="109"/>
        <v>0</v>
      </c>
      <c r="BW56" s="26">
        <f t="shared" si="109"/>
        <v>3</v>
      </c>
      <c r="BX56" s="26">
        <f t="shared" si="109"/>
        <v>0</v>
      </c>
      <c r="BY56" s="26">
        <f t="shared" si="109"/>
        <v>0</v>
      </c>
      <c r="BZ56" s="26">
        <f t="shared" si="109"/>
        <v>0</v>
      </c>
      <c r="CA56" s="26">
        <f t="shared" si="109"/>
        <v>0</v>
      </c>
      <c r="CB56" s="27"/>
      <c r="CC56" s="26">
        <f>SUM(BV56:CB56)</f>
        <v>3</v>
      </c>
    </row>
    <row r="57" spans="1:81">
      <c r="A57" s="29" t="s">
        <v>58</v>
      </c>
      <c r="B57" s="27"/>
      <c r="C57" s="27"/>
      <c r="D57" s="27"/>
      <c r="E57" s="27"/>
      <c r="F57" s="27"/>
      <c r="G57" s="27"/>
      <c r="H57" s="27"/>
      <c r="I57" s="26">
        <f t="shared" si="99"/>
        <v>0</v>
      </c>
      <c r="J57" s="6"/>
      <c r="K57" s="27"/>
      <c r="L57" s="27"/>
      <c r="M57" s="27"/>
      <c r="N57" s="27"/>
      <c r="O57" s="27"/>
      <c r="P57" s="27"/>
      <c r="Q57" s="27"/>
      <c r="R57" s="26">
        <f t="shared" si="100"/>
        <v>0</v>
      </c>
      <c r="T57" s="27"/>
      <c r="U57" s="27">
        <v>0.33</v>
      </c>
      <c r="V57" s="27"/>
      <c r="W57" s="27"/>
      <c r="X57" s="27"/>
      <c r="Y57" s="27"/>
      <c r="Z57" s="27"/>
      <c r="AA57" s="26">
        <f t="shared" si="101"/>
        <v>0.33</v>
      </c>
      <c r="AC57" s="27"/>
      <c r="AD57" s="27"/>
      <c r="AE57" s="27"/>
      <c r="AF57" s="27"/>
      <c r="AG57" s="27"/>
      <c r="AH57" s="27"/>
      <c r="AI57" s="27"/>
      <c r="AJ57" s="26">
        <f t="shared" si="102"/>
        <v>0</v>
      </c>
      <c r="AL57" s="27"/>
      <c r="AM57" s="27">
        <v>0.5</v>
      </c>
      <c r="AN57" s="27"/>
      <c r="AO57" s="27"/>
      <c r="AP57" s="27"/>
      <c r="AQ57" s="27"/>
      <c r="AR57" s="27"/>
      <c r="AS57" s="26">
        <f t="shared" si="103"/>
        <v>0.5</v>
      </c>
      <c r="AU57" s="27"/>
      <c r="AV57" s="27"/>
      <c r="AW57" s="27"/>
      <c r="AX57" s="27"/>
      <c r="AY57" s="27"/>
      <c r="AZ57" s="27"/>
      <c r="BA57" s="27"/>
      <c r="BB57" s="26">
        <f t="shared" si="104"/>
        <v>0</v>
      </c>
      <c r="BD57" s="27"/>
      <c r="BE57" s="27"/>
      <c r="BF57" s="27"/>
      <c r="BG57" s="27"/>
      <c r="BH57" s="27"/>
      <c r="BI57" s="27"/>
      <c r="BJ57" s="27"/>
      <c r="BK57" s="26">
        <f t="shared" si="105"/>
        <v>0</v>
      </c>
      <c r="BM57" s="27"/>
      <c r="BN57" s="27"/>
      <c r="BO57" s="27"/>
      <c r="BP57" s="27"/>
      <c r="BQ57" s="27"/>
      <c r="BR57" s="27"/>
      <c r="BS57" s="27"/>
      <c r="BT57" s="26">
        <f t="shared" si="106"/>
        <v>0</v>
      </c>
      <c r="BV57" s="26">
        <f t="shared" si="109"/>
        <v>0</v>
      </c>
      <c r="BW57" s="26">
        <f t="shared" si="109"/>
        <v>0.83000000000000007</v>
      </c>
      <c r="BX57" s="26">
        <f t="shared" si="109"/>
        <v>0</v>
      </c>
      <c r="BY57" s="26">
        <f t="shared" si="109"/>
        <v>0</v>
      </c>
      <c r="BZ57" s="26">
        <f t="shared" si="109"/>
        <v>0</v>
      </c>
      <c r="CA57" s="26">
        <f t="shared" si="109"/>
        <v>0</v>
      </c>
      <c r="CB57" s="27"/>
      <c r="CC57" s="26">
        <f t="shared" ref="CC57" si="114">SUM(BV57:CB57)</f>
        <v>0.83000000000000007</v>
      </c>
    </row>
    <row r="58" spans="1:81">
      <c r="A58" s="29" t="s">
        <v>59</v>
      </c>
      <c r="B58" s="27">
        <v>0</v>
      </c>
      <c r="C58" s="27"/>
      <c r="D58" s="27"/>
      <c r="E58" s="27"/>
      <c r="F58" s="27"/>
      <c r="G58" s="27"/>
      <c r="H58" s="27"/>
      <c r="I58" s="26">
        <f>SUM(B58:H58)</f>
        <v>0</v>
      </c>
      <c r="J58" s="6"/>
      <c r="K58" s="27">
        <v>0</v>
      </c>
      <c r="L58" s="27">
        <v>0.5</v>
      </c>
      <c r="M58" s="27"/>
      <c r="N58" s="27"/>
      <c r="O58" s="27"/>
      <c r="P58" s="27"/>
      <c r="Q58" s="27"/>
      <c r="R58" s="26">
        <f>SUM(K58:Q58)</f>
        <v>0.5</v>
      </c>
      <c r="T58" s="27">
        <v>0</v>
      </c>
      <c r="U58" s="27">
        <v>0.5</v>
      </c>
      <c r="V58" s="27"/>
      <c r="W58" s="27"/>
      <c r="X58" s="27"/>
      <c r="Y58" s="27"/>
      <c r="Z58" s="27"/>
      <c r="AA58" s="26">
        <f>SUM(T58:Z58)</f>
        <v>0.5</v>
      </c>
      <c r="AC58" s="27">
        <v>0</v>
      </c>
      <c r="AD58" s="27">
        <v>1</v>
      </c>
      <c r="AE58" s="27"/>
      <c r="AF58" s="27"/>
      <c r="AG58" s="27"/>
      <c r="AH58" s="27"/>
      <c r="AI58" s="27"/>
      <c r="AJ58" s="26">
        <f>SUM(AC58:AI58)</f>
        <v>1</v>
      </c>
      <c r="AL58" s="27">
        <v>0</v>
      </c>
      <c r="AM58" s="27">
        <v>1</v>
      </c>
      <c r="AN58" s="27"/>
      <c r="AO58" s="27"/>
      <c r="AP58" s="27"/>
      <c r="AQ58" s="27"/>
      <c r="AR58" s="27"/>
      <c r="AS58" s="26">
        <f>SUM(AL58:AR58)</f>
        <v>1</v>
      </c>
      <c r="AU58" s="27"/>
      <c r="AV58" s="27"/>
      <c r="AW58" s="27"/>
      <c r="AX58" s="27"/>
      <c r="AY58" s="27"/>
      <c r="AZ58" s="27"/>
      <c r="BA58" s="27"/>
      <c r="BB58" s="26">
        <f>SUM(AU58:BA58)</f>
        <v>0</v>
      </c>
      <c r="BD58" s="27"/>
      <c r="BE58" s="27"/>
      <c r="BF58" s="27"/>
      <c r="BG58" s="27"/>
      <c r="BH58" s="27"/>
      <c r="BI58" s="27"/>
      <c r="BJ58" s="27"/>
      <c r="BK58" s="26">
        <f>SUM(BD58:BJ58)</f>
        <v>0</v>
      </c>
      <c r="BM58" s="27">
        <v>0</v>
      </c>
      <c r="BN58" s="27"/>
      <c r="BO58" s="27"/>
      <c r="BP58" s="27"/>
      <c r="BQ58" s="27"/>
      <c r="BR58" s="27"/>
      <c r="BS58" s="27"/>
      <c r="BT58" s="26">
        <f>SUM(BM58:BS58)</f>
        <v>0</v>
      </c>
      <c r="BV58" s="26">
        <f t="shared" si="109"/>
        <v>0</v>
      </c>
      <c r="BW58" s="26">
        <f t="shared" si="109"/>
        <v>3</v>
      </c>
      <c r="BX58" s="26">
        <f t="shared" si="109"/>
        <v>0</v>
      </c>
      <c r="BY58" s="26">
        <f t="shared" si="109"/>
        <v>0</v>
      </c>
      <c r="BZ58" s="26">
        <f t="shared" si="109"/>
        <v>0</v>
      </c>
      <c r="CA58" s="26">
        <f t="shared" si="109"/>
        <v>0</v>
      </c>
      <c r="CB58" s="27"/>
      <c r="CC58" s="26">
        <f>SUM(BV58:CB58)</f>
        <v>3</v>
      </c>
    </row>
    <row r="59" spans="1:81">
      <c r="A59" s="29" t="s">
        <v>60</v>
      </c>
      <c r="B59" s="27">
        <v>1</v>
      </c>
      <c r="C59" s="27"/>
      <c r="D59" s="27"/>
      <c r="E59" s="27"/>
      <c r="F59" s="27"/>
      <c r="G59" s="27"/>
      <c r="H59" s="27"/>
      <c r="I59" s="26">
        <f t="shared" si="99"/>
        <v>1</v>
      </c>
      <c r="J59" s="6"/>
      <c r="K59" s="27">
        <v>1</v>
      </c>
      <c r="L59" s="27"/>
      <c r="M59" s="27"/>
      <c r="N59" s="27"/>
      <c r="O59" s="27"/>
      <c r="P59" s="27"/>
      <c r="Q59" s="27"/>
      <c r="R59" s="26">
        <f t="shared" si="100"/>
        <v>1</v>
      </c>
      <c r="T59" s="27">
        <v>2</v>
      </c>
      <c r="U59" s="27"/>
      <c r="V59" s="27"/>
      <c r="W59" s="27"/>
      <c r="X59" s="27"/>
      <c r="Y59" s="27"/>
      <c r="Z59" s="27"/>
      <c r="AA59" s="26">
        <f t="shared" si="101"/>
        <v>2</v>
      </c>
      <c r="AC59" s="27">
        <v>3</v>
      </c>
      <c r="AD59" s="27"/>
      <c r="AE59" s="27"/>
      <c r="AF59" s="27"/>
      <c r="AG59" s="27"/>
      <c r="AH59" s="27"/>
      <c r="AI59" s="27"/>
      <c r="AJ59" s="26">
        <f t="shared" si="102"/>
        <v>3</v>
      </c>
      <c r="AL59" s="27">
        <v>4</v>
      </c>
      <c r="AM59" s="27"/>
      <c r="AN59" s="27"/>
      <c r="AO59" s="27"/>
      <c r="AP59" s="27"/>
      <c r="AQ59" s="27"/>
      <c r="AR59" s="27"/>
      <c r="AS59" s="26">
        <f t="shared" si="103"/>
        <v>4</v>
      </c>
      <c r="AU59" s="27"/>
      <c r="AV59" s="27"/>
      <c r="AW59" s="27"/>
      <c r="AX59" s="27"/>
      <c r="AY59" s="27"/>
      <c r="AZ59" s="27"/>
      <c r="BA59" s="27"/>
      <c r="BB59" s="26">
        <f t="shared" si="104"/>
        <v>0</v>
      </c>
      <c r="BD59" s="27"/>
      <c r="BE59" s="27"/>
      <c r="BF59" s="27"/>
      <c r="BG59" s="27"/>
      <c r="BH59" s="27"/>
      <c r="BI59" s="27"/>
      <c r="BJ59" s="27"/>
      <c r="BK59" s="26">
        <f t="shared" si="105"/>
        <v>0</v>
      </c>
      <c r="BM59" s="27">
        <v>0</v>
      </c>
      <c r="BN59" s="27"/>
      <c r="BO59" s="27"/>
      <c r="BP59" s="27"/>
      <c r="BQ59" s="27"/>
      <c r="BR59" s="27"/>
      <c r="BS59" s="27"/>
      <c r="BT59" s="26">
        <f t="shared" si="106"/>
        <v>0</v>
      </c>
      <c r="BV59" s="26">
        <f t="shared" si="109"/>
        <v>11</v>
      </c>
      <c r="BW59" s="26">
        <f t="shared" si="109"/>
        <v>0</v>
      </c>
      <c r="BX59" s="26">
        <f t="shared" si="109"/>
        <v>0</v>
      </c>
      <c r="BY59" s="26">
        <f t="shared" si="109"/>
        <v>0</v>
      </c>
      <c r="BZ59" s="26">
        <f t="shared" si="109"/>
        <v>0</v>
      </c>
      <c r="CA59" s="26">
        <f t="shared" si="109"/>
        <v>0</v>
      </c>
      <c r="CB59" s="27"/>
      <c r="CC59" s="26">
        <f t="shared" ref="CC59:CC60" si="115">SUM(BV59:CB59)</f>
        <v>11</v>
      </c>
    </row>
    <row r="60" spans="1:81">
      <c r="A60" s="25" t="s">
        <v>61</v>
      </c>
      <c r="B60" s="26"/>
      <c r="C60" s="26"/>
      <c r="D60" s="26"/>
      <c r="E60" s="26"/>
      <c r="F60" s="26"/>
      <c r="G60" s="26"/>
      <c r="H60" s="26"/>
      <c r="I60" s="26">
        <f t="shared" si="99"/>
        <v>0</v>
      </c>
      <c r="J60" s="6"/>
      <c r="K60" s="26"/>
      <c r="L60" s="26"/>
      <c r="M60" s="26"/>
      <c r="N60" s="26"/>
      <c r="O60" s="26"/>
      <c r="P60" s="26"/>
      <c r="Q60" s="26"/>
      <c r="R60" s="26">
        <f t="shared" si="100"/>
        <v>0</v>
      </c>
      <c r="T60" s="26">
        <v>1</v>
      </c>
      <c r="U60" s="26"/>
      <c r="V60" s="26"/>
      <c r="W60" s="26"/>
      <c r="X60" s="26"/>
      <c r="Y60" s="26"/>
      <c r="Z60" s="26"/>
      <c r="AA60" s="26">
        <f t="shared" si="101"/>
        <v>1</v>
      </c>
      <c r="AC60" s="26">
        <v>1</v>
      </c>
      <c r="AD60" s="26"/>
      <c r="AE60" s="26"/>
      <c r="AF60" s="26"/>
      <c r="AG60" s="26"/>
      <c r="AH60" s="26"/>
      <c r="AI60" s="26"/>
      <c r="AJ60" s="26">
        <f t="shared" si="102"/>
        <v>1</v>
      </c>
      <c r="AL60" s="26">
        <v>2</v>
      </c>
      <c r="AM60" s="26"/>
      <c r="AN60" s="26"/>
      <c r="AO60" s="26"/>
      <c r="AP60" s="26"/>
      <c r="AQ60" s="26"/>
      <c r="AR60" s="26"/>
      <c r="AS60" s="26">
        <f t="shared" si="103"/>
        <v>2</v>
      </c>
      <c r="AU60" s="26"/>
      <c r="AV60" s="26"/>
      <c r="AW60" s="26"/>
      <c r="AX60" s="26"/>
      <c r="AY60" s="26"/>
      <c r="AZ60" s="26"/>
      <c r="BA60" s="26"/>
      <c r="BB60" s="26">
        <f t="shared" si="104"/>
        <v>0</v>
      </c>
      <c r="BD60" s="26"/>
      <c r="BE60" s="26"/>
      <c r="BF60" s="26"/>
      <c r="BG60" s="26"/>
      <c r="BH60" s="26"/>
      <c r="BI60" s="26"/>
      <c r="BJ60" s="26"/>
      <c r="BK60" s="26">
        <f t="shared" si="105"/>
        <v>0</v>
      </c>
      <c r="BM60" s="26"/>
      <c r="BN60" s="26"/>
      <c r="BO60" s="26"/>
      <c r="BP60" s="26"/>
      <c r="BQ60" s="26"/>
      <c r="BR60" s="26"/>
      <c r="BS60" s="26"/>
      <c r="BT60" s="26">
        <f t="shared" si="106"/>
        <v>0</v>
      </c>
      <c r="BV60" s="26">
        <f t="shared" si="109"/>
        <v>4</v>
      </c>
      <c r="BW60" s="26">
        <f t="shared" si="109"/>
        <v>0</v>
      </c>
      <c r="BX60" s="26">
        <f t="shared" si="109"/>
        <v>0</v>
      </c>
      <c r="BY60" s="26">
        <f t="shared" si="109"/>
        <v>0</v>
      </c>
      <c r="BZ60" s="26">
        <f t="shared" si="109"/>
        <v>0</v>
      </c>
      <c r="CA60" s="26">
        <f t="shared" si="109"/>
        <v>0</v>
      </c>
      <c r="CB60" s="26"/>
      <c r="CC60" s="26">
        <f t="shared" si="115"/>
        <v>4</v>
      </c>
    </row>
    <row r="61" spans="1:81" ht="15">
      <c r="A61" s="24" t="s">
        <v>62</v>
      </c>
      <c r="B61" s="33">
        <f t="shared" ref="B61:I61" si="116">SUM(B39:B60)</f>
        <v>18</v>
      </c>
      <c r="C61" s="33">
        <f t="shared" si="116"/>
        <v>5</v>
      </c>
      <c r="D61" s="33">
        <f t="shared" si="116"/>
        <v>2</v>
      </c>
      <c r="E61" s="33">
        <f t="shared" si="116"/>
        <v>0</v>
      </c>
      <c r="F61" s="33">
        <f t="shared" si="116"/>
        <v>0</v>
      </c>
      <c r="G61" s="33">
        <f t="shared" si="116"/>
        <v>0</v>
      </c>
      <c r="H61" s="33">
        <f t="shared" si="116"/>
        <v>0</v>
      </c>
      <c r="I61" s="33">
        <f t="shared" si="116"/>
        <v>25</v>
      </c>
      <c r="J61" s="7"/>
      <c r="K61" s="33">
        <f t="shared" ref="K61:R61" si="117">SUM(K39:K60)</f>
        <v>22</v>
      </c>
      <c r="L61" s="33">
        <f t="shared" si="117"/>
        <v>6</v>
      </c>
      <c r="M61" s="33">
        <f t="shared" si="117"/>
        <v>2</v>
      </c>
      <c r="N61" s="33">
        <f t="shared" si="117"/>
        <v>0</v>
      </c>
      <c r="O61" s="33">
        <f t="shared" si="117"/>
        <v>0</v>
      </c>
      <c r="P61" s="33">
        <f t="shared" si="117"/>
        <v>0</v>
      </c>
      <c r="Q61" s="33">
        <f t="shared" si="117"/>
        <v>0</v>
      </c>
      <c r="R61" s="33">
        <f t="shared" si="117"/>
        <v>30</v>
      </c>
      <c r="T61" s="33">
        <f t="shared" ref="T61:AA61" si="118">SUM(T39:T60)</f>
        <v>22</v>
      </c>
      <c r="U61" s="33">
        <f t="shared" si="118"/>
        <v>8.33</v>
      </c>
      <c r="V61" s="33">
        <f t="shared" si="118"/>
        <v>2</v>
      </c>
      <c r="W61" s="33">
        <f t="shared" si="118"/>
        <v>0</v>
      </c>
      <c r="X61" s="33">
        <f t="shared" si="118"/>
        <v>0</v>
      </c>
      <c r="Y61" s="33">
        <f t="shared" si="118"/>
        <v>0</v>
      </c>
      <c r="Z61" s="33">
        <f t="shared" si="118"/>
        <v>0</v>
      </c>
      <c r="AA61" s="33">
        <f t="shared" si="118"/>
        <v>32.33</v>
      </c>
      <c r="AC61" s="33">
        <f t="shared" ref="AC61:AJ61" si="119">SUM(AC39:AC60)</f>
        <v>49</v>
      </c>
      <c r="AD61" s="33">
        <f t="shared" si="119"/>
        <v>17</v>
      </c>
      <c r="AE61" s="33">
        <f t="shared" si="119"/>
        <v>6</v>
      </c>
      <c r="AF61" s="33">
        <f t="shared" si="119"/>
        <v>0</v>
      </c>
      <c r="AG61" s="33">
        <f t="shared" si="119"/>
        <v>0</v>
      </c>
      <c r="AH61" s="33">
        <f t="shared" si="119"/>
        <v>0</v>
      </c>
      <c r="AI61" s="33">
        <f t="shared" si="119"/>
        <v>0</v>
      </c>
      <c r="AJ61" s="33">
        <f t="shared" si="119"/>
        <v>72</v>
      </c>
      <c r="AL61" s="33">
        <f t="shared" ref="AL61:AS61" si="120">SUM(AL39:AL60)</f>
        <v>42</v>
      </c>
      <c r="AM61" s="33">
        <f t="shared" si="120"/>
        <v>14.5</v>
      </c>
      <c r="AN61" s="33">
        <f t="shared" si="120"/>
        <v>4</v>
      </c>
      <c r="AO61" s="33">
        <f t="shared" si="120"/>
        <v>0</v>
      </c>
      <c r="AP61" s="33">
        <f t="shared" si="120"/>
        <v>0</v>
      </c>
      <c r="AQ61" s="33">
        <f t="shared" si="120"/>
        <v>0</v>
      </c>
      <c r="AR61" s="33">
        <f t="shared" si="120"/>
        <v>0</v>
      </c>
      <c r="AS61" s="33">
        <f t="shared" si="120"/>
        <v>60.5</v>
      </c>
      <c r="AU61" s="33">
        <f t="shared" ref="AU61:BB61" si="121">SUM(AU39:AU60)</f>
        <v>3</v>
      </c>
      <c r="AV61" s="33">
        <f t="shared" si="121"/>
        <v>1</v>
      </c>
      <c r="AW61" s="33">
        <f t="shared" si="121"/>
        <v>0</v>
      </c>
      <c r="AX61" s="33">
        <f t="shared" si="121"/>
        <v>0</v>
      </c>
      <c r="AY61" s="33">
        <f t="shared" si="121"/>
        <v>0</v>
      </c>
      <c r="AZ61" s="33">
        <f t="shared" si="121"/>
        <v>0</v>
      </c>
      <c r="BA61" s="33">
        <f t="shared" si="121"/>
        <v>0</v>
      </c>
      <c r="BB61" s="33">
        <f t="shared" si="121"/>
        <v>4</v>
      </c>
      <c r="BD61" s="33">
        <f t="shared" ref="BD61:BK61" si="122">SUM(BD39:BD60)</f>
        <v>8</v>
      </c>
      <c r="BE61" s="33">
        <f t="shared" si="122"/>
        <v>0</v>
      </c>
      <c r="BF61" s="33">
        <f t="shared" si="122"/>
        <v>1</v>
      </c>
      <c r="BG61" s="33">
        <f t="shared" si="122"/>
        <v>0</v>
      </c>
      <c r="BH61" s="33">
        <f t="shared" si="122"/>
        <v>0</v>
      </c>
      <c r="BI61" s="33">
        <f t="shared" si="122"/>
        <v>0</v>
      </c>
      <c r="BJ61" s="33">
        <f t="shared" si="122"/>
        <v>0</v>
      </c>
      <c r="BK61" s="33">
        <f t="shared" si="122"/>
        <v>9</v>
      </c>
      <c r="BM61" s="33">
        <f t="shared" ref="BM61:BT61" si="123">SUM(BM39:BM60)</f>
        <v>2.5</v>
      </c>
      <c r="BN61" s="33">
        <f t="shared" si="123"/>
        <v>0</v>
      </c>
      <c r="BO61" s="33">
        <f t="shared" si="123"/>
        <v>0.5</v>
      </c>
      <c r="BP61" s="33">
        <f t="shared" si="123"/>
        <v>0</v>
      </c>
      <c r="BQ61" s="33">
        <f t="shared" si="123"/>
        <v>0</v>
      </c>
      <c r="BR61" s="33">
        <f t="shared" si="123"/>
        <v>0</v>
      </c>
      <c r="BS61" s="33">
        <f t="shared" si="123"/>
        <v>0</v>
      </c>
      <c r="BT61" s="33">
        <f t="shared" si="123"/>
        <v>3</v>
      </c>
      <c r="BV61" s="33">
        <f t="shared" ref="BV61:CC61" si="124">SUM(BV39:BV60)</f>
        <v>166.5</v>
      </c>
      <c r="BW61" s="33">
        <f t="shared" si="124"/>
        <v>51.83</v>
      </c>
      <c r="BX61" s="33">
        <f t="shared" si="124"/>
        <v>17.5</v>
      </c>
      <c r="BY61" s="33">
        <f t="shared" si="124"/>
        <v>0</v>
      </c>
      <c r="BZ61" s="33">
        <f t="shared" si="124"/>
        <v>0</v>
      </c>
      <c r="CA61" s="33">
        <f t="shared" si="124"/>
        <v>0</v>
      </c>
      <c r="CB61" s="33">
        <f t="shared" si="124"/>
        <v>0</v>
      </c>
      <c r="CC61" s="33">
        <f t="shared" si="124"/>
        <v>235.83</v>
      </c>
    </row>
    <row r="62" spans="1:81" ht="15.75" thickBot="1">
      <c r="A62" s="34"/>
      <c r="B62" s="35"/>
      <c r="C62" s="35"/>
      <c r="D62" s="35"/>
      <c r="E62" s="35"/>
      <c r="F62" s="35"/>
      <c r="G62" s="35"/>
      <c r="H62" s="35"/>
      <c r="I62" s="35"/>
      <c r="J62" s="7"/>
      <c r="K62" s="35"/>
      <c r="L62" s="35"/>
      <c r="M62" s="35"/>
      <c r="N62" s="35"/>
      <c r="O62" s="35"/>
      <c r="P62" s="35"/>
      <c r="Q62" s="35"/>
      <c r="R62" s="35"/>
      <c r="T62" s="35"/>
      <c r="U62" s="35"/>
      <c r="V62" s="35"/>
      <c r="W62" s="35"/>
      <c r="X62" s="35"/>
      <c r="Y62" s="35"/>
      <c r="Z62" s="35"/>
      <c r="AA62" s="35"/>
      <c r="AC62" s="35"/>
      <c r="AD62" s="35"/>
      <c r="AE62" s="35"/>
      <c r="AF62" s="35"/>
      <c r="AG62" s="35"/>
      <c r="AH62" s="35"/>
      <c r="AI62" s="35"/>
      <c r="AJ62" s="35"/>
      <c r="AL62" s="35"/>
      <c r="AM62" s="35"/>
      <c r="AN62" s="35"/>
      <c r="AO62" s="35"/>
      <c r="AP62" s="35"/>
      <c r="AQ62" s="35"/>
      <c r="AR62" s="35"/>
      <c r="AS62" s="35"/>
      <c r="AU62" s="35"/>
      <c r="AV62" s="35"/>
      <c r="AW62" s="35"/>
      <c r="AX62" s="35"/>
      <c r="AY62" s="35"/>
      <c r="AZ62" s="35"/>
      <c r="BA62" s="35"/>
      <c r="BB62" s="35"/>
      <c r="BD62" s="35"/>
      <c r="BE62" s="35"/>
      <c r="BF62" s="35"/>
      <c r="BG62" s="35"/>
      <c r="BH62" s="35"/>
      <c r="BI62" s="35"/>
      <c r="BJ62" s="35"/>
      <c r="BK62" s="35"/>
      <c r="BM62" s="35"/>
      <c r="BN62" s="35"/>
      <c r="BO62" s="35"/>
      <c r="BP62" s="35"/>
      <c r="BQ62" s="35"/>
      <c r="BR62" s="35"/>
      <c r="BS62" s="35"/>
      <c r="BT62" s="35"/>
      <c r="BV62" s="35"/>
      <c r="BW62" s="35"/>
      <c r="BX62" s="35"/>
      <c r="BY62" s="35"/>
      <c r="BZ62" s="35"/>
      <c r="CA62" s="35"/>
      <c r="CB62" s="35"/>
      <c r="CC62" s="35"/>
    </row>
    <row r="63" spans="1:81" ht="15">
      <c r="A63" s="36" t="s">
        <v>63</v>
      </c>
      <c r="B63" s="37">
        <f t="shared" ref="B63:I63" si="125">B36</f>
        <v>41.5</v>
      </c>
      <c r="C63" s="37">
        <f t="shared" si="125"/>
        <v>5</v>
      </c>
      <c r="D63" s="37">
        <f t="shared" si="125"/>
        <v>0</v>
      </c>
      <c r="E63" s="37">
        <f t="shared" si="125"/>
        <v>0</v>
      </c>
      <c r="F63" s="37">
        <f t="shared" si="125"/>
        <v>0</v>
      </c>
      <c r="G63" s="37">
        <f t="shared" si="125"/>
        <v>0</v>
      </c>
      <c r="H63" s="37">
        <f t="shared" si="125"/>
        <v>0</v>
      </c>
      <c r="I63" s="37">
        <f t="shared" si="125"/>
        <v>46.5</v>
      </c>
      <c r="J63" s="7"/>
      <c r="K63" s="37">
        <f t="shared" ref="K63:R63" si="126">K36</f>
        <v>44</v>
      </c>
      <c r="L63" s="37">
        <f t="shared" si="126"/>
        <v>4</v>
      </c>
      <c r="M63" s="37">
        <f t="shared" si="126"/>
        <v>0</v>
      </c>
      <c r="N63" s="37">
        <f t="shared" si="126"/>
        <v>0</v>
      </c>
      <c r="O63" s="37">
        <f t="shared" si="126"/>
        <v>0</v>
      </c>
      <c r="P63" s="37">
        <f t="shared" si="126"/>
        <v>0</v>
      </c>
      <c r="Q63" s="37">
        <f t="shared" si="126"/>
        <v>0</v>
      </c>
      <c r="R63" s="37">
        <f t="shared" si="126"/>
        <v>48</v>
      </c>
      <c r="T63" s="37">
        <f t="shared" ref="T63:AA63" si="127">T36</f>
        <v>56</v>
      </c>
      <c r="U63" s="37">
        <f t="shared" si="127"/>
        <v>5</v>
      </c>
      <c r="V63" s="37">
        <f t="shared" si="127"/>
        <v>0</v>
      </c>
      <c r="W63" s="37">
        <f t="shared" si="127"/>
        <v>0</v>
      </c>
      <c r="X63" s="37">
        <f t="shared" si="127"/>
        <v>0</v>
      </c>
      <c r="Y63" s="37">
        <f t="shared" si="127"/>
        <v>0</v>
      </c>
      <c r="Z63" s="37">
        <f t="shared" si="127"/>
        <v>0</v>
      </c>
      <c r="AA63" s="37">
        <f t="shared" si="127"/>
        <v>61</v>
      </c>
      <c r="AC63" s="37">
        <f t="shared" ref="AC63:AJ63" si="128">AC36</f>
        <v>98</v>
      </c>
      <c r="AD63" s="37">
        <f t="shared" si="128"/>
        <v>13</v>
      </c>
      <c r="AE63" s="37">
        <f t="shared" si="128"/>
        <v>0</v>
      </c>
      <c r="AF63" s="37">
        <f t="shared" si="128"/>
        <v>0</v>
      </c>
      <c r="AG63" s="37">
        <f t="shared" si="128"/>
        <v>0</v>
      </c>
      <c r="AH63" s="37">
        <f t="shared" si="128"/>
        <v>0</v>
      </c>
      <c r="AI63" s="37">
        <f t="shared" si="128"/>
        <v>0</v>
      </c>
      <c r="AJ63" s="37">
        <f t="shared" si="128"/>
        <v>111</v>
      </c>
      <c r="AL63" s="37">
        <f t="shared" ref="AL63:AS63" si="129">AL36</f>
        <v>96</v>
      </c>
      <c r="AM63" s="37">
        <f t="shared" si="129"/>
        <v>12</v>
      </c>
      <c r="AN63" s="37">
        <f t="shared" si="129"/>
        <v>0</v>
      </c>
      <c r="AO63" s="37">
        <f t="shared" si="129"/>
        <v>0</v>
      </c>
      <c r="AP63" s="37">
        <f t="shared" si="129"/>
        <v>0</v>
      </c>
      <c r="AQ63" s="37">
        <f t="shared" si="129"/>
        <v>0</v>
      </c>
      <c r="AR63" s="37">
        <f t="shared" si="129"/>
        <v>0</v>
      </c>
      <c r="AS63" s="37">
        <f t="shared" si="129"/>
        <v>108</v>
      </c>
      <c r="AU63" s="37">
        <f t="shared" ref="AU63:BB63" si="130">AU36</f>
        <v>0</v>
      </c>
      <c r="AV63" s="37">
        <f t="shared" si="130"/>
        <v>1</v>
      </c>
      <c r="AW63" s="37">
        <f t="shared" si="130"/>
        <v>0</v>
      </c>
      <c r="AX63" s="37">
        <f t="shared" si="130"/>
        <v>0</v>
      </c>
      <c r="AY63" s="37">
        <f t="shared" si="130"/>
        <v>0</v>
      </c>
      <c r="AZ63" s="37">
        <f t="shared" si="130"/>
        <v>0</v>
      </c>
      <c r="BA63" s="37">
        <f t="shared" si="130"/>
        <v>0</v>
      </c>
      <c r="BB63" s="37">
        <f t="shared" si="130"/>
        <v>1</v>
      </c>
      <c r="BD63" s="37">
        <f t="shared" ref="BD63:BK63" si="131">BD36</f>
        <v>16</v>
      </c>
      <c r="BE63" s="37">
        <f t="shared" si="131"/>
        <v>1</v>
      </c>
      <c r="BF63" s="37">
        <f t="shared" si="131"/>
        <v>0</v>
      </c>
      <c r="BG63" s="37">
        <f t="shared" si="131"/>
        <v>0</v>
      </c>
      <c r="BH63" s="37">
        <f t="shared" si="131"/>
        <v>0</v>
      </c>
      <c r="BI63" s="37">
        <f t="shared" si="131"/>
        <v>0</v>
      </c>
      <c r="BJ63" s="37">
        <f t="shared" si="131"/>
        <v>0</v>
      </c>
      <c r="BK63" s="37">
        <f t="shared" si="131"/>
        <v>17</v>
      </c>
      <c r="BM63" s="37">
        <f t="shared" ref="BM63:BT63" si="132">BM36</f>
        <v>1</v>
      </c>
      <c r="BN63" s="37">
        <f t="shared" si="132"/>
        <v>0</v>
      </c>
      <c r="BO63" s="37">
        <f t="shared" si="132"/>
        <v>0</v>
      </c>
      <c r="BP63" s="37">
        <f t="shared" si="132"/>
        <v>0</v>
      </c>
      <c r="BQ63" s="37">
        <f t="shared" si="132"/>
        <v>0</v>
      </c>
      <c r="BR63" s="37">
        <f t="shared" si="132"/>
        <v>0</v>
      </c>
      <c r="BS63" s="37">
        <f t="shared" si="132"/>
        <v>0</v>
      </c>
      <c r="BT63" s="37">
        <f t="shared" si="132"/>
        <v>1</v>
      </c>
      <c r="BV63" s="37">
        <f t="shared" ref="BV63:CC63" si="133">BV36</f>
        <v>352.5</v>
      </c>
      <c r="BW63" s="37">
        <f t="shared" si="133"/>
        <v>41</v>
      </c>
      <c r="BX63" s="37">
        <f t="shared" si="133"/>
        <v>0</v>
      </c>
      <c r="BY63" s="37">
        <f t="shared" si="133"/>
        <v>0</v>
      </c>
      <c r="BZ63" s="37">
        <f t="shared" si="133"/>
        <v>0</v>
      </c>
      <c r="CA63" s="37">
        <f t="shared" si="133"/>
        <v>0</v>
      </c>
      <c r="CB63" s="37">
        <f t="shared" si="133"/>
        <v>0</v>
      </c>
      <c r="CC63" s="37">
        <f t="shared" si="133"/>
        <v>393.5</v>
      </c>
    </row>
    <row r="64" spans="1:81" ht="15">
      <c r="A64" s="38" t="s">
        <v>64</v>
      </c>
      <c r="B64" s="39">
        <f>B61</f>
        <v>18</v>
      </c>
      <c r="C64" s="39">
        <f t="shared" ref="C64:I64" si="134">C61</f>
        <v>5</v>
      </c>
      <c r="D64" s="39">
        <f t="shared" si="134"/>
        <v>2</v>
      </c>
      <c r="E64" s="39">
        <f t="shared" si="134"/>
        <v>0</v>
      </c>
      <c r="F64" s="39">
        <f t="shared" si="134"/>
        <v>0</v>
      </c>
      <c r="G64" s="39">
        <f t="shared" si="134"/>
        <v>0</v>
      </c>
      <c r="H64" s="39">
        <f t="shared" si="134"/>
        <v>0</v>
      </c>
      <c r="I64" s="39">
        <f t="shared" si="134"/>
        <v>25</v>
      </c>
      <c r="J64" s="7"/>
      <c r="K64" s="39">
        <f>K61</f>
        <v>22</v>
      </c>
      <c r="L64" s="39">
        <f t="shared" ref="L64:R64" si="135">L61</f>
        <v>6</v>
      </c>
      <c r="M64" s="39">
        <f t="shared" si="135"/>
        <v>2</v>
      </c>
      <c r="N64" s="39">
        <f t="shared" si="135"/>
        <v>0</v>
      </c>
      <c r="O64" s="39">
        <f t="shared" si="135"/>
        <v>0</v>
      </c>
      <c r="P64" s="39">
        <f t="shared" si="135"/>
        <v>0</v>
      </c>
      <c r="Q64" s="39">
        <f t="shared" si="135"/>
        <v>0</v>
      </c>
      <c r="R64" s="39">
        <f t="shared" si="135"/>
        <v>30</v>
      </c>
      <c r="T64" s="39">
        <f>T61</f>
        <v>22</v>
      </c>
      <c r="U64" s="39">
        <f t="shared" ref="U64:AA64" si="136">U61</f>
        <v>8.33</v>
      </c>
      <c r="V64" s="39">
        <f t="shared" si="136"/>
        <v>2</v>
      </c>
      <c r="W64" s="39">
        <f t="shared" si="136"/>
        <v>0</v>
      </c>
      <c r="X64" s="39">
        <f t="shared" si="136"/>
        <v>0</v>
      </c>
      <c r="Y64" s="39">
        <f t="shared" si="136"/>
        <v>0</v>
      </c>
      <c r="Z64" s="39">
        <f t="shared" si="136"/>
        <v>0</v>
      </c>
      <c r="AA64" s="39">
        <f t="shared" si="136"/>
        <v>32.33</v>
      </c>
      <c r="AC64" s="39">
        <f>AC61</f>
        <v>49</v>
      </c>
      <c r="AD64" s="39">
        <f t="shared" ref="AD64:AJ64" si="137">AD61</f>
        <v>17</v>
      </c>
      <c r="AE64" s="39">
        <f t="shared" si="137"/>
        <v>6</v>
      </c>
      <c r="AF64" s="39">
        <f t="shared" si="137"/>
        <v>0</v>
      </c>
      <c r="AG64" s="39">
        <f t="shared" si="137"/>
        <v>0</v>
      </c>
      <c r="AH64" s="39">
        <f t="shared" si="137"/>
        <v>0</v>
      </c>
      <c r="AI64" s="39">
        <f t="shared" si="137"/>
        <v>0</v>
      </c>
      <c r="AJ64" s="39">
        <f t="shared" si="137"/>
        <v>72</v>
      </c>
      <c r="AL64" s="39">
        <f>AL61</f>
        <v>42</v>
      </c>
      <c r="AM64" s="39">
        <f t="shared" ref="AM64:AS64" si="138">AM61</f>
        <v>14.5</v>
      </c>
      <c r="AN64" s="39">
        <f t="shared" si="138"/>
        <v>4</v>
      </c>
      <c r="AO64" s="39">
        <f t="shared" si="138"/>
        <v>0</v>
      </c>
      <c r="AP64" s="39">
        <f t="shared" si="138"/>
        <v>0</v>
      </c>
      <c r="AQ64" s="39">
        <f t="shared" si="138"/>
        <v>0</v>
      </c>
      <c r="AR64" s="39">
        <f t="shared" si="138"/>
        <v>0</v>
      </c>
      <c r="AS64" s="39">
        <f t="shared" si="138"/>
        <v>60.5</v>
      </c>
      <c r="AU64" s="39">
        <f>AU61</f>
        <v>3</v>
      </c>
      <c r="AV64" s="39">
        <f t="shared" ref="AV64:BB64" si="139">AV61</f>
        <v>1</v>
      </c>
      <c r="AW64" s="39">
        <f t="shared" si="139"/>
        <v>0</v>
      </c>
      <c r="AX64" s="39">
        <f t="shared" si="139"/>
        <v>0</v>
      </c>
      <c r="AY64" s="39">
        <f t="shared" si="139"/>
        <v>0</v>
      </c>
      <c r="AZ64" s="39">
        <f t="shared" si="139"/>
        <v>0</v>
      </c>
      <c r="BA64" s="39">
        <f t="shared" si="139"/>
        <v>0</v>
      </c>
      <c r="BB64" s="39">
        <f t="shared" si="139"/>
        <v>4</v>
      </c>
      <c r="BD64" s="39">
        <f>BD61</f>
        <v>8</v>
      </c>
      <c r="BE64" s="39">
        <f t="shared" ref="BE64:BK64" si="140">BE61</f>
        <v>0</v>
      </c>
      <c r="BF64" s="39">
        <f t="shared" si="140"/>
        <v>1</v>
      </c>
      <c r="BG64" s="39">
        <f t="shared" si="140"/>
        <v>0</v>
      </c>
      <c r="BH64" s="39">
        <f t="shared" si="140"/>
        <v>0</v>
      </c>
      <c r="BI64" s="39">
        <f t="shared" si="140"/>
        <v>0</v>
      </c>
      <c r="BJ64" s="39">
        <f t="shared" si="140"/>
        <v>0</v>
      </c>
      <c r="BK64" s="39">
        <f t="shared" si="140"/>
        <v>9</v>
      </c>
      <c r="BM64" s="39">
        <f>BM61</f>
        <v>2.5</v>
      </c>
      <c r="BN64" s="39">
        <f t="shared" ref="BN64:BT64" si="141">BN61</f>
        <v>0</v>
      </c>
      <c r="BO64" s="39">
        <f t="shared" si="141"/>
        <v>0.5</v>
      </c>
      <c r="BP64" s="39">
        <f t="shared" si="141"/>
        <v>0</v>
      </c>
      <c r="BQ64" s="39">
        <f t="shared" si="141"/>
        <v>0</v>
      </c>
      <c r="BR64" s="39">
        <f t="shared" si="141"/>
        <v>0</v>
      </c>
      <c r="BS64" s="39">
        <f t="shared" si="141"/>
        <v>0</v>
      </c>
      <c r="BT64" s="39">
        <f t="shared" si="141"/>
        <v>3</v>
      </c>
      <c r="BV64" s="39">
        <f>BV61</f>
        <v>166.5</v>
      </c>
      <c r="BW64" s="39">
        <f t="shared" ref="BW64:CC64" si="142">BW61</f>
        <v>51.83</v>
      </c>
      <c r="BX64" s="39">
        <f t="shared" si="142"/>
        <v>17.5</v>
      </c>
      <c r="BY64" s="39">
        <f t="shared" si="142"/>
        <v>0</v>
      </c>
      <c r="BZ64" s="39">
        <f t="shared" si="142"/>
        <v>0</v>
      </c>
      <c r="CA64" s="39">
        <f t="shared" si="142"/>
        <v>0</v>
      </c>
      <c r="CB64" s="39">
        <f t="shared" si="142"/>
        <v>0</v>
      </c>
      <c r="CC64" s="39">
        <f t="shared" si="142"/>
        <v>235.83</v>
      </c>
    </row>
    <row r="65" spans="1:81" ht="15.75" thickBot="1">
      <c r="A65" s="40" t="s">
        <v>65</v>
      </c>
      <c r="B65" s="41">
        <f>SUM(B63:B64)</f>
        <v>59.5</v>
      </c>
      <c r="C65" s="41">
        <f t="shared" ref="C65:H65" si="143">SUM(C63:C64)</f>
        <v>10</v>
      </c>
      <c r="D65" s="41">
        <f t="shared" si="143"/>
        <v>2</v>
      </c>
      <c r="E65" s="41">
        <f t="shared" si="143"/>
        <v>0</v>
      </c>
      <c r="F65" s="41">
        <f t="shared" si="143"/>
        <v>0</v>
      </c>
      <c r="G65" s="41">
        <f t="shared" si="143"/>
        <v>0</v>
      </c>
      <c r="H65" s="41">
        <f t="shared" si="143"/>
        <v>0</v>
      </c>
      <c r="I65" s="41">
        <f>SUM(I63:I64)</f>
        <v>71.5</v>
      </c>
      <c r="J65" s="7"/>
      <c r="K65" s="41">
        <f>SUM(K63:K64)</f>
        <v>66</v>
      </c>
      <c r="L65" s="41">
        <f t="shared" ref="L65:Q65" si="144">SUM(L63:L64)</f>
        <v>10</v>
      </c>
      <c r="M65" s="41">
        <f t="shared" si="144"/>
        <v>2</v>
      </c>
      <c r="N65" s="41">
        <f t="shared" si="144"/>
        <v>0</v>
      </c>
      <c r="O65" s="41">
        <f t="shared" si="144"/>
        <v>0</v>
      </c>
      <c r="P65" s="41">
        <f t="shared" si="144"/>
        <v>0</v>
      </c>
      <c r="Q65" s="41">
        <f t="shared" si="144"/>
        <v>0</v>
      </c>
      <c r="R65" s="41">
        <f>SUM(R63:R64)</f>
        <v>78</v>
      </c>
      <c r="T65" s="41">
        <f>SUM(T63:T64)</f>
        <v>78</v>
      </c>
      <c r="U65" s="41">
        <f t="shared" ref="U65:Z65" si="145">SUM(U63:U64)</f>
        <v>13.33</v>
      </c>
      <c r="V65" s="41">
        <f t="shared" si="145"/>
        <v>2</v>
      </c>
      <c r="W65" s="41">
        <f t="shared" si="145"/>
        <v>0</v>
      </c>
      <c r="X65" s="41">
        <f t="shared" si="145"/>
        <v>0</v>
      </c>
      <c r="Y65" s="41">
        <f t="shared" si="145"/>
        <v>0</v>
      </c>
      <c r="Z65" s="41">
        <f t="shared" si="145"/>
        <v>0</v>
      </c>
      <c r="AA65" s="41">
        <f>SUM(AA63:AA64)</f>
        <v>93.33</v>
      </c>
      <c r="AC65" s="41">
        <f>SUM(AC63:AC64)</f>
        <v>147</v>
      </c>
      <c r="AD65" s="41">
        <f t="shared" ref="AD65:AI65" si="146">SUM(AD63:AD64)</f>
        <v>30</v>
      </c>
      <c r="AE65" s="41">
        <f t="shared" si="146"/>
        <v>6</v>
      </c>
      <c r="AF65" s="41">
        <f t="shared" si="146"/>
        <v>0</v>
      </c>
      <c r="AG65" s="41">
        <f t="shared" si="146"/>
        <v>0</v>
      </c>
      <c r="AH65" s="41">
        <f t="shared" si="146"/>
        <v>0</v>
      </c>
      <c r="AI65" s="41">
        <f t="shared" si="146"/>
        <v>0</v>
      </c>
      <c r="AJ65" s="41">
        <f>SUM(AJ63:AJ64)</f>
        <v>183</v>
      </c>
      <c r="AL65" s="41">
        <f>SUM(AL63:AL64)</f>
        <v>138</v>
      </c>
      <c r="AM65" s="41">
        <f t="shared" ref="AM65:AR65" si="147">SUM(AM63:AM64)</f>
        <v>26.5</v>
      </c>
      <c r="AN65" s="41">
        <f t="shared" si="147"/>
        <v>4</v>
      </c>
      <c r="AO65" s="41">
        <f t="shared" si="147"/>
        <v>0</v>
      </c>
      <c r="AP65" s="41">
        <f t="shared" si="147"/>
        <v>0</v>
      </c>
      <c r="AQ65" s="41">
        <f t="shared" si="147"/>
        <v>0</v>
      </c>
      <c r="AR65" s="41">
        <f t="shared" si="147"/>
        <v>0</v>
      </c>
      <c r="AS65" s="41">
        <f>SUM(AS63:AS64)</f>
        <v>168.5</v>
      </c>
      <c r="AU65" s="41">
        <f>SUM(AU63:AU64)</f>
        <v>3</v>
      </c>
      <c r="AV65" s="41">
        <f t="shared" ref="AV65:BA65" si="148">SUM(AV63:AV64)</f>
        <v>2</v>
      </c>
      <c r="AW65" s="41">
        <f t="shared" si="148"/>
        <v>0</v>
      </c>
      <c r="AX65" s="41">
        <f t="shared" si="148"/>
        <v>0</v>
      </c>
      <c r="AY65" s="41">
        <f t="shared" si="148"/>
        <v>0</v>
      </c>
      <c r="AZ65" s="41">
        <f t="shared" si="148"/>
        <v>0</v>
      </c>
      <c r="BA65" s="41">
        <f t="shared" si="148"/>
        <v>0</v>
      </c>
      <c r="BB65" s="41">
        <f>SUM(BB63:BB64)</f>
        <v>5</v>
      </c>
      <c r="BD65" s="41">
        <f>SUM(BD63:BD64)</f>
        <v>24</v>
      </c>
      <c r="BE65" s="41">
        <f t="shared" ref="BE65:BJ65" si="149">SUM(BE63:BE64)</f>
        <v>1</v>
      </c>
      <c r="BF65" s="41">
        <f t="shared" si="149"/>
        <v>1</v>
      </c>
      <c r="BG65" s="41">
        <f t="shared" si="149"/>
        <v>0</v>
      </c>
      <c r="BH65" s="41">
        <f t="shared" si="149"/>
        <v>0</v>
      </c>
      <c r="BI65" s="41">
        <f t="shared" si="149"/>
        <v>0</v>
      </c>
      <c r="BJ65" s="41">
        <f t="shared" si="149"/>
        <v>0</v>
      </c>
      <c r="BK65" s="41">
        <f>SUM(BK63:BK64)</f>
        <v>26</v>
      </c>
      <c r="BM65" s="41">
        <f>SUM(BM63:BM64)</f>
        <v>3.5</v>
      </c>
      <c r="BN65" s="41">
        <f t="shared" ref="BN65:BS65" si="150">SUM(BN63:BN64)</f>
        <v>0</v>
      </c>
      <c r="BO65" s="41">
        <f t="shared" si="150"/>
        <v>0.5</v>
      </c>
      <c r="BP65" s="41">
        <f t="shared" si="150"/>
        <v>0</v>
      </c>
      <c r="BQ65" s="41">
        <f t="shared" si="150"/>
        <v>0</v>
      </c>
      <c r="BR65" s="41">
        <f t="shared" si="150"/>
        <v>0</v>
      </c>
      <c r="BS65" s="41">
        <f t="shared" si="150"/>
        <v>0</v>
      </c>
      <c r="BT65" s="41">
        <f>SUM(BT63:BT64)</f>
        <v>4</v>
      </c>
      <c r="BV65" s="41">
        <f>SUM(BV63:BV64)</f>
        <v>519</v>
      </c>
      <c r="BW65" s="41">
        <f t="shared" ref="BW65:CB65" si="151">SUM(BW63:BW64)</f>
        <v>92.83</v>
      </c>
      <c r="BX65" s="41">
        <f t="shared" si="151"/>
        <v>17.5</v>
      </c>
      <c r="BY65" s="41">
        <f t="shared" si="151"/>
        <v>0</v>
      </c>
      <c r="BZ65" s="41">
        <f t="shared" si="151"/>
        <v>0</v>
      </c>
      <c r="CA65" s="41">
        <f t="shared" si="151"/>
        <v>0</v>
      </c>
      <c r="CB65" s="41">
        <f t="shared" si="151"/>
        <v>0</v>
      </c>
      <c r="CC65" s="41">
        <f>SUM(CC63:CC64)</f>
        <v>629.33000000000004</v>
      </c>
    </row>
    <row r="66" spans="1:81">
      <c r="A66" s="29"/>
      <c r="B66" s="42"/>
      <c r="C66" s="42"/>
      <c r="D66" s="42"/>
      <c r="E66" s="42"/>
      <c r="F66" s="42"/>
      <c r="G66" s="42"/>
      <c r="H66" s="42"/>
      <c r="I66" s="42"/>
      <c r="J66" s="7"/>
      <c r="K66" s="42"/>
      <c r="L66" s="42"/>
      <c r="M66" s="42"/>
      <c r="N66" s="42"/>
      <c r="O66" s="42"/>
      <c r="P66" s="42"/>
      <c r="Q66" s="42"/>
      <c r="R66" s="42"/>
      <c r="T66" s="42"/>
      <c r="U66" s="42"/>
      <c r="V66" s="42"/>
      <c r="W66" s="42"/>
      <c r="X66" s="42"/>
      <c r="Y66" s="42"/>
      <c r="Z66" s="42"/>
      <c r="AA66" s="42"/>
      <c r="AC66" s="42"/>
      <c r="AD66" s="42"/>
      <c r="AE66" s="42"/>
      <c r="AF66" s="42"/>
      <c r="AG66" s="42"/>
      <c r="AH66" s="42"/>
      <c r="AI66" s="42"/>
      <c r="AJ66" s="42"/>
      <c r="AL66" s="42"/>
      <c r="AM66" s="42"/>
      <c r="AN66" s="42"/>
      <c r="AO66" s="42"/>
      <c r="AP66" s="42"/>
      <c r="AQ66" s="42"/>
      <c r="AR66" s="42"/>
      <c r="AS66" s="42"/>
      <c r="AU66" s="42"/>
      <c r="AV66" s="42"/>
      <c r="AW66" s="42"/>
      <c r="AX66" s="42"/>
      <c r="AY66" s="42"/>
      <c r="AZ66" s="42"/>
      <c r="BA66" s="42"/>
      <c r="BB66" s="42"/>
      <c r="BD66" s="42"/>
      <c r="BE66" s="42"/>
      <c r="BF66" s="42"/>
      <c r="BG66" s="42"/>
      <c r="BH66" s="42"/>
      <c r="BI66" s="42"/>
      <c r="BJ66" s="42"/>
      <c r="BK66" s="42"/>
      <c r="BM66" s="42"/>
      <c r="BN66" s="42"/>
      <c r="BO66" s="42"/>
      <c r="BP66" s="42"/>
      <c r="BQ66" s="42"/>
      <c r="BR66" s="42"/>
      <c r="BS66" s="42"/>
      <c r="BT66" s="42"/>
      <c r="BV66" s="42"/>
      <c r="BW66" s="42"/>
      <c r="BX66" s="42"/>
      <c r="BY66" s="42"/>
      <c r="BZ66" s="42"/>
      <c r="CA66" s="42"/>
      <c r="CB66" s="42"/>
      <c r="CC66" s="42"/>
    </row>
    <row r="67" spans="1:81" ht="15">
      <c r="A67" s="43" t="s">
        <v>66</v>
      </c>
      <c r="B67" s="44"/>
      <c r="C67" s="44"/>
      <c r="D67" s="44"/>
      <c r="E67" s="44"/>
      <c r="F67" s="44"/>
      <c r="G67" s="44"/>
      <c r="H67" s="44"/>
      <c r="I67" s="45">
        <f>I142/(I211+I213+I214+I215+I216+I217)</f>
        <v>0.61411761655080066</v>
      </c>
      <c r="J67" s="7"/>
      <c r="K67" s="44"/>
      <c r="L67" s="44"/>
      <c r="M67" s="44"/>
      <c r="N67" s="44"/>
      <c r="O67" s="44"/>
      <c r="P67" s="44"/>
      <c r="Q67" s="44"/>
      <c r="R67" s="45">
        <f>R142/(R211+R213+R214+R215+R216+R217)</f>
        <v>0.59956190833702716</v>
      </c>
      <c r="T67" s="44"/>
      <c r="U67" s="44"/>
      <c r="V67" s="44"/>
      <c r="W67" s="44"/>
      <c r="X67" s="44"/>
      <c r="Y67" s="44"/>
      <c r="Z67" s="44"/>
      <c r="AA67" s="45">
        <f>AA142/(AA211+AA213+AA214+AA215+AA216+AA217)</f>
        <v>0.62238522749408598</v>
      </c>
      <c r="AC67" s="44"/>
      <c r="AD67" s="44"/>
      <c r="AE67" s="44"/>
      <c r="AF67" s="44"/>
      <c r="AG67" s="44"/>
      <c r="AH67" s="44"/>
      <c r="AI67" s="44"/>
      <c r="AJ67" s="45">
        <f>AJ142/(AJ211+AJ213+AJ214+AJ215+AJ216+AJ217)</f>
        <v>0.60547469409770693</v>
      </c>
      <c r="AL67" s="44"/>
      <c r="AM67" s="44"/>
      <c r="AN67" s="44"/>
      <c r="AO67" s="44"/>
      <c r="AP67" s="44"/>
      <c r="AQ67" s="44"/>
      <c r="AR67" s="44"/>
      <c r="AS67" s="45">
        <f>AS142/(AS211+AS213+AS214+AS215+AS216+AS217)</f>
        <v>0.55842906646037094</v>
      </c>
      <c r="AU67" s="44"/>
      <c r="AV67" s="44"/>
      <c r="AW67" s="44"/>
      <c r="AX67" s="44"/>
      <c r="AY67" s="44"/>
      <c r="AZ67" s="44"/>
      <c r="BA67" s="44"/>
      <c r="BB67" s="45">
        <f>BB142/(BB211+BB213+BB214+BB215+BB216+BB217)</f>
        <v>0.47772036456668715</v>
      </c>
      <c r="BD67" s="44"/>
      <c r="BE67" s="44"/>
      <c r="BF67" s="44"/>
      <c r="BG67" s="44"/>
      <c r="BH67" s="44"/>
      <c r="BI67" s="44"/>
      <c r="BJ67" s="44"/>
      <c r="BK67" s="45">
        <f>BK142/(BK211+BK213+BK214+BK215+BK216+BK217)</f>
        <v>0.56772424892087414</v>
      </c>
      <c r="BM67" s="44"/>
      <c r="BN67" s="44"/>
      <c r="BO67" s="44"/>
      <c r="BP67" s="44"/>
      <c r="BQ67" s="44"/>
      <c r="BR67" s="44"/>
      <c r="BS67" s="44"/>
      <c r="BT67" s="45">
        <f>BT142/(BT211+BT213+BT214+BT215+BT216+BT217)</f>
        <v>0.99006740796767922</v>
      </c>
      <c r="BV67" s="44"/>
      <c r="BW67" s="44"/>
      <c r="BX67" s="44"/>
      <c r="BY67" s="44"/>
      <c r="BZ67" s="44"/>
      <c r="CA67" s="44"/>
      <c r="CB67" s="44"/>
      <c r="CC67" s="45">
        <f>CC142/(CC211+CC213+CC214+CC215+CC216+CC217)</f>
        <v>0.59328299109481764</v>
      </c>
    </row>
    <row r="68" spans="1:81" ht="15">
      <c r="A68" s="43" t="s">
        <v>67</v>
      </c>
      <c r="B68" s="44"/>
      <c r="C68" s="44"/>
      <c r="D68" s="44"/>
      <c r="E68" s="44"/>
      <c r="F68" s="44"/>
      <c r="G68" s="44"/>
      <c r="H68" s="44"/>
      <c r="I68" s="45">
        <f>(I114+I115+I118+I128)/I132</f>
        <v>0.74704217755155211</v>
      </c>
      <c r="J68" s="7"/>
      <c r="K68" s="44"/>
      <c r="L68" s="44"/>
      <c r="M68" s="44"/>
      <c r="N68" s="44"/>
      <c r="O68" s="44"/>
      <c r="P68" s="44"/>
      <c r="Q68" s="44"/>
      <c r="R68" s="45">
        <f>(R114+R115+R118+R128)/R132</f>
        <v>0.72323270146823493</v>
      </c>
      <c r="T68" s="44"/>
      <c r="U68" s="44"/>
      <c r="V68" s="44"/>
      <c r="W68" s="44"/>
      <c r="X68" s="44"/>
      <c r="Y68" s="44"/>
      <c r="Z68" s="44"/>
      <c r="AA68" s="45">
        <f>(AA114+AA115+AA118+AA128)/AA132</f>
        <v>0.73476798707994462</v>
      </c>
      <c r="AC68" s="44"/>
      <c r="AD68" s="44"/>
      <c r="AE68" s="44"/>
      <c r="AF68" s="44"/>
      <c r="AG68" s="44"/>
      <c r="AH68" s="44"/>
      <c r="AI68" s="44"/>
      <c r="AJ68" s="45">
        <f>(AJ114+AJ115+AJ118+AJ128)/AJ132</f>
        <v>0.72585725013874558</v>
      </c>
      <c r="AL68" s="44"/>
      <c r="AM68" s="44"/>
      <c r="AN68" s="44"/>
      <c r="AO68" s="44"/>
      <c r="AP68" s="44"/>
      <c r="AQ68" s="44"/>
      <c r="AR68" s="44"/>
      <c r="AS68" s="45">
        <f>(AS114+AS115+AS118+AS128)/AS132</f>
        <v>0.74474040106952899</v>
      </c>
      <c r="AU68" s="44"/>
      <c r="AV68" s="44"/>
      <c r="AW68" s="44"/>
      <c r="AX68" s="44"/>
      <c r="AY68" s="44"/>
      <c r="AZ68" s="44"/>
      <c r="BA68" s="44"/>
      <c r="BB68" s="45">
        <f>(BB114+BB115+BB118+BB128)/BB132</f>
        <v>0.65411442501791206</v>
      </c>
      <c r="BD68" s="44"/>
      <c r="BE68" s="44"/>
      <c r="BF68" s="44"/>
      <c r="BG68" s="44"/>
      <c r="BH68" s="44"/>
      <c r="BI68" s="44"/>
      <c r="BJ68" s="44"/>
      <c r="BK68" s="45">
        <f>(BK114+BK115+BK118+BK128)/BK132</f>
        <v>0.75639321624448297</v>
      </c>
      <c r="BM68" s="44"/>
      <c r="BN68" s="44"/>
      <c r="BO68" s="44"/>
      <c r="BP68" s="44"/>
      <c r="BQ68" s="44"/>
      <c r="BR68" s="44"/>
      <c r="BS68" s="44"/>
      <c r="BT68" s="45">
        <f>(BT114+BT115+BT118+BT128)/BT132</f>
        <v>0.31804806924716145</v>
      </c>
      <c r="BV68" s="44"/>
      <c r="BW68" s="44"/>
      <c r="BX68" s="44"/>
      <c r="BY68" s="44"/>
      <c r="BZ68" s="44"/>
      <c r="CA68" s="44"/>
      <c r="CB68" s="44"/>
      <c r="CC68" s="45">
        <f>(CC114+CC115+CC118+CC128)/CC132</f>
        <v>0.73166921788735939</v>
      </c>
    </row>
    <row r="69" spans="1:81" ht="15">
      <c r="A69" s="43" t="s">
        <v>68</v>
      </c>
      <c r="B69" s="44"/>
      <c r="C69" s="44"/>
      <c r="D69" s="44"/>
      <c r="E69" s="44"/>
      <c r="F69" s="44"/>
      <c r="G69" s="44"/>
      <c r="H69" s="44"/>
      <c r="I69" s="45">
        <f>(I107+I108+I109+I112+I116+I117+I119+I120++I123+I124+I125+I126+I127+I129+I130)/I132</f>
        <v>0.2326301662066898</v>
      </c>
      <c r="J69" s="7"/>
      <c r="K69" s="44"/>
      <c r="L69" s="44"/>
      <c r="M69" s="44"/>
      <c r="N69" s="44"/>
      <c r="O69" s="44"/>
      <c r="P69" s="44"/>
      <c r="Q69" s="44"/>
      <c r="R69" s="45">
        <f>(R107+R108+R109+R112+R116+R117+R119+R120++R123+R124+R125+R126+R127+R129+R130)/R132</f>
        <v>0.25821185638639554</v>
      </c>
      <c r="T69" s="44"/>
      <c r="U69" s="44"/>
      <c r="V69" s="44"/>
      <c r="W69" s="44"/>
      <c r="X69" s="44"/>
      <c r="Y69" s="44"/>
      <c r="Z69" s="44"/>
      <c r="AA69" s="45">
        <f>(AA107+AA108+AA109+AA112+AA116+AA117+AA119+AA120++AA123+AA124+AA125+AA126+AA127+AA129+AA130)/AA132</f>
        <v>0.25005722000619102</v>
      </c>
      <c r="AC69" s="44"/>
      <c r="AD69" s="44"/>
      <c r="AE69" s="44"/>
      <c r="AF69" s="44"/>
      <c r="AG69" s="44"/>
      <c r="AH69" s="44"/>
      <c r="AI69" s="44"/>
      <c r="AJ69" s="45">
        <f>(AJ107+AJ108+AJ109+AJ112+AJ116+AJ117+AJ119+AJ120++AJ123+AJ124+AJ125+AJ126+AJ127+AJ129+AJ130)/AJ132</f>
        <v>0.23066945813611534</v>
      </c>
      <c r="AL69" s="44"/>
      <c r="AM69" s="44"/>
      <c r="AN69" s="44"/>
      <c r="AO69" s="44"/>
      <c r="AP69" s="44"/>
      <c r="AQ69" s="44"/>
      <c r="AR69" s="44"/>
      <c r="AS69" s="45">
        <f>(AS107+AS108+AS109+AS112+AS116+AS117+AS119+AS120++AS123+AS124+AS125+AS126+AS127+AS129+AS130)/AS132</f>
        <v>0.21519569924034582</v>
      </c>
      <c r="AU69" s="44"/>
      <c r="AV69" s="44"/>
      <c r="AW69" s="44"/>
      <c r="AX69" s="44"/>
      <c r="AY69" s="44"/>
      <c r="AZ69" s="44"/>
      <c r="BA69" s="44"/>
      <c r="BB69" s="45">
        <f>(BB107+BB108+BB109+BB112+BB116+BB117+BB119+BB120++BB123+BB124+BB125+BB126+BB127+BB129+BB130)/BB132</f>
        <v>0</v>
      </c>
      <c r="BD69" s="44"/>
      <c r="BE69" s="44"/>
      <c r="BF69" s="44"/>
      <c r="BG69" s="44"/>
      <c r="BH69" s="44"/>
      <c r="BI69" s="44"/>
      <c r="BJ69" s="44"/>
      <c r="BK69" s="45">
        <f>(BK107+BK108+BK109+BK112+BK116+BK117+BK119+BK120++BK123+BK124+BK125+BK126+BK127+BK129+BK130)/BK132</f>
        <v>0.24360678375551703</v>
      </c>
      <c r="BM69" s="44"/>
      <c r="BN69" s="44"/>
      <c r="BO69" s="44"/>
      <c r="BP69" s="44"/>
      <c r="BQ69" s="44"/>
      <c r="BR69" s="44"/>
      <c r="BS69" s="44"/>
      <c r="BT69" s="45">
        <f>(BT107+BT108+BT109+BT112+BT116+BT117+BT119+BT120++BT123+BT124+BT125+BT126+BT127+BT129+BT130+BT111)/BT132</f>
        <v>0.68195193075283855</v>
      </c>
      <c r="BV69" s="44"/>
      <c r="BW69" s="44"/>
      <c r="BX69" s="44"/>
      <c r="BY69" s="44"/>
      <c r="BZ69" s="44"/>
      <c r="CA69" s="44"/>
      <c r="CB69" s="44"/>
      <c r="CC69" s="45">
        <f>(CC107+CC108+CC109+CC112+CC116+CC117+CC119+CC120++CC123+CC124+CC125+CC126+CC127+CC129+CC130+CC111)/CC132</f>
        <v>0.25378121994563269</v>
      </c>
    </row>
    <row r="70" spans="1:81" ht="15">
      <c r="A70" s="43" t="s">
        <v>69</v>
      </c>
      <c r="B70" s="44"/>
      <c r="C70" s="44"/>
      <c r="D70" s="44"/>
      <c r="E70" s="44"/>
      <c r="F70" s="44"/>
      <c r="G70" s="44"/>
      <c r="H70" s="44"/>
      <c r="I70" s="45">
        <f>(I214+I215+I216+I217+I213)/I97</f>
        <v>8.8661332493599157E-2</v>
      </c>
      <c r="J70" s="7"/>
      <c r="K70" s="44"/>
      <c r="L70" s="44"/>
      <c r="M70" s="44"/>
      <c r="N70" s="44"/>
      <c r="O70" s="44"/>
      <c r="P70" s="44"/>
      <c r="Q70" s="44"/>
      <c r="R70" s="45">
        <f>(R214+R215+R216+R217+R213)/R97</f>
        <v>8.4917299504373739E-2</v>
      </c>
      <c r="T70" s="44"/>
      <c r="U70" s="44"/>
      <c r="V70" s="44"/>
      <c r="W70" s="44"/>
      <c r="X70" s="44"/>
      <c r="Y70" s="44"/>
      <c r="Z70" s="44"/>
      <c r="AA70" s="45">
        <f>(AA214+AA215+AA216+AA217+AA213)/AA97</f>
        <v>8.61736411428356E-2</v>
      </c>
      <c r="AC70" s="44"/>
      <c r="AD70" s="44"/>
      <c r="AE70" s="44"/>
      <c r="AF70" s="44"/>
      <c r="AG70" s="44"/>
      <c r="AH70" s="44"/>
      <c r="AI70" s="44"/>
      <c r="AJ70" s="45">
        <f>(AJ214+AJ215+AJ216+AJ217+AJ213)/AJ97</f>
        <v>8.8502772046626821E-2</v>
      </c>
      <c r="AL70" s="44"/>
      <c r="AM70" s="44"/>
      <c r="AN70" s="44"/>
      <c r="AO70" s="44"/>
      <c r="AP70" s="44"/>
      <c r="AQ70" s="44"/>
      <c r="AR70" s="44"/>
      <c r="AS70" s="45">
        <f>(AS214+AS215+AS216+AS217+AS213)/AS97</f>
        <v>0.14062434642534027</v>
      </c>
      <c r="AU70" s="44"/>
      <c r="AV70" s="44"/>
      <c r="AW70" s="44"/>
      <c r="AX70" s="44"/>
      <c r="AY70" s="44"/>
      <c r="AZ70" s="44"/>
      <c r="BA70" s="44"/>
      <c r="BB70" s="45">
        <f>(BB214+BB215+BB216+BB217+BB213)/BB97</f>
        <v>0</v>
      </c>
      <c r="BD70" s="44"/>
      <c r="BE70" s="44"/>
      <c r="BF70" s="44"/>
      <c r="BG70" s="44"/>
      <c r="BH70" s="44"/>
      <c r="BI70" s="44"/>
      <c r="BJ70" s="44"/>
      <c r="BK70" s="45">
        <f>(BK214+BK215+BK216+BK217+BK213)/BK97</f>
        <v>6.5278506081103305E-2</v>
      </c>
      <c r="BM70" s="44"/>
      <c r="BN70" s="44"/>
      <c r="BO70" s="44"/>
      <c r="BP70" s="44"/>
      <c r="BQ70" s="44"/>
      <c r="BR70" s="44"/>
      <c r="BS70" s="44"/>
      <c r="BT70" s="45" t="e">
        <f>(BT214+BT215+BT216+BT217+BT213)/BT97</f>
        <v>#DIV/0!</v>
      </c>
      <c r="BV70" s="44"/>
      <c r="BW70" s="44"/>
      <c r="BX70" s="44"/>
      <c r="BY70" s="44"/>
      <c r="BZ70" s="44"/>
      <c r="CA70" s="44"/>
      <c r="CB70" s="44"/>
      <c r="CC70" s="45">
        <f>(CC214+CC215+CC216+CC217+CC213)/CC97</f>
        <v>9.9812105704577395E-2</v>
      </c>
    </row>
    <row r="71" spans="1:81" ht="15" thickBot="1">
      <c r="B71" s="42"/>
      <c r="C71" s="42"/>
      <c r="D71" s="42"/>
      <c r="E71" s="42"/>
      <c r="F71" s="42"/>
      <c r="G71" s="42"/>
      <c r="H71" s="42"/>
      <c r="I71" s="42"/>
      <c r="J71" s="7"/>
      <c r="K71" s="42"/>
      <c r="L71" s="42"/>
      <c r="M71" s="42"/>
      <c r="N71" s="42"/>
      <c r="O71" s="42"/>
      <c r="P71" s="42"/>
      <c r="Q71" s="42"/>
      <c r="R71" s="42"/>
      <c r="T71" s="42"/>
      <c r="U71" s="42"/>
      <c r="V71" s="42"/>
      <c r="W71" s="42"/>
      <c r="X71" s="42"/>
      <c r="Y71" s="42"/>
      <c r="Z71" s="42"/>
      <c r="AA71" s="42"/>
      <c r="AC71" s="42"/>
      <c r="AD71" s="42"/>
      <c r="AE71" s="42"/>
      <c r="AF71" s="42"/>
      <c r="AG71" s="42"/>
      <c r="AH71" s="42"/>
      <c r="AI71" s="42"/>
      <c r="AJ71" s="42"/>
      <c r="AL71" s="42"/>
      <c r="AM71" s="42"/>
      <c r="AN71" s="42"/>
      <c r="AO71" s="42"/>
      <c r="AP71" s="42"/>
      <c r="AQ71" s="42"/>
      <c r="AR71" s="42"/>
      <c r="AS71" s="42"/>
      <c r="AU71" s="42"/>
      <c r="AV71" s="42"/>
      <c r="AW71" s="42"/>
      <c r="AX71" s="42"/>
      <c r="AY71" s="42"/>
      <c r="AZ71" s="42"/>
      <c r="BA71" s="42"/>
      <c r="BB71" s="42"/>
      <c r="BD71" s="42"/>
      <c r="BE71" s="42"/>
      <c r="BF71" s="42"/>
      <c r="BG71" s="42"/>
      <c r="BH71" s="42"/>
      <c r="BI71" s="42"/>
      <c r="BJ71" s="42"/>
      <c r="BK71" s="42"/>
      <c r="BM71" s="42"/>
      <c r="BN71" s="42"/>
      <c r="BO71" s="42"/>
      <c r="BP71" s="42"/>
      <c r="BQ71" s="42"/>
      <c r="BR71" s="42"/>
      <c r="BS71" s="42"/>
      <c r="BT71" s="42"/>
      <c r="BV71" s="42"/>
      <c r="BW71" s="42"/>
      <c r="BX71" s="42"/>
      <c r="BY71" s="42"/>
      <c r="BZ71" s="42"/>
      <c r="CA71" s="42"/>
      <c r="CB71" s="42"/>
      <c r="CC71" s="42"/>
    </row>
    <row r="72" spans="1:81" ht="15.75" thickBot="1">
      <c r="A72" s="46" t="s">
        <v>70</v>
      </c>
      <c r="B72" s="47" t="str">
        <f t="shared" ref="B72:I72" si="152">B1</f>
        <v>Operating</v>
      </c>
      <c r="C72" s="47" t="str">
        <f t="shared" si="152"/>
        <v>SPED</v>
      </c>
      <c r="D72" s="47" t="str">
        <f t="shared" si="152"/>
        <v>NSLP</v>
      </c>
      <c r="E72" s="47" t="str">
        <f t="shared" si="152"/>
        <v>Other</v>
      </c>
      <c r="F72" s="47" t="str">
        <f t="shared" si="152"/>
        <v>Title I</v>
      </c>
      <c r="G72" s="47" t="str">
        <f t="shared" si="152"/>
        <v>SGF</v>
      </c>
      <c r="H72" s="47" t="str">
        <f t="shared" si="152"/>
        <v>Title III</v>
      </c>
      <c r="I72" s="47" t="str">
        <f t="shared" si="152"/>
        <v>Horizon</v>
      </c>
      <c r="J72" s="7"/>
      <c r="K72" s="47" t="str">
        <f t="shared" ref="K72:R72" si="153">K1</f>
        <v>Operating</v>
      </c>
      <c r="L72" s="47" t="str">
        <f t="shared" si="153"/>
        <v>SPED</v>
      </c>
      <c r="M72" s="47" t="str">
        <f t="shared" si="153"/>
        <v>NSLP</v>
      </c>
      <c r="N72" s="47" t="str">
        <f t="shared" si="153"/>
        <v>Other</v>
      </c>
      <c r="O72" s="47" t="str">
        <f t="shared" si="153"/>
        <v>Title I</v>
      </c>
      <c r="P72" s="47" t="str">
        <f t="shared" si="153"/>
        <v>SGF</v>
      </c>
      <c r="Q72" s="47" t="str">
        <f t="shared" si="153"/>
        <v>Title III</v>
      </c>
      <c r="R72" s="47" t="str">
        <f t="shared" si="153"/>
        <v>St. Rose</v>
      </c>
      <c r="T72" s="47" t="str">
        <f t="shared" ref="T72:AA72" si="154">T1</f>
        <v>Operating</v>
      </c>
      <c r="U72" s="47" t="str">
        <f t="shared" si="154"/>
        <v>SPED</v>
      </c>
      <c r="V72" s="47" t="str">
        <f t="shared" si="154"/>
        <v>NSLP</v>
      </c>
      <c r="W72" s="47" t="str">
        <f t="shared" si="154"/>
        <v>Other</v>
      </c>
      <c r="X72" s="47" t="str">
        <f t="shared" si="154"/>
        <v>Title I</v>
      </c>
      <c r="Y72" s="47" t="str">
        <f t="shared" si="154"/>
        <v>SGF</v>
      </c>
      <c r="Z72" s="47" t="str">
        <f t="shared" si="154"/>
        <v>Title III</v>
      </c>
      <c r="AA72" s="47" t="str">
        <f t="shared" si="154"/>
        <v>Inspirada</v>
      </c>
      <c r="AC72" s="47" t="str">
        <f t="shared" ref="AC72:AJ72" si="155">AC1</f>
        <v>Operating</v>
      </c>
      <c r="AD72" s="47" t="str">
        <f t="shared" si="155"/>
        <v>SPED</v>
      </c>
      <c r="AE72" s="47" t="str">
        <f t="shared" si="155"/>
        <v>NSLP</v>
      </c>
      <c r="AF72" s="47" t="str">
        <f t="shared" si="155"/>
        <v>Other</v>
      </c>
      <c r="AG72" s="47" t="str">
        <f t="shared" si="155"/>
        <v>Title I</v>
      </c>
      <c r="AH72" s="47" t="str">
        <f t="shared" si="155"/>
        <v>SGF</v>
      </c>
      <c r="AI72" s="47" t="str">
        <f t="shared" si="155"/>
        <v>Title III</v>
      </c>
      <c r="AJ72" s="47" t="str">
        <f t="shared" si="155"/>
        <v>Cadence</v>
      </c>
      <c r="AL72" s="47" t="str">
        <f t="shared" ref="AL72:AS72" si="156">AL1</f>
        <v>Operating</v>
      </c>
      <c r="AM72" s="47" t="str">
        <f t="shared" si="156"/>
        <v>SPED</v>
      </c>
      <c r="AN72" s="47" t="str">
        <f t="shared" si="156"/>
        <v>NSLP</v>
      </c>
      <c r="AO72" s="47" t="str">
        <f t="shared" si="156"/>
        <v>Other</v>
      </c>
      <c r="AP72" s="47" t="str">
        <f t="shared" si="156"/>
        <v>Title I</v>
      </c>
      <c r="AQ72" s="47" t="str">
        <f t="shared" si="156"/>
        <v>SGF</v>
      </c>
      <c r="AR72" s="47" t="str">
        <f t="shared" si="156"/>
        <v>Title III</v>
      </c>
      <c r="AS72" s="47" t="str">
        <f t="shared" si="156"/>
        <v>Sloan</v>
      </c>
      <c r="AU72" s="47" t="str">
        <f t="shared" ref="AU72:BB72" si="157">AU1</f>
        <v>Operating</v>
      </c>
      <c r="AV72" s="47" t="str">
        <f t="shared" si="157"/>
        <v>SPED</v>
      </c>
      <c r="AW72" s="47" t="str">
        <f t="shared" si="157"/>
        <v>NSLP</v>
      </c>
      <c r="AX72" s="47" t="str">
        <f t="shared" si="157"/>
        <v>Other</v>
      </c>
      <c r="AY72" s="47" t="str">
        <f t="shared" si="157"/>
        <v>Title I</v>
      </c>
      <c r="AZ72" s="47" t="str">
        <f t="shared" si="157"/>
        <v>SGF</v>
      </c>
      <c r="BA72" s="47" t="str">
        <f t="shared" si="157"/>
        <v>Title III</v>
      </c>
      <c r="BB72" s="47" t="str">
        <f t="shared" si="157"/>
        <v>Virtual</v>
      </c>
      <c r="BD72" s="47" t="str">
        <f t="shared" ref="BD72:BK72" si="158">BD1</f>
        <v>Operating</v>
      </c>
      <c r="BE72" s="47" t="str">
        <f t="shared" si="158"/>
        <v>SPED</v>
      </c>
      <c r="BF72" s="47" t="str">
        <f t="shared" si="158"/>
        <v>NSLP</v>
      </c>
      <c r="BG72" s="47" t="str">
        <f t="shared" si="158"/>
        <v>Other</v>
      </c>
      <c r="BH72" s="47" t="str">
        <f t="shared" si="158"/>
        <v>Title I</v>
      </c>
      <c r="BI72" s="47" t="str">
        <f t="shared" si="158"/>
        <v>SGF</v>
      </c>
      <c r="BJ72" s="47" t="str">
        <f t="shared" si="158"/>
        <v>Title III</v>
      </c>
      <c r="BK72" s="47" t="str">
        <f t="shared" si="158"/>
        <v>Springs</v>
      </c>
      <c r="BM72" s="47" t="str">
        <f t="shared" ref="BM72:BT72" si="159">BM1</f>
        <v>Operating</v>
      </c>
      <c r="BN72" s="47" t="str">
        <f t="shared" si="159"/>
        <v>SPED</v>
      </c>
      <c r="BO72" s="47" t="str">
        <f t="shared" si="159"/>
        <v>NSLP</v>
      </c>
      <c r="BP72" s="47" t="str">
        <f t="shared" si="159"/>
        <v>Other</v>
      </c>
      <c r="BQ72" s="47" t="str">
        <f t="shared" si="159"/>
        <v>Title I</v>
      </c>
      <c r="BR72" s="47" t="str">
        <f t="shared" si="159"/>
        <v>SGF</v>
      </c>
      <c r="BS72" s="47" t="str">
        <f t="shared" si="159"/>
        <v>Title III</v>
      </c>
      <c r="BT72" s="47" t="str">
        <f t="shared" si="159"/>
        <v>Exec. Office</v>
      </c>
      <c r="BV72" s="47" t="str">
        <f t="shared" ref="BV72:CC72" si="160">BV1</f>
        <v>Operating</v>
      </c>
      <c r="BW72" s="47" t="str">
        <f t="shared" si="160"/>
        <v>SPED</v>
      </c>
      <c r="BX72" s="47" t="str">
        <f t="shared" si="160"/>
        <v>NSLP</v>
      </c>
      <c r="BY72" s="47" t="str">
        <f t="shared" si="160"/>
        <v>Other</v>
      </c>
      <c r="BZ72" s="47" t="str">
        <f t="shared" si="160"/>
        <v>Title I</v>
      </c>
      <c r="CA72" s="47" t="str">
        <f t="shared" si="160"/>
        <v>SGF</v>
      </c>
      <c r="CB72" s="47" t="str">
        <f t="shared" si="160"/>
        <v>Title III</v>
      </c>
      <c r="CC72" s="47" t="str">
        <f t="shared" si="160"/>
        <v>Systemwide</v>
      </c>
    </row>
    <row r="73" spans="1:81" ht="15">
      <c r="A73" s="48" t="s">
        <v>71</v>
      </c>
      <c r="B73" s="49"/>
      <c r="C73" s="49"/>
      <c r="D73" s="49"/>
      <c r="E73" s="49"/>
      <c r="F73" s="49"/>
      <c r="G73" s="49"/>
      <c r="H73" s="49"/>
      <c r="I73" s="50"/>
      <c r="J73" s="7"/>
      <c r="K73" s="49"/>
      <c r="L73" s="49"/>
      <c r="M73" s="49"/>
      <c r="N73" s="49"/>
      <c r="O73" s="49"/>
      <c r="P73" s="49"/>
      <c r="Q73" s="49"/>
      <c r="R73" s="50"/>
      <c r="T73" s="49"/>
      <c r="U73" s="49"/>
      <c r="V73" s="49"/>
      <c r="W73" s="49"/>
      <c r="X73" s="49"/>
      <c r="Y73" s="49"/>
      <c r="Z73" s="49"/>
      <c r="AA73" s="50"/>
      <c r="AC73" s="49"/>
      <c r="AD73" s="49"/>
      <c r="AE73" s="49"/>
      <c r="AF73" s="49"/>
      <c r="AG73" s="49"/>
      <c r="AH73" s="49"/>
      <c r="AI73" s="49"/>
      <c r="AJ73" s="50"/>
      <c r="AL73" s="49"/>
      <c r="AM73" s="49"/>
      <c r="AN73" s="49"/>
      <c r="AO73" s="49"/>
      <c r="AP73" s="49"/>
      <c r="AQ73" s="49"/>
      <c r="AR73" s="49"/>
      <c r="AS73" s="50"/>
      <c r="AU73" s="49"/>
      <c r="AV73" s="49"/>
      <c r="AW73" s="49"/>
      <c r="AX73" s="49"/>
      <c r="AY73" s="49"/>
      <c r="AZ73" s="49"/>
      <c r="BA73" s="49"/>
      <c r="BB73" s="50"/>
      <c r="BD73" s="49"/>
      <c r="BE73" s="49"/>
      <c r="BF73" s="49"/>
      <c r="BG73" s="49"/>
      <c r="BH73" s="49"/>
      <c r="BI73" s="49"/>
      <c r="BJ73" s="49"/>
      <c r="BK73" s="50"/>
      <c r="BM73" s="49"/>
      <c r="BN73" s="49"/>
      <c r="BO73" s="49"/>
      <c r="BP73" s="49"/>
      <c r="BQ73" s="49"/>
      <c r="BR73" s="49"/>
      <c r="BS73" s="49"/>
      <c r="BT73" s="50"/>
      <c r="BV73" s="49"/>
      <c r="BW73" s="49"/>
      <c r="BX73" s="49"/>
      <c r="BY73" s="49"/>
      <c r="BZ73" s="49"/>
      <c r="CA73" s="49"/>
      <c r="CB73" s="49"/>
      <c r="CC73" s="50"/>
    </row>
    <row r="74" spans="1:81">
      <c r="A74" s="29" t="s">
        <v>72</v>
      </c>
      <c r="B74" s="51">
        <f>(B2*B3)</f>
        <v>8685495</v>
      </c>
      <c r="C74" s="51"/>
      <c r="D74" s="51"/>
      <c r="E74" s="51"/>
      <c r="F74" s="51"/>
      <c r="G74" s="51"/>
      <c r="H74" s="51"/>
      <c r="I74" s="52">
        <f t="shared" ref="I74:I79" si="161">SUM(B74:H74)</f>
        <v>8685495</v>
      </c>
      <c r="K74" s="51">
        <f>(K2*K3)</f>
        <v>9860760</v>
      </c>
      <c r="L74" s="51"/>
      <c r="M74" s="51"/>
      <c r="N74" s="51"/>
      <c r="O74" s="51"/>
      <c r="P74" s="51"/>
      <c r="Q74" s="51"/>
      <c r="R74" s="52">
        <f t="shared" ref="R74:R79" si="162">SUM(K74:Q74)</f>
        <v>9860760</v>
      </c>
      <c r="T74" s="51">
        <f>(T2*T3)</f>
        <v>11895975</v>
      </c>
      <c r="U74" s="51"/>
      <c r="V74" s="51"/>
      <c r="W74" s="51"/>
      <c r="X74" s="51"/>
      <c r="Y74" s="51"/>
      <c r="Z74" s="51"/>
      <c r="AA74" s="52">
        <f t="shared" ref="AA74:AA79" si="163">SUM(T74:Z74)</f>
        <v>11895975</v>
      </c>
      <c r="AC74" s="51">
        <f>(AC2*AC3)</f>
        <v>23314200</v>
      </c>
      <c r="AD74" s="51"/>
      <c r="AE74" s="51"/>
      <c r="AF74" s="51"/>
      <c r="AG74" s="51"/>
      <c r="AH74" s="51"/>
      <c r="AI74" s="51"/>
      <c r="AJ74" s="52">
        <f t="shared" ref="AJ74:AJ79" si="164">SUM(AC74:AI74)</f>
        <v>23314200</v>
      </c>
      <c r="AL74" s="51">
        <f>(AL2*AL3)</f>
        <v>22062495</v>
      </c>
      <c r="AM74" s="51"/>
      <c r="AN74" s="51"/>
      <c r="AO74" s="51"/>
      <c r="AP74" s="51"/>
      <c r="AQ74" s="51"/>
      <c r="AR74" s="51"/>
      <c r="AS74" s="52">
        <f t="shared" ref="AS74:AS79" si="165">SUM(AL74:AR74)</f>
        <v>22062495</v>
      </c>
      <c r="AU74" s="51">
        <f>(AU2*AU3)</f>
        <v>1337700</v>
      </c>
      <c r="AV74" s="51"/>
      <c r="AW74" s="51"/>
      <c r="AX74" s="51"/>
      <c r="AY74" s="51"/>
      <c r="AZ74" s="51"/>
      <c r="BA74" s="51"/>
      <c r="BB74" s="52">
        <f t="shared" ref="BB74:BB79" si="166">SUM(AU74:BA74)</f>
        <v>1337700</v>
      </c>
      <c r="BD74" s="51">
        <f>(BD2*BD3)</f>
        <v>3306030</v>
      </c>
      <c r="BE74" s="51"/>
      <c r="BF74" s="51"/>
      <c r="BG74" s="51"/>
      <c r="BH74" s="51"/>
      <c r="BI74" s="51"/>
      <c r="BJ74" s="51"/>
      <c r="BK74" s="52">
        <f t="shared" ref="BK74:BK79" si="167">SUM(BD74:BJ74)</f>
        <v>3306030</v>
      </c>
      <c r="BM74" s="51">
        <f>(BM2*BM3)</f>
        <v>0</v>
      </c>
      <c r="BN74" s="51"/>
      <c r="BO74" s="51"/>
      <c r="BP74" s="51"/>
      <c r="BQ74" s="51"/>
      <c r="BR74" s="51"/>
      <c r="BS74" s="51"/>
      <c r="BT74" s="52">
        <f t="shared" ref="BT74:BT79" si="168">SUM(BM74:BS74)</f>
        <v>0</v>
      </c>
      <c r="BV74" s="5">
        <f t="shared" ref="BV74:CA79" si="169">B74+K74+T74+AC74+AL74+AU74+BD74+BM74</f>
        <v>80462655</v>
      </c>
      <c r="BW74" s="5">
        <f t="shared" si="169"/>
        <v>0</v>
      </c>
      <c r="BX74" s="5">
        <f t="shared" si="169"/>
        <v>0</v>
      </c>
      <c r="BY74" s="5">
        <f t="shared" si="169"/>
        <v>0</v>
      </c>
      <c r="BZ74" s="5">
        <f t="shared" si="169"/>
        <v>0</v>
      </c>
      <c r="CA74" s="5">
        <f t="shared" si="169"/>
        <v>0</v>
      </c>
      <c r="CB74" s="51"/>
      <c r="CC74" s="52">
        <f t="shared" ref="CC74:CC79" si="170">SUM(BV74:CB74)</f>
        <v>80462655</v>
      </c>
    </row>
    <row r="75" spans="1:81">
      <c r="A75" s="29" t="s">
        <v>73</v>
      </c>
      <c r="B75" s="35">
        <f>4236*B21</f>
        <v>153170.01546961325</v>
      </c>
      <c r="C75" s="35"/>
      <c r="D75" s="35"/>
      <c r="E75" s="35"/>
      <c r="F75" s="35"/>
      <c r="G75" s="35"/>
      <c r="H75" s="35"/>
      <c r="I75" s="5">
        <f t="shared" si="161"/>
        <v>153170.01546961325</v>
      </c>
      <c r="J75" s="6"/>
      <c r="K75" s="35">
        <f>4236*K21</f>
        <v>94103.859099804293</v>
      </c>
      <c r="L75" s="35"/>
      <c r="M75" s="35"/>
      <c r="N75" s="35"/>
      <c r="O75" s="35"/>
      <c r="P75" s="35"/>
      <c r="Q75" s="35"/>
      <c r="R75" s="5">
        <f t="shared" si="162"/>
        <v>94103.859099804293</v>
      </c>
      <c r="T75" s="35">
        <f>4236*T21</f>
        <v>75150.829840737628</v>
      </c>
      <c r="U75" s="35"/>
      <c r="V75" s="35"/>
      <c r="W75" s="35"/>
      <c r="X75" s="35"/>
      <c r="Y75" s="35"/>
      <c r="Z75" s="35"/>
      <c r="AA75" s="5">
        <f t="shared" si="163"/>
        <v>75150.829840737628</v>
      </c>
      <c r="AC75" s="35">
        <f>4236*AC21</f>
        <v>185673.77245508984</v>
      </c>
      <c r="AD75" s="35"/>
      <c r="AE75" s="35"/>
      <c r="AF75" s="35"/>
      <c r="AG75" s="35"/>
      <c r="AH75" s="35"/>
      <c r="AI75" s="35"/>
      <c r="AJ75" s="5">
        <f t="shared" si="164"/>
        <v>185673.77245508984</v>
      </c>
      <c r="AL75" s="35">
        <f>4034*AL21</f>
        <v>168161.49097313959</v>
      </c>
      <c r="AM75" s="35"/>
      <c r="AN75" s="35"/>
      <c r="AO75" s="35"/>
      <c r="AP75" s="35"/>
      <c r="AQ75" s="35"/>
      <c r="AR75" s="35"/>
      <c r="AS75" s="5">
        <f t="shared" si="165"/>
        <v>168161.49097313959</v>
      </c>
      <c r="AU75" s="35">
        <f>4236*AU21</f>
        <v>4392.8888888888887</v>
      </c>
      <c r="AV75" s="35"/>
      <c r="AW75" s="35"/>
      <c r="AX75" s="35"/>
      <c r="AY75" s="35"/>
      <c r="AZ75" s="35"/>
      <c r="BA75" s="35"/>
      <c r="BB75" s="5">
        <f t="shared" si="166"/>
        <v>4392.8888888888887</v>
      </c>
      <c r="BD75" s="35">
        <f>4236*BD21</f>
        <v>121219.66917293232</v>
      </c>
      <c r="BE75" s="35"/>
      <c r="BF75" s="35"/>
      <c r="BG75" s="35"/>
      <c r="BH75" s="35"/>
      <c r="BI75" s="35"/>
      <c r="BJ75" s="35"/>
      <c r="BK75" s="5">
        <f t="shared" si="167"/>
        <v>121219.66917293232</v>
      </c>
      <c r="BM75" s="35">
        <f>4200*BM21</f>
        <v>0</v>
      </c>
      <c r="BN75" s="35"/>
      <c r="BO75" s="35"/>
      <c r="BP75" s="35"/>
      <c r="BQ75" s="35"/>
      <c r="BR75" s="35"/>
      <c r="BS75" s="35"/>
      <c r="BT75" s="5">
        <f t="shared" si="168"/>
        <v>0</v>
      </c>
      <c r="BV75" s="5">
        <f t="shared" si="169"/>
        <v>801872.52590020583</v>
      </c>
      <c r="BW75" s="5">
        <f t="shared" si="169"/>
        <v>0</v>
      </c>
      <c r="BX75" s="5">
        <f t="shared" si="169"/>
        <v>0</v>
      </c>
      <c r="BY75" s="5">
        <f t="shared" si="169"/>
        <v>0</v>
      </c>
      <c r="BZ75" s="5">
        <f t="shared" si="169"/>
        <v>0</v>
      </c>
      <c r="CA75" s="5">
        <f t="shared" si="169"/>
        <v>0</v>
      </c>
      <c r="CB75" s="35"/>
      <c r="CC75" s="5">
        <f t="shared" si="170"/>
        <v>801872.52590020583</v>
      </c>
    </row>
    <row r="76" spans="1:81">
      <c r="A76" s="29" t="s">
        <v>74</v>
      </c>
      <c r="B76" s="5">
        <f>1129*B22</f>
        <v>57833.492817679558</v>
      </c>
      <c r="C76" s="5"/>
      <c r="D76" s="5"/>
      <c r="E76" s="5"/>
      <c r="F76" s="5"/>
      <c r="G76" s="5"/>
      <c r="H76" s="5"/>
      <c r="I76" s="5">
        <f t="shared" si="161"/>
        <v>57833.492817679558</v>
      </c>
      <c r="J76" s="6"/>
      <c r="K76" s="5">
        <f>1129*K22</f>
        <v>76383.14677103718</v>
      </c>
      <c r="L76" s="5"/>
      <c r="M76" s="5"/>
      <c r="N76" s="5"/>
      <c r="O76" s="5"/>
      <c r="P76" s="5"/>
      <c r="Q76" s="5"/>
      <c r="R76" s="5">
        <f t="shared" si="162"/>
        <v>76383.14677103718</v>
      </c>
      <c r="T76" s="5">
        <f>1129*T22</f>
        <v>130781.3537300922</v>
      </c>
      <c r="U76" s="5"/>
      <c r="V76" s="5"/>
      <c r="W76" s="5"/>
      <c r="X76" s="5"/>
      <c r="Y76" s="5"/>
      <c r="Z76" s="5"/>
      <c r="AA76" s="5">
        <f t="shared" si="163"/>
        <v>130781.3537300922</v>
      </c>
      <c r="AC76" s="5">
        <f>1129*AC22</f>
        <v>75408.314798973472</v>
      </c>
      <c r="AD76" s="5"/>
      <c r="AE76" s="5"/>
      <c r="AF76" s="5"/>
      <c r="AG76" s="5"/>
      <c r="AH76" s="5"/>
      <c r="AI76" s="5"/>
      <c r="AJ76" s="5">
        <f t="shared" si="164"/>
        <v>75408.314798973472</v>
      </c>
      <c r="AL76" s="5">
        <f>1075*AL22</f>
        <v>124600.59445178336</v>
      </c>
      <c r="AM76" s="5"/>
      <c r="AN76" s="5"/>
      <c r="AO76" s="5"/>
      <c r="AP76" s="5"/>
      <c r="AQ76" s="5"/>
      <c r="AR76" s="5"/>
      <c r="AS76" s="5">
        <f t="shared" si="165"/>
        <v>124600.59445178336</v>
      </c>
      <c r="AU76" s="5">
        <f>1075*AU22</f>
        <v>0</v>
      </c>
      <c r="AV76" s="5"/>
      <c r="AW76" s="5"/>
      <c r="AX76" s="5"/>
      <c r="AY76" s="5"/>
      <c r="AZ76" s="5"/>
      <c r="BA76" s="5"/>
      <c r="BB76" s="5">
        <f t="shared" si="166"/>
        <v>0</v>
      </c>
      <c r="BD76" s="5">
        <f>1075*BD22</f>
        <v>0</v>
      </c>
      <c r="BE76" s="5"/>
      <c r="BF76" s="5"/>
      <c r="BG76" s="5"/>
      <c r="BH76" s="5"/>
      <c r="BI76" s="5"/>
      <c r="BJ76" s="5"/>
      <c r="BK76" s="5">
        <f t="shared" si="167"/>
        <v>0</v>
      </c>
      <c r="BM76" s="5">
        <f>1000*BM22</f>
        <v>0</v>
      </c>
      <c r="BN76" s="5"/>
      <c r="BO76" s="5"/>
      <c r="BP76" s="5"/>
      <c r="BQ76" s="5"/>
      <c r="BR76" s="5"/>
      <c r="BS76" s="5"/>
      <c r="BT76" s="5">
        <f t="shared" si="168"/>
        <v>0</v>
      </c>
      <c r="BV76" s="5">
        <f t="shared" si="169"/>
        <v>465006.90256956581</v>
      </c>
      <c r="BW76" s="5">
        <f t="shared" si="169"/>
        <v>0</v>
      </c>
      <c r="BX76" s="5">
        <f t="shared" si="169"/>
        <v>0</v>
      </c>
      <c r="BY76" s="5">
        <f t="shared" si="169"/>
        <v>0</v>
      </c>
      <c r="BZ76" s="5">
        <f t="shared" si="169"/>
        <v>0</v>
      </c>
      <c r="CA76" s="5">
        <f t="shared" si="169"/>
        <v>0</v>
      </c>
      <c r="CB76" s="5"/>
      <c r="CC76" s="5">
        <f t="shared" si="170"/>
        <v>465006.90256956581</v>
      </c>
    </row>
    <row r="77" spans="1:81">
      <c r="A77" s="29" t="s">
        <v>75</v>
      </c>
      <c r="B77" s="5">
        <f>3294*B24</f>
        <v>0</v>
      </c>
      <c r="C77" s="5"/>
      <c r="D77" s="5"/>
      <c r="E77" s="5"/>
      <c r="F77" s="5"/>
      <c r="G77" s="5"/>
      <c r="H77" s="5"/>
      <c r="I77" s="5">
        <f t="shared" si="161"/>
        <v>0</v>
      </c>
      <c r="K77" s="5">
        <f>3294*K24</f>
        <v>0</v>
      </c>
      <c r="L77" s="5"/>
      <c r="M77" s="5"/>
      <c r="N77" s="5"/>
      <c r="O77" s="5"/>
      <c r="P77" s="5"/>
      <c r="Q77" s="5"/>
      <c r="R77" s="5">
        <f t="shared" si="162"/>
        <v>0</v>
      </c>
      <c r="T77" s="5">
        <f>3294*T24</f>
        <v>0</v>
      </c>
      <c r="U77" s="5"/>
      <c r="V77" s="5"/>
      <c r="W77" s="5"/>
      <c r="X77" s="5"/>
      <c r="Y77" s="5"/>
      <c r="Z77" s="5"/>
      <c r="AA77" s="5">
        <f t="shared" si="163"/>
        <v>0</v>
      </c>
      <c r="AC77" s="5">
        <f>3294*AC24</f>
        <v>500688</v>
      </c>
      <c r="AD77" s="5"/>
      <c r="AE77" s="5"/>
      <c r="AF77" s="5"/>
      <c r="AG77" s="5"/>
      <c r="AH77" s="5"/>
      <c r="AI77" s="5"/>
      <c r="AJ77" s="5">
        <f t="shared" si="164"/>
        <v>500688</v>
      </c>
      <c r="AL77" s="5">
        <f>3294*AL24</f>
        <v>401868</v>
      </c>
      <c r="AM77" s="5"/>
      <c r="AN77" s="5"/>
      <c r="AO77" s="5"/>
      <c r="AP77" s="5"/>
      <c r="AQ77" s="5"/>
      <c r="AR77" s="5"/>
      <c r="AS77" s="5">
        <f t="shared" si="165"/>
        <v>401868</v>
      </c>
      <c r="AU77" s="5">
        <f>3294*AU24</f>
        <v>128466</v>
      </c>
      <c r="AV77" s="5"/>
      <c r="AW77" s="5"/>
      <c r="AX77" s="5"/>
      <c r="AY77" s="5"/>
      <c r="AZ77" s="5"/>
      <c r="BA77" s="5"/>
      <c r="BB77" s="5">
        <f t="shared" si="166"/>
        <v>128466</v>
      </c>
      <c r="BD77" s="5">
        <f>3294*BD24</f>
        <v>115290</v>
      </c>
      <c r="BE77" s="5"/>
      <c r="BF77" s="5"/>
      <c r="BG77" s="5"/>
      <c r="BH77" s="5"/>
      <c r="BI77" s="5"/>
      <c r="BJ77" s="5"/>
      <c r="BK77" s="5">
        <f t="shared" si="167"/>
        <v>115290</v>
      </c>
      <c r="BM77" s="5">
        <f>3294*BM24</f>
        <v>0</v>
      </c>
      <c r="BN77" s="5"/>
      <c r="BO77" s="5"/>
      <c r="BP77" s="5"/>
      <c r="BQ77" s="5"/>
      <c r="BR77" s="5"/>
      <c r="BS77" s="5"/>
      <c r="BT77" s="5">
        <f t="shared" si="168"/>
        <v>0</v>
      </c>
      <c r="BV77" s="5">
        <f t="shared" si="169"/>
        <v>1146312</v>
      </c>
      <c r="BW77" s="5">
        <f t="shared" si="169"/>
        <v>0</v>
      </c>
      <c r="BX77" s="5">
        <f t="shared" si="169"/>
        <v>0</v>
      </c>
      <c r="BY77" s="5">
        <f t="shared" si="169"/>
        <v>0</v>
      </c>
      <c r="BZ77" s="5">
        <f t="shared" si="169"/>
        <v>0</v>
      </c>
      <c r="CA77" s="5">
        <f t="shared" si="169"/>
        <v>0</v>
      </c>
      <c r="CB77" s="5"/>
      <c r="CC77" s="5">
        <f t="shared" si="170"/>
        <v>1146312</v>
      </c>
    </row>
    <row r="78" spans="1:81">
      <c r="A78" s="29" t="s">
        <v>76</v>
      </c>
      <c r="B78" s="35">
        <v>0</v>
      </c>
      <c r="C78" s="35">
        <v>157805</v>
      </c>
      <c r="D78" s="35"/>
      <c r="E78" s="35"/>
      <c r="F78" s="35"/>
      <c r="G78" s="35"/>
      <c r="H78" s="35"/>
      <c r="I78" s="35">
        <f t="shared" si="161"/>
        <v>157805</v>
      </c>
      <c r="J78" s="53"/>
      <c r="K78" s="35">
        <v>0</v>
      </c>
      <c r="L78" s="35">
        <v>128410</v>
      </c>
      <c r="M78" s="35"/>
      <c r="N78" s="35"/>
      <c r="O78" s="35"/>
      <c r="P78" s="35"/>
      <c r="Q78" s="35"/>
      <c r="R78" s="35">
        <f t="shared" si="162"/>
        <v>128410</v>
      </c>
      <c r="T78" s="35">
        <v>0</v>
      </c>
      <c r="U78" s="35">
        <v>170182</v>
      </c>
      <c r="V78" s="35"/>
      <c r="W78" s="35"/>
      <c r="X78" s="35"/>
      <c r="Y78" s="35"/>
      <c r="Z78" s="35"/>
      <c r="AA78" s="35">
        <f t="shared" si="163"/>
        <v>170182</v>
      </c>
      <c r="AC78" s="35">
        <v>0</v>
      </c>
      <c r="AD78" s="35">
        <v>450210</v>
      </c>
      <c r="AE78" s="35"/>
      <c r="AF78" s="35"/>
      <c r="AG78" s="35"/>
      <c r="AH78" s="35"/>
      <c r="AI78" s="35"/>
      <c r="AJ78" s="35">
        <f t="shared" si="164"/>
        <v>450210</v>
      </c>
      <c r="AL78" s="35">
        <v>0</v>
      </c>
      <c r="AM78" s="35">
        <v>326441</v>
      </c>
      <c r="AN78" s="35"/>
      <c r="AO78" s="35"/>
      <c r="AP78" s="35"/>
      <c r="AQ78" s="35"/>
      <c r="AR78" s="35"/>
      <c r="AS78" s="35">
        <f t="shared" si="165"/>
        <v>326441</v>
      </c>
      <c r="AU78" s="35">
        <v>0</v>
      </c>
      <c r="AV78" s="35">
        <v>15471</v>
      </c>
      <c r="AW78" s="35"/>
      <c r="AX78" s="35"/>
      <c r="AY78" s="35"/>
      <c r="AZ78" s="35"/>
      <c r="BA78" s="35"/>
      <c r="BB78" s="35">
        <f t="shared" si="166"/>
        <v>15471</v>
      </c>
      <c r="BD78" s="35">
        <v>0</v>
      </c>
      <c r="BE78" s="35"/>
      <c r="BF78" s="35"/>
      <c r="BG78" s="35"/>
      <c r="BH78" s="35"/>
      <c r="BI78" s="35"/>
      <c r="BJ78" s="35"/>
      <c r="BK78" s="35">
        <f t="shared" si="167"/>
        <v>0</v>
      </c>
      <c r="BM78" s="35">
        <v>0</v>
      </c>
      <c r="BN78" s="35">
        <v>0</v>
      </c>
      <c r="BO78" s="35"/>
      <c r="BP78" s="35"/>
      <c r="BQ78" s="35"/>
      <c r="BR78" s="35"/>
      <c r="BS78" s="35"/>
      <c r="BT78" s="35">
        <f t="shared" si="168"/>
        <v>0</v>
      </c>
      <c r="BV78" s="5">
        <f t="shared" si="169"/>
        <v>0</v>
      </c>
      <c r="BW78" s="5">
        <f t="shared" si="169"/>
        <v>1248519</v>
      </c>
      <c r="BX78" s="5">
        <f t="shared" si="169"/>
        <v>0</v>
      </c>
      <c r="BY78" s="5">
        <f t="shared" si="169"/>
        <v>0</v>
      </c>
      <c r="BZ78" s="5">
        <f t="shared" si="169"/>
        <v>0</v>
      </c>
      <c r="CA78" s="5">
        <f t="shared" si="169"/>
        <v>0</v>
      </c>
      <c r="CB78" s="35"/>
      <c r="CC78" s="35">
        <f t="shared" si="170"/>
        <v>1248519</v>
      </c>
    </row>
    <row r="79" spans="1:81">
      <c r="A79" s="29" t="s">
        <v>77</v>
      </c>
      <c r="B79" s="35">
        <v>0</v>
      </c>
      <c r="C79" s="35">
        <f>3800*C20</f>
        <v>461832.26519337023</v>
      </c>
      <c r="D79" s="35"/>
      <c r="E79" s="35"/>
      <c r="F79" s="35"/>
      <c r="G79" s="35"/>
      <c r="H79" s="35"/>
      <c r="I79" s="35">
        <f t="shared" si="161"/>
        <v>461832.26519337023</v>
      </c>
      <c r="J79" s="53"/>
      <c r="K79" s="35">
        <v>0</v>
      </c>
      <c r="L79" s="35">
        <f>3800*L20</f>
        <v>280114.28571428568</v>
      </c>
      <c r="M79" s="35"/>
      <c r="N79" s="35"/>
      <c r="O79" s="35"/>
      <c r="P79" s="35"/>
      <c r="Q79" s="35"/>
      <c r="R79" s="35">
        <f t="shared" si="162"/>
        <v>280114.28571428568</v>
      </c>
      <c r="T79" s="35">
        <v>0</v>
      </c>
      <c r="U79" s="35">
        <f>3800*U20</f>
        <v>428288.34870075434</v>
      </c>
      <c r="V79" s="35"/>
      <c r="W79" s="35"/>
      <c r="X79" s="35"/>
      <c r="Y79" s="35"/>
      <c r="Z79" s="35"/>
      <c r="AA79" s="35">
        <f t="shared" si="163"/>
        <v>428288.34870075434</v>
      </c>
      <c r="AC79" s="35">
        <v>0</v>
      </c>
      <c r="AD79" s="35">
        <f>3800*AD20</f>
        <v>1102487.5962360993</v>
      </c>
      <c r="AE79" s="35"/>
      <c r="AF79" s="35"/>
      <c r="AG79" s="35"/>
      <c r="AH79" s="35"/>
      <c r="AI79" s="35"/>
      <c r="AJ79" s="35">
        <f t="shared" si="164"/>
        <v>1102487.5962360993</v>
      </c>
      <c r="AL79" s="35">
        <v>0</v>
      </c>
      <c r="AM79" s="35">
        <f>3800*AM20</f>
        <v>822943.46103038313</v>
      </c>
      <c r="AN79" s="35"/>
      <c r="AO79" s="35"/>
      <c r="AP79" s="35"/>
      <c r="AQ79" s="35"/>
      <c r="AR79" s="35"/>
      <c r="AS79" s="35">
        <f t="shared" si="165"/>
        <v>822943.46103038313</v>
      </c>
      <c r="AU79" s="35">
        <v>0</v>
      </c>
      <c r="AV79" s="35">
        <f>3800*AV20</f>
        <v>70933.333333333343</v>
      </c>
      <c r="AW79" s="35"/>
      <c r="AX79" s="35"/>
      <c r="AY79" s="35"/>
      <c r="AZ79" s="35"/>
      <c r="BA79" s="35"/>
      <c r="BB79" s="35">
        <f t="shared" si="166"/>
        <v>70933.333333333343</v>
      </c>
      <c r="BD79" s="35">
        <v>0</v>
      </c>
      <c r="BE79" s="35">
        <f>3800*BE20</f>
        <v>84028.571428571435</v>
      </c>
      <c r="BF79" s="35"/>
      <c r="BG79" s="35"/>
      <c r="BH79" s="35"/>
      <c r="BI79" s="35"/>
      <c r="BJ79" s="35"/>
      <c r="BK79" s="35">
        <f t="shared" si="167"/>
        <v>84028.571428571435</v>
      </c>
      <c r="BM79" s="35">
        <v>0</v>
      </c>
      <c r="BN79" s="35">
        <f>2500*BN20</f>
        <v>0</v>
      </c>
      <c r="BO79" s="35"/>
      <c r="BP79" s="35"/>
      <c r="BQ79" s="35"/>
      <c r="BR79" s="35"/>
      <c r="BS79" s="35"/>
      <c r="BT79" s="35">
        <f t="shared" si="168"/>
        <v>0</v>
      </c>
      <c r="BV79" s="5">
        <f t="shared" si="169"/>
        <v>0</v>
      </c>
      <c r="BW79" s="5">
        <f t="shared" si="169"/>
        <v>3250627.8616367974</v>
      </c>
      <c r="BX79" s="5">
        <f t="shared" si="169"/>
        <v>0</v>
      </c>
      <c r="BY79" s="5">
        <f t="shared" si="169"/>
        <v>0</v>
      </c>
      <c r="BZ79" s="5">
        <f t="shared" si="169"/>
        <v>0</v>
      </c>
      <c r="CA79" s="5">
        <f t="shared" si="169"/>
        <v>0</v>
      </c>
      <c r="CB79" s="35"/>
      <c r="CC79" s="35">
        <f t="shared" si="170"/>
        <v>3250627.8616367974</v>
      </c>
    </row>
    <row r="80" spans="1:81" ht="15">
      <c r="A80" s="54" t="s">
        <v>78</v>
      </c>
      <c r="B80" s="55">
        <f t="shared" ref="B80:I80" si="171">SUM(B74:B79)</f>
        <v>8896498.508287292</v>
      </c>
      <c r="C80" s="55">
        <f t="shared" si="171"/>
        <v>619637.26519337017</v>
      </c>
      <c r="D80" s="55">
        <f t="shared" si="171"/>
        <v>0</v>
      </c>
      <c r="E80" s="55"/>
      <c r="F80" s="55">
        <f t="shared" si="171"/>
        <v>0</v>
      </c>
      <c r="G80" s="55">
        <f t="shared" si="171"/>
        <v>0</v>
      </c>
      <c r="H80" s="55">
        <f t="shared" si="171"/>
        <v>0</v>
      </c>
      <c r="I80" s="55">
        <f t="shared" si="171"/>
        <v>9516135.7734806631</v>
      </c>
      <c r="J80" s="7"/>
      <c r="K80" s="55">
        <f t="shared" ref="K80:R80" si="172">SUM(K74:K79)</f>
        <v>10031247.005870841</v>
      </c>
      <c r="L80" s="55">
        <f t="shared" si="172"/>
        <v>408524.28571428568</v>
      </c>
      <c r="M80" s="55">
        <f t="shared" si="172"/>
        <v>0</v>
      </c>
      <c r="N80" s="55"/>
      <c r="O80" s="55">
        <f t="shared" si="172"/>
        <v>0</v>
      </c>
      <c r="P80" s="55">
        <f t="shared" si="172"/>
        <v>0</v>
      </c>
      <c r="Q80" s="55">
        <f t="shared" si="172"/>
        <v>0</v>
      </c>
      <c r="R80" s="55">
        <f t="shared" si="172"/>
        <v>10439771.291585127</v>
      </c>
      <c r="T80" s="55">
        <f t="shared" ref="T80:AA80" si="173">SUM(T74:T79)</f>
        <v>12101907.18357083</v>
      </c>
      <c r="U80" s="55">
        <f t="shared" si="173"/>
        <v>598470.34870075434</v>
      </c>
      <c r="V80" s="55">
        <f t="shared" si="173"/>
        <v>0</v>
      </c>
      <c r="W80" s="55"/>
      <c r="X80" s="55">
        <f t="shared" si="173"/>
        <v>0</v>
      </c>
      <c r="Y80" s="55">
        <f t="shared" si="173"/>
        <v>0</v>
      </c>
      <c r="Z80" s="55">
        <f t="shared" si="173"/>
        <v>0</v>
      </c>
      <c r="AA80" s="55">
        <f t="shared" si="173"/>
        <v>12700377.532271584</v>
      </c>
      <c r="AC80" s="55">
        <f t="shared" ref="AC80:AJ80" si="174">SUM(AC74:AC79)</f>
        <v>24075970.087254062</v>
      </c>
      <c r="AD80" s="55">
        <f t="shared" si="174"/>
        <v>1552697.5962360993</v>
      </c>
      <c r="AE80" s="55">
        <f t="shared" si="174"/>
        <v>0</v>
      </c>
      <c r="AF80" s="55">
        <f t="shared" si="174"/>
        <v>0</v>
      </c>
      <c r="AG80" s="55">
        <f t="shared" si="174"/>
        <v>0</v>
      </c>
      <c r="AH80" s="55">
        <f t="shared" si="174"/>
        <v>0</v>
      </c>
      <c r="AI80" s="55">
        <f t="shared" si="174"/>
        <v>0</v>
      </c>
      <c r="AJ80" s="55">
        <f t="shared" si="174"/>
        <v>25628667.683490161</v>
      </c>
      <c r="AL80" s="55">
        <f t="shared" ref="AL80:AS80" si="175">SUM(AL74:AL79)</f>
        <v>22757125.085424926</v>
      </c>
      <c r="AM80" s="55">
        <f t="shared" si="175"/>
        <v>1149384.4610303831</v>
      </c>
      <c r="AN80" s="55">
        <f t="shared" si="175"/>
        <v>0</v>
      </c>
      <c r="AO80" s="55"/>
      <c r="AP80" s="55">
        <f t="shared" si="175"/>
        <v>0</v>
      </c>
      <c r="AQ80" s="55">
        <f t="shared" si="175"/>
        <v>0</v>
      </c>
      <c r="AR80" s="55">
        <f t="shared" si="175"/>
        <v>0</v>
      </c>
      <c r="AS80" s="55">
        <f t="shared" si="175"/>
        <v>23906509.546455309</v>
      </c>
      <c r="AU80" s="55">
        <f t="shared" ref="AU80:BB80" si="176">SUM(AU74:AU79)</f>
        <v>1470558.888888889</v>
      </c>
      <c r="AV80" s="55">
        <f t="shared" si="176"/>
        <v>86404.333333333343</v>
      </c>
      <c r="AW80" s="55">
        <f t="shared" si="176"/>
        <v>0</v>
      </c>
      <c r="AX80" s="55"/>
      <c r="AY80" s="55">
        <f t="shared" si="176"/>
        <v>0</v>
      </c>
      <c r="AZ80" s="55">
        <f t="shared" si="176"/>
        <v>0</v>
      </c>
      <c r="BA80" s="55">
        <f t="shared" si="176"/>
        <v>0</v>
      </c>
      <c r="BB80" s="55">
        <f t="shared" si="176"/>
        <v>1556963.2222222222</v>
      </c>
      <c r="BD80" s="55">
        <f t="shared" ref="BD80:BK80" si="177">SUM(BD74:BD79)</f>
        <v>3542539.6691729324</v>
      </c>
      <c r="BE80" s="55">
        <f t="shared" si="177"/>
        <v>84028.571428571435</v>
      </c>
      <c r="BF80" s="55">
        <f t="shared" si="177"/>
        <v>0</v>
      </c>
      <c r="BG80" s="55"/>
      <c r="BH80" s="55">
        <f t="shared" si="177"/>
        <v>0</v>
      </c>
      <c r="BI80" s="55">
        <f t="shared" si="177"/>
        <v>0</v>
      </c>
      <c r="BJ80" s="55">
        <f t="shared" si="177"/>
        <v>0</v>
      </c>
      <c r="BK80" s="55">
        <f t="shared" si="177"/>
        <v>3626568.2406015038</v>
      </c>
      <c r="BM80" s="55">
        <f t="shared" ref="BM80:BT80" si="178">SUM(BM74:BM79)</f>
        <v>0</v>
      </c>
      <c r="BN80" s="55">
        <f t="shared" si="178"/>
        <v>0</v>
      </c>
      <c r="BO80" s="55">
        <f t="shared" si="178"/>
        <v>0</v>
      </c>
      <c r="BP80" s="55"/>
      <c r="BQ80" s="55">
        <f t="shared" si="178"/>
        <v>0</v>
      </c>
      <c r="BR80" s="55">
        <f t="shared" si="178"/>
        <v>0</v>
      </c>
      <c r="BS80" s="55">
        <f t="shared" si="178"/>
        <v>0</v>
      </c>
      <c r="BT80" s="55">
        <f t="shared" si="178"/>
        <v>0</v>
      </c>
      <c r="BV80" s="55">
        <f t="shared" ref="BV80:BX80" si="179">SUM(BV74:BV79)</f>
        <v>82875846.428469762</v>
      </c>
      <c r="BW80" s="55">
        <f t="shared" si="179"/>
        <v>4499146.861636797</v>
      </c>
      <c r="BX80" s="55">
        <f t="shared" si="179"/>
        <v>0</v>
      </c>
      <c r="BY80" s="55"/>
      <c r="BZ80" s="55">
        <f t="shared" ref="BZ80:CC80" si="180">SUM(BZ74:BZ79)</f>
        <v>0</v>
      </c>
      <c r="CA80" s="55">
        <f t="shared" si="180"/>
        <v>0</v>
      </c>
      <c r="CB80" s="55">
        <f t="shared" si="180"/>
        <v>0</v>
      </c>
      <c r="CC80" s="55">
        <f t="shared" si="180"/>
        <v>87374993.290106565</v>
      </c>
    </row>
    <row r="81" spans="1:81" ht="15">
      <c r="A81" s="56" t="s">
        <v>79</v>
      </c>
      <c r="B81" s="49"/>
      <c r="C81" s="49"/>
      <c r="D81" s="49"/>
      <c r="E81" s="49"/>
      <c r="F81" s="49"/>
      <c r="G81" s="49"/>
      <c r="H81" s="49"/>
      <c r="I81" s="50"/>
      <c r="J81" s="7"/>
      <c r="K81" s="49"/>
      <c r="L81" s="49"/>
      <c r="M81" s="49"/>
      <c r="N81" s="49"/>
      <c r="O81" s="49"/>
      <c r="P81" s="49"/>
      <c r="Q81" s="49"/>
      <c r="R81" s="50"/>
      <c r="T81" s="49"/>
      <c r="U81" s="49"/>
      <c r="V81" s="49"/>
      <c r="W81" s="49"/>
      <c r="X81" s="49"/>
      <c r="Y81" s="49"/>
      <c r="Z81" s="49"/>
      <c r="AA81" s="50"/>
      <c r="AC81" s="49"/>
      <c r="AD81" s="49"/>
      <c r="AE81" s="49"/>
      <c r="AF81" s="49"/>
      <c r="AG81" s="49"/>
      <c r="AH81" s="49"/>
      <c r="AI81" s="49"/>
      <c r="AJ81" s="50"/>
      <c r="AL81" s="49"/>
      <c r="AM81" s="49"/>
      <c r="AN81" s="49"/>
      <c r="AO81" s="49"/>
      <c r="AP81" s="49"/>
      <c r="AQ81" s="49"/>
      <c r="AR81" s="49"/>
      <c r="AS81" s="50"/>
      <c r="AU81" s="49"/>
      <c r="AV81" s="49"/>
      <c r="AW81" s="49"/>
      <c r="AX81" s="49"/>
      <c r="AY81" s="49"/>
      <c r="AZ81" s="49"/>
      <c r="BA81" s="49"/>
      <c r="BB81" s="50"/>
      <c r="BD81" s="49"/>
      <c r="BE81" s="49"/>
      <c r="BF81" s="49"/>
      <c r="BG81" s="49"/>
      <c r="BH81" s="49"/>
      <c r="BI81" s="49"/>
      <c r="BJ81" s="49"/>
      <c r="BK81" s="50"/>
      <c r="BM81" s="49"/>
      <c r="BN81" s="49"/>
      <c r="BO81" s="49"/>
      <c r="BP81" s="49"/>
      <c r="BQ81" s="49"/>
      <c r="BR81" s="49"/>
      <c r="BS81" s="49"/>
      <c r="BT81" s="50"/>
      <c r="BV81" s="49"/>
      <c r="BW81" s="49"/>
      <c r="BX81" s="49"/>
      <c r="BY81" s="49"/>
      <c r="BZ81" s="49"/>
      <c r="CA81" s="49"/>
      <c r="CB81" s="49"/>
      <c r="CC81" s="50"/>
    </row>
    <row r="82" spans="1:81">
      <c r="A82" s="29" t="s">
        <v>80</v>
      </c>
      <c r="B82" s="5"/>
      <c r="C82" s="5">
        <f>C20*1100</f>
        <v>133688.28729281769</v>
      </c>
      <c r="D82" s="5"/>
      <c r="E82" s="5"/>
      <c r="F82" s="5"/>
      <c r="G82" s="5"/>
      <c r="H82" s="5"/>
      <c r="I82" s="5">
        <f>SUM(B82:H82)</f>
        <v>133688.28729281769</v>
      </c>
      <c r="J82" s="6"/>
      <c r="K82" s="5"/>
      <c r="L82" s="5">
        <f>L20*1100</f>
        <v>81085.714285714275</v>
      </c>
      <c r="M82" s="5"/>
      <c r="N82" s="5"/>
      <c r="O82" s="5"/>
      <c r="P82" s="5"/>
      <c r="Q82" s="5"/>
      <c r="R82" s="5">
        <f>SUM(K82:Q82)</f>
        <v>81085.714285714275</v>
      </c>
      <c r="T82" s="5"/>
      <c r="U82" s="5">
        <f>U20*1100</f>
        <v>123978.20620284995</v>
      </c>
      <c r="V82" s="5"/>
      <c r="W82" s="5"/>
      <c r="X82" s="5"/>
      <c r="Y82" s="5"/>
      <c r="Z82" s="5"/>
      <c r="AA82" s="5">
        <f>SUM(T82:Z82)</f>
        <v>123978.20620284995</v>
      </c>
      <c r="AC82" s="5"/>
      <c r="AD82" s="5">
        <f>AD20*1100</f>
        <v>319141.14627887082</v>
      </c>
      <c r="AE82" s="5"/>
      <c r="AF82" s="5"/>
      <c r="AG82" s="5"/>
      <c r="AH82" s="5"/>
      <c r="AI82" s="5"/>
      <c r="AJ82" s="5">
        <f>SUM(AC82:AI82)</f>
        <v>319141.14627887082</v>
      </c>
      <c r="AL82" s="5"/>
      <c r="AM82" s="5">
        <f>AM20*1100</f>
        <v>238220.47556142669</v>
      </c>
      <c r="AN82" s="5"/>
      <c r="AO82" s="5"/>
      <c r="AP82" s="5"/>
      <c r="AQ82" s="5"/>
      <c r="AR82" s="5"/>
      <c r="AS82" s="5">
        <f>SUM(AL82:AR82)</f>
        <v>238220.47556142669</v>
      </c>
      <c r="AU82" s="5"/>
      <c r="AV82" s="5">
        <f>AV20*1100</f>
        <v>20533.333333333336</v>
      </c>
      <c r="AW82" s="5"/>
      <c r="AX82" s="5"/>
      <c r="AY82" s="5"/>
      <c r="AZ82" s="5"/>
      <c r="BA82" s="5"/>
      <c r="BB82" s="5">
        <f>SUM(AU82:BA82)</f>
        <v>20533.333333333336</v>
      </c>
      <c r="BD82" s="5"/>
      <c r="BE82" s="5">
        <f>BE20*1100</f>
        <v>24324.060150375939</v>
      </c>
      <c r="BF82" s="11"/>
      <c r="BG82" s="5"/>
      <c r="BH82" s="5"/>
      <c r="BI82" s="5"/>
      <c r="BJ82" s="5"/>
      <c r="BK82" s="5">
        <f>SUM(BD82:BJ82)</f>
        <v>24324.060150375939</v>
      </c>
      <c r="BM82" s="5"/>
      <c r="BN82" s="5">
        <v>0</v>
      </c>
      <c r="BO82" s="5"/>
      <c r="BP82" s="5"/>
      <c r="BQ82" s="5"/>
      <c r="BR82" s="5"/>
      <c r="BS82" s="5"/>
      <c r="BT82" s="5">
        <f>SUM(BM82:BS82)</f>
        <v>0</v>
      </c>
      <c r="BV82" s="5">
        <f t="shared" ref="BV82:CA89" si="181">B82+K82+T82+AC82+AL82+AU82+BD82+BM82</f>
        <v>0</v>
      </c>
      <c r="BW82" s="5">
        <f t="shared" si="181"/>
        <v>940971.22310538869</v>
      </c>
      <c r="BX82" s="5">
        <f t="shared" si="181"/>
        <v>0</v>
      </c>
      <c r="BY82" s="5">
        <f t="shared" si="181"/>
        <v>0</v>
      </c>
      <c r="BZ82" s="5">
        <f t="shared" si="181"/>
        <v>0</v>
      </c>
      <c r="CA82" s="5">
        <f t="shared" si="181"/>
        <v>0</v>
      </c>
      <c r="CB82" s="5"/>
      <c r="CC82" s="5">
        <f>SUM(BV82:CB82)</f>
        <v>940971.22310538869</v>
      </c>
    </row>
    <row r="83" spans="1:81">
      <c r="A83" s="29" t="s">
        <v>81</v>
      </c>
      <c r="B83" s="5"/>
      <c r="C83" s="5"/>
      <c r="D83" s="11"/>
      <c r="E83" s="11"/>
      <c r="F83" s="11"/>
      <c r="G83" s="11"/>
      <c r="H83" s="11"/>
      <c r="I83" s="5">
        <f t="shared" ref="I83:I95" si="182">SUM(B83:H83)</f>
        <v>0</v>
      </c>
      <c r="J83" s="57"/>
      <c r="K83" s="5"/>
      <c r="L83" s="5"/>
      <c r="M83" s="11">
        <v>0</v>
      </c>
      <c r="N83" s="11"/>
      <c r="O83" s="11"/>
      <c r="P83" s="11"/>
      <c r="Q83" s="11"/>
      <c r="R83" s="5">
        <f t="shared" ref="R83:R95" si="183">SUM(K83:Q83)</f>
        <v>0</v>
      </c>
      <c r="T83" s="5"/>
      <c r="U83" s="5"/>
      <c r="V83" s="11">
        <v>0</v>
      </c>
      <c r="W83" s="11"/>
      <c r="X83" s="11"/>
      <c r="Y83" s="11"/>
      <c r="Z83" s="11"/>
      <c r="AA83" s="5">
        <f t="shared" ref="AA83:AA95" si="184">SUM(T83:Z83)</f>
        <v>0</v>
      </c>
      <c r="AC83" s="5"/>
      <c r="AD83" s="5"/>
      <c r="AE83" s="11">
        <v>0</v>
      </c>
      <c r="AF83" s="11"/>
      <c r="AG83" s="11"/>
      <c r="AH83" s="11"/>
      <c r="AI83" s="11"/>
      <c r="AJ83" s="5">
        <f t="shared" ref="AJ83:AJ95" si="185">SUM(AC83:AI83)</f>
        <v>0</v>
      </c>
      <c r="AL83" s="5"/>
      <c r="AM83" s="5"/>
      <c r="AN83" s="11">
        <v>0</v>
      </c>
      <c r="AO83" s="11"/>
      <c r="AP83" s="11"/>
      <c r="AQ83" s="11"/>
      <c r="AR83" s="11"/>
      <c r="AS83" s="5">
        <f t="shared" ref="AS83:AS95" si="186">SUM(AL83:AR83)</f>
        <v>0</v>
      </c>
      <c r="AU83" s="5"/>
      <c r="AV83" s="5"/>
      <c r="AW83" s="11"/>
      <c r="AX83" s="11"/>
      <c r="AY83" s="11"/>
      <c r="AZ83" s="11"/>
      <c r="BA83" s="11"/>
      <c r="BB83" s="5">
        <f t="shared" ref="BB83:BB95" si="187">SUM(AU83:BA83)</f>
        <v>0</v>
      </c>
      <c r="BD83" s="5"/>
      <c r="BE83" s="5"/>
      <c r="BF83" s="11">
        <f>((BD17*0.93)*2.28*180)</f>
        <v>132058.51200000002</v>
      </c>
      <c r="BG83" s="11"/>
      <c r="BH83" s="11"/>
      <c r="BI83" s="11"/>
      <c r="BJ83" s="11"/>
      <c r="BK83" s="5">
        <f t="shared" ref="BK83:BK95" si="188">SUM(BD83:BJ83)</f>
        <v>132058.51200000002</v>
      </c>
      <c r="BM83" s="5"/>
      <c r="BN83" s="5"/>
      <c r="BO83" s="11"/>
      <c r="BP83" s="11"/>
      <c r="BQ83" s="11"/>
      <c r="BR83" s="11"/>
      <c r="BS83" s="11"/>
      <c r="BT83" s="5">
        <f t="shared" ref="BT83:BT95" si="189">SUM(BM83:BS83)</f>
        <v>0</v>
      </c>
      <c r="BV83" s="5">
        <f t="shared" si="181"/>
        <v>0</v>
      </c>
      <c r="BW83" s="5">
        <f t="shared" si="181"/>
        <v>0</v>
      </c>
      <c r="BX83" s="5">
        <f t="shared" si="181"/>
        <v>132058.51200000002</v>
      </c>
      <c r="BY83" s="5">
        <f t="shared" si="181"/>
        <v>0</v>
      </c>
      <c r="BZ83" s="5">
        <f t="shared" si="181"/>
        <v>0</v>
      </c>
      <c r="CA83" s="5">
        <f t="shared" si="181"/>
        <v>0</v>
      </c>
      <c r="CB83" s="11"/>
      <c r="CC83" s="5">
        <f t="shared" ref="CC83:CC88" si="190">SUM(BV83:CB83)</f>
        <v>132058.51200000002</v>
      </c>
    </row>
    <row r="84" spans="1:81">
      <c r="A84" s="29" t="s">
        <v>82</v>
      </c>
      <c r="B84" s="35"/>
      <c r="C84" s="35"/>
      <c r="D84" s="11">
        <f>((B17*0.51)*4.33*180)</f>
        <v>361322.04600000003</v>
      </c>
      <c r="E84" s="11"/>
      <c r="F84" s="11"/>
      <c r="G84" s="11"/>
      <c r="H84" s="11"/>
      <c r="I84" s="5">
        <f t="shared" si="182"/>
        <v>361322.04600000003</v>
      </c>
      <c r="J84" s="57"/>
      <c r="K84" s="35"/>
      <c r="L84" s="35"/>
      <c r="M84" s="11">
        <f>((K17*0.35)*4.33*180)</f>
        <v>281519.27999999997</v>
      </c>
      <c r="N84" s="11"/>
      <c r="O84" s="11"/>
      <c r="P84" s="11"/>
      <c r="Q84" s="11"/>
      <c r="R84" s="5">
        <f t="shared" si="183"/>
        <v>281519.27999999997</v>
      </c>
      <c r="T84" s="35"/>
      <c r="U84" s="35"/>
      <c r="V84" s="11">
        <f>((T17*0.17)*4.33*180)</f>
        <v>164960.01</v>
      </c>
      <c r="W84" s="11"/>
      <c r="X84" s="11"/>
      <c r="Y84" s="11"/>
      <c r="Z84" s="11"/>
      <c r="AA84" s="5">
        <f t="shared" si="184"/>
        <v>164960.01</v>
      </c>
      <c r="AC84" s="35"/>
      <c r="AD84" s="35"/>
      <c r="AE84" s="11">
        <f>((AC17*0.45)*4.33*180)</f>
        <v>855781.20000000007</v>
      </c>
      <c r="AF84" s="11"/>
      <c r="AG84" s="11"/>
      <c r="AH84" s="11"/>
      <c r="AI84" s="11"/>
      <c r="AJ84" s="5">
        <f t="shared" si="185"/>
        <v>855781.20000000007</v>
      </c>
      <c r="AL84" s="35"/>
      <c r="AM84" s="35"/>
      <c r="AN84" s="11">
        <f>((AL17*0.31)*4.33*180)</f>
        <v>557886.72600000002</v>
      </c>
      <c r="AO84" s="11"/>
      <c r="AP84" s="11"/>
      <c r="AQ84" s="11"/>
      <c r="AR84" s="11"/>
      <c r="AS84" s="5">
        <f t="shared" si="186"/>
        <v>557886.72600000002</v>
      </c>
      <c r="AU84" s="35"/>
      <c r="AV84" s="35"/>
      <c r="AW84" s="11">
        <f>((AU17*0.02)*4.33*180)</f>
        <v>2182.3200000000002</v>
      </c>
      <c r="AX84" s="11"/>
      <c r="AY84" s="11"/>
      <c r="AZ84" s="11"/>
      <c r="BA84" s="11"/>
      <c r="BB84" s="5">
        <f t="shared" si="187"/>
        <v>2182.3200000000002</v>
      </c>
      <c r="BD84" s="35"/>
      <c r="BE84" s="35"/>
      <c r="BF84" s="11">
        <f>((BD17*0.97)*4.33*180)</f>
        <v>261582.228</v>
      </c>
      <c r="BG84" s="11"/>
      <c r="BH84" s="11"/>
      <c r="BI84" s="11"/>
      <c r="BJ84" s="11"/>
      <c r="BK84" s="5">
        <f t="shared" si="188"/>
        <v>261582.228</v>
      </c>
      <c r="BM84" s="35"/>
      <c r="BN84" s="35"/>
      <c r="BO84" s="11">
        <f>((BM17*0.25)*4*180)</f>
        <v>0</v>
      </c>
      <c r="BP84" s="11"/>
      <c r="BQ84" s="11"/>
      <c r="BR84" s="11"/>
      <c r="BS84" s="11"/>
      <c r="BT84" s="5">
        <f t="shared" si="189"/>
        <v>0</v>
      </c>
      <c r="BV84" s="5">
        <f t="shared" si="181"/>
        <v>0</v>
      </c>
      <c r="BW84" s="5">
        <f t="shared" si="181"/>
        <v>0</v>
      </c>
      <c r="BX84" s="5">
        <f t="shared" si="181"/>
        <v>2485233.81</v>
      </c>
      <c r="BY84" s="5">
        <f t="shared" si="181"/>
        <v>0</v>
      </c>
      <c r="BZ84" s="5">
        <f t="shared" si="181"/>
        <v>0</v>
      </c>
      <c r="CA84" s="5">
        <f t="shared" si="181"/>
        <v>0</v>
      </c>
      <c r="CB84" s="11"/>
      <c r="CC84" s="5">
        <f t="shared" si="190"/>
        <v>2485233.81</v>
      </c>
    </row>
    <row r="85" spans="1:81">
      <c r="A85" s="29" t="s">
        <v>4</v>
      </c>
      <c r="B85" s="35"/>
      <c r="C85" s="35"/>
      <c r="D85" s="35"/>
      <c r="E85" s="35"/>
      <c r="F85" s="67"/>
      <c r="G85" s="35"/>
      <c r="H85" s="35"/>
      <c r="I85" s="5">
        <f t="shared" si="182"/>
        <v>0</v>
      </c>
      <c r="J85" s="6"/>
      <c r="K85" s="35"/>
      <c r="L85" s="35"/>
      <c r="M85" s="67"/>
      <c r="N85" s="35"/>
      <c r="O85" s="35"/>
      <c r="P85" s="35"/>
      <c r="Q85" s="35"/>
      <c r="R85" s="5">
        <f t="shared" si="183"/>
        <v>0</v>
      </c>
      <c r="T85" s="35"/>
      <c r="U85" s="35"/>
      <c r="V85" s="35"/>
      <c r="W85" s="35"/>
      <c r="X85" s="35"/>
      <c r="Y85" s="35"/>
      <c r="Z85" s="35"/>
      <c r="AA85" s="5">
        <f t="shared" si="184"/>
        <v>0</v>
      </c>
      <c r="AC85" s="35"/>
      <c r="AD85" s="35"/>
      <c r="AE85" s="35"/>
      <c r="AF85" s="35"/>
      <c r="AG85" s="35"/>
      <c r="AH85" s="35"/>
      <c r="AI85" s="35"/>
      <c r="AJ85" s="5">
        <f t="shared" si="185"/>
        <v>0</v>
      </c>
      <c r="AL85" s="35"/>
      <c r="AM85" s="35"/>
      <c r="AN85" s="35"/>
      <c r="AO85" s="35"/>
      <c r="AP85" s="35"/>
      <c r="AQ85" s="35"/>
      <c r="AR85" s="35"/>
      <c r="AS85" s="5">
        <f t="shared" si="186"/>
        <v>0</v>
      </c>
      <c r="AU85" s="35"/>
      <c r="AV85" s="35"/>
      <c r="AW85" s="35"/>
      <c r="AX85" s="35"/>
      <c r="AY85" s="67"/>
      <c r="AZ85" s="35"/>
      <c r="BA85" s="35"/>
      <c r="BB85" s="5">
        <f t="shared" si="187"/>
        <v>0</v>
      </c>
      <c r="BD85" s="35"/>
      <c r="BE85" s="35"/>
      <c r="BF85" s="67"/>
      <c r="BG85" s="35"/>
      <c r="BH85" s="67"/>
      <c r="BI85" s="35"/>
      <c r="BJ85" s="35"/>
      <c r="BK85" s="5">
        <f t="shared" si="188"/>
        <v>0</v>
      </c>
      <c r="BM85" s="35"/>
      <c r="BN85" s="35"/>
      <c r="BO85" s="35"/>
      <c r="BP85" s="35"/>
      <c r="BQ85" s="35"/>
      <c r="BR85" s="35"/>
      <c r="BS85" s="35"/>
      <c r="BT85" s="5">
        <f t="shared" si="189"/>
        <v>0</v>
      </c>
      <c r="BV85" s="5">
        <f t="shared" si="181"/>
        <v>0</v>
      </c>
      <c r="BW85" s="5">
        <f t="shared" si="181"/>
        <v>0</v>
      </c>
      <c r="BX85" s="5">
        <f t="shared" si="181"/>
        <v>0</v>
      </c>
      <c r="BY85" s="5">
        <f t="shared" si="181"/>
        <v>0</v>
      </c>
      <c r="BZ85" s="5">
        <f t="shared" si="181"/>
        <v>0</v>
      </c>
      <c r="CA85" s="5">
        <f t="shared" si="181"/>
        <v>0</v>
      </c>
      <c r="CB85" s="35"/>
      <c r="CC85" s="5">
        <f t="shared" si="190"/>
        <v>0</v>
      </c>
    </row>
    <row r="86" spans="1:81">
      <c r="A86" s="29" t="s">
        <v>83</v>
      </c>
      <c r="B86" s="35"/>
      <c r="C86" s="35"/>
      <c r="D86" s="35"/>
      <c r="E86" s="35"/>
      <c r="F86" s="35"/>
      <c r="G86" s="35"/>
      <c r="H86" s="35"/>
      <c r="I86" s="5">
        <f t="shared" si="182"/>
        <v>0</v>
      </c>
      <c r="J86" s="6"/>
      <c r="K86" s="35"/>
      <c r="L86" s="35"/>
      <c r="M86" s="67"/>
      <c r="N86" s="35"/>
      <c r="O86" s="35"/>
      <c r="P86" s="35"/>
      <c r="Q86" s="35"/>
      <c r="R86" s="5">
        <f t="shared" si="183"/>
        <v>0</v>
      </c>
      <c r="T86" s="35"/>
      <c r="U86" s="35"/>
      <c r="V86" s="35"/>
      <c r="W86" s="35"/>
      <c r="X86" s="35"/>
      <c r="Y86" s="35"/>
      <c r="Z86" s="35"/>
      <c r="AA86" s="5">
        <f t="shared" si="184"/>
        <v>0</v>
      </c>
      <c r="AC86" s="35"/>
      <c r="AD86" s="35"/>
      <c r="AE86" s="35"/>
      <c r="AF86" s="35"/>
      <c r="AG86" s="35"/>
      <c r="AH86" s="35"/>
      <c r="AI86" s="35"/>
      <c r="AJ86" s="5">
        <f t="shared" si="185"/>
        <v>0</v>
      </c>
      <c r="AL86" s="35"/>
      <c r="AM86" s="35"/>
      <c r="AN86" s="35"/>
      <c r="AO86" s="35"/>
      <c r="AP86" s="35"/>
      <c r="AQ86" s="35"/>
      <c r="AR86" s="35"/>
      <c r="AS86" s="5">
        <f t="shared" si="186"/>
        <v>0</v>
      </c>
      <c r="AU86" s="35"/>
      <c r="AV86" s="35"/>
      <c r="AW86" s="35"/>
      <c r="AX86" s="35"/>
      <c r="AY86" s="35"/>
      <c r="AZ86" s="35"/>
      <c r="BA86" s="35"/>
      <c r="BB86" s="5">
        <f t="shared" si="187"/>
        <v>0</v>
      </c>
      <c r="BD86" s="35"/>
      <c r="BE86" s="35"/>
      <c r="BF86" s="67"/>
      <c r="BG86" s="35"/>
      <c r="BH86" s="35"/>
      <c r="BI86" s="35"/>
      <c r="BJ86" s="35"/>
      <c r="BK86" s="5">
        <f t="shared" si="188"/>
        <v>0</v>
      </c>
      <c r="BM86" s="35"/>
      <c r="BN86" s="35"/>
      <c r="BO86" s="35"/>
      <c r="BP86" s="35"/>
      <c r="BQ86" s="35"/>
      <c r="BR86" s="35"/>
      <c r="BS86" s="35"/>
      <c r="BT86" s="5">
        <f t="shared" si="189"/>
        <v>0</v>
      </c>
      <c r="BV86" s="5">
        <f t="shared" si="181"/>
        <v>0</v>
      </c>
      <c r="BW86" s="5">
        <f t="shared" si="181"/>
        <v>0</v>
      </c>
      <c r="BX86" s="5">
        <f t="shared" si="181"/>
        <v>0</v>
      </c>
      <c r="BY86" s="5">
        <f t="shared" si="181"/>
        <v>0</v>
      </c>
      <c r="BZ86" s="5">
        <f t="shared" si="181"/>
        <v>0</v>
      </c>
      <c r="CA86" s="5">
        <f t="shared" si="181"/>
        <v>0</v>
      </c>
      <c r="CB86" s="35"/>
      <c r="CC86" s="5">
        <f t="shared" si="190"/>
        <v>0</v>
      </c>
    </row>
    <row r="87" spans="1:81">
      <c r="A87" s="29" t="s">
        <v>6</v>
      </c>
      <c r="B87" s="35"/>
      <c r="C87" s="35"/>
      <c r="D87" s="35"/>
      <c r="E87" s="35"/>
      <c r="F87" s="35"/>
      <c r="G87" s="35"/>
      <c r="H87" s="35"/>
      <c r="I87" s="5">
        <f t="shared" si="182"/>
        <v>0</v>
      </c>
      <c r="J87" s="6"/>
      <c r="K87" s="35"/>
      <c r="L87" s="35"/>
      <c r="M87" s="67"/>
      <c r="N87" s="35"/>
      <c r="O87" s="35"/>
      <c r="P87" s="35"/>
      <c r="Q87" s="35"/>
      <c r="R87" s="5">
        <f t="shared" si="183"/>
        <v>0</v>
      </c>
      <c r="T87" s="35"/>
      <c r="U87" s="35"/>
      <c r="V87" s="35"/>
      <c r="W87" s="35"/>
      <c r="X87" s="35"/>
      <c r="Y87" s="35"/>
      <c r="Z87" s="35"/>
      <c r="AA87" s="5">
        <f t="shared" si="184"/>
        <v>0</v>
      </c>
      <c r="AC87" s="35"/>
      <c r="AD87" s="35"/>
      <c r="AE87" s="35"/>
      <c r="AF87" s="35"/>
      <c r="AG87" s="35"/>
      <c r="AH87" s="35"/>
      <c r="AI87" s="35"/>
      <c r="AJ87" s="5">
        <f t="shared" si="185"/>
        <v>0</v>
      </c>
      <c r="AL87" s="35"/>
      <c r="AM87" s="35"/>
      <c r="AN87" s="35"/>
      <c r="AO87" s="35"/>
      <c r="AP87" s="35"/>
      <c r="AQ87" s="35"/>
      <c r="AR87" s="35"/>
      <c r="AS87" s="5">
        <f t="shared" si="186"/>
        <v>0</v>
      </c>
      <c r="AU87" s="35"/>
      <c r="AV87" s="35"/>
      <c r="AW87" s="35"/>
      <c r="AX87" s="35"/>
      <c r="AY87" s="35"/>
      <c r="AZ87" s="35"/>
      <c r="BA87" s="35"/>
      <c r="BB87" s="5">
        <f t="shared" si="187"/>
        <v>0</v>
      </c>
      <c r="BD87" s="35"/>
      <c r="BE87" s="35"/>
      <c r="BF87" s="67"/>
      <c r="BG87" s="35"/>
      <c r="BH87" s="35"/>
      <c r="BI87" s="35"/>
      <c r="BJ87" s="35"/>
      <c r="BK87" s="5">
        <f t="shared" si="188"/>
        <v>0</v>
      </c>
      <c r="BM87" s="35"/>
      <c r="BN87" s="35"/>
      <c r="BO87" s="35"/>
      <c r="BP87" s="35"/>
      <c r="BQ87" s="35"/>
      <c r="BR87" s="35"/>
      <c r="BS87" s="35"/>
      <c r="BT87" s="5">
        <f t="shared" si="189"/>
        <v>0</v>
      </c>
      <c r="BV87" s="5">
        <f t="shared" si="181"/>
        <v>0</v>
      </c>
      <c r="BW87" s="5">
        <f t="shared" si="181"/>
        <v>0</v>
      </c>
      <c r="BX87" s="5">
        <f t="shared" si="181"/>
        <v>0</v>
      </c>
      <c r="BY87" s="5">
        <f t="shared" si="181"/>
        <v>0</v>
      </c>
      <c r="BZ87" s="5">
        <f t="shared" si="181"/>
        <v>0</v>
      </c>
      <c r="CA87" s="5">
        <f t="shared" si="181"/>
        <v>0</v>
      </c>
      <c r="CB87" s="35"/>
      <c r="CC87" s="5">
        <f t="shared" si="190"/>
        <v>0</v>
      </c>
    </row>
    <row r="88" spans="1:81">
      <c r="A88" s="29" t="s">
        <v>84</v>
      </c>
      <c r="B88" s="35"/>
      <c r="C88" s="35"/>
      <c r="D88" s="35"/>
      <c r="E88" s="35"/>
      <c r="F88" s="35"/>
      <c r="G88" s="35"/>
      <c r="H88" s="35"/>
      <c r="I88" s="5">
        <f t="shared" si="182"/>
        <v>0</v>
      </c>
      <c r="J88" s="6"/>
      <c r="K88" s="35"/>
      <c r="L88" s="35"/>
      <c r="M88" s="35"/>
      <c r="N88" s="35"/>
      <c r="O88" s="35"/>
      <c r="P88" s="35"/>
      <c r="Q88" s="35"/>
      <c r="R88" s="5">
        <f t="shared" si="183"/>
        <v>0</v>
      </c>
      <c r="T88" s="35"/>
      <c r="U88" s="35"/>
      <c r="V88" s="35"/>
      <c r="W88" s="35"/>
      <c r="X88" s="35"/>
      <c r="Y88" s="35"/>
      <c r="Z88" s="35"/>
      <c r="AA88" s="5">
        <f t="shared" si="184"/>
        <v>0</v>
      </c>
      <c r="AC88" s="35"/>
      <c r="AD88" s="35"/>
      <c r="AE88" s="35"/>
      <c r="AF88" s="35"/>
      <c r="AG88" s="35"/>
      <c r="AH88" s="35"/>
      <c r="AI88" s="35"/>
      <c r="AJ88" s="5">
        <f t="shared" si="185"/>
        <v>0</v>
      </c>
      <c r="AL88" s="35"/>
      <c r="AM88" s="35"/>
      <c r="AN88" s="35"/>
      <c r="AO88" s="35"/>
      <c r="AP88" s="35"/>
      <c r="AQ88" s="35"/>
      <c r="AR88" s="35"/>
      <c r="AS88" s="5">
        <f t="shared" si="186"/>
        <v>0</v>
      </c>
      <c r="AU88" s="35"/>
      <c r="AV88" s="35"/>
      <c r="AW88" s="35"/>
      <c r="AX88" s="35"/>
      <c r="AY88" s="35"/>
      <c r="AZ88" s="35"/>
      <c r="BA88" s="35"/>
      <c r="BB88" s="5">
        <f t="shared" si="187"/>
        <v>0</v>
      </c>
      <c r="BD88" s="35"/>
      <c r="BE88" s="35"/>
      <c r="BF88" s="35"/>
      <c r="BG88" s="35"/>
      <c r="BH88" s="35"/>
      <c r="BI88" s="35"/>
      <c r="BJ88" s="35"/>
      <c r="BK88" s="5">
        <f t="shared" si="188"/>
        <v>0</v>
      </c>
      <c r="BM88" s="35"/>
      <c r="BN88" s="35"/>
      <c r="BO88" s="35"/>
      <c r="BP88" s="35"/>
      <c r="BQ88" s="35"/>
      <c r="BR88" s="35"/>
      <c r="BS88" s="35"/>
      <c r="BT88" s="5">
        <f t="shared" si="189"/>
        <v>0</v>
      </c>
      <c r="BV88" s="5">
        <f t="shared" si="181"/>
        <v>0</v>
      </c>
      <c r="BW88" s="5">
        <f t="shared" si="181"/>
        <v>0</v>
      </c>
      <c r="BX88" s="5">
        <f t="shared" si="181"/>
        <v>0</v>
      </c>
      <c r="BY88" s="5">
        <f t="shared" si="181"/>
        <v>0</v>
      </c>
      <c r="BZ88" s="5">
        <f t="shared" si="181"/>
        <v>0</v>
      </c>
      <c r="CA88" s="5">
        <f t="shared" si="181"/>
        <v>0</v>
      </c>
      <c r="CB88" s="35"/>
      <c r="CC88" s="5">
        <f t="shared" si="190"/>
        <v>0</v>
      </c>
    </row>
    <row r="89" spans="1:81">
      <c r="A89" s="29" t="s">
        <v>85</v>
      </c>
      <c r="B89" s="35"/>
      <c r="C89" s="35"/>
      <c r="D89" s="35"/>
      <c r="E89" s="35"/>
      <c r="F89" s="35"/>
      <c r="G89" s="35"/>
      <c r="H89" s="35"/>
      <c r="I89" s="5"/>
      <c r="J89" s="6"/>
      <c r="K89" s="35"/>
      <c r="L89" s="35"/>
      <c r="M89" s="35"/>
      <c r="N89" s="35"/>
      <c r="O89" s="35"/>
      <c r="P89" s="35"/>
      <c r="Q89" s="35"/>
      <c r="R89" s="5"/>
      <c r="T89" s="35"/>
      <c r="U89" s="35"/>
      <c r="V89" s="35"/>
      <c r="W89" s="35"/>
      <c r="X89" s="35"/>
      <c r="Y89" s="35"/>
      <c r="Z89" s="35"/>
      <c r="AA89" s="5"/>
      <c r="AC89" s="35"/>
      <c r="AD89" s="35"/>
      <c r="AE89" s="35"/>
      <c r="AF89" s="35"/>
      <c r="AG89" s="35"/>
      <c r="AH89" s="35"/>
      <c r="AI89" s="35"/>
      <c r="AJ89" s="5"/>
      <c r="AL89" s="35"/>
      <c r="AM89" s="35"/>
      <c r="AN89" s="35"/>
      <c r="AO89" s="35"/>
      <c r="AP89" s="35"/>
      <c r="AQ89" s="35"/>
      <c r="AR89" s="35"/>
      <c r="AS89" s="5"/>
      <c r="AU89" s="35"/>
      <c r="AV89" s="35"/>
      <c r="AW89" s="35"/>
      <c r="AX89" s="35"/>
      <c r="AY89" s="35"/>
      <c r="AZ89" s="35"/>
      <c r="BA89" s="35"/>
      <c r="BB89" s="5"/>
      <c r="BD89" s="35"/>
      <c r="BE89" s="35"/>
      <c r="BF89" s="35"/>
      <c r="BG89" s="35"/>
      <c r="BH89" s="35"/>
      <c r="BI89" s="35"/>
      <c r="BJ89" s="35"/>
      <c r="BK89" s="5"/>
      <c r="BM89" s="35"/>
      <c r="BN89" s="35"/>
      <c r="BO89" s="35"/>
      <c r="BP89" s="35"/>
      <c r="BQ89" s="35"/>
      <c r="BR89" s="35"/>
      <c r="BS89" s="35"/>
      <c r="BT89" s="5"/>
      <c r="BV89" s="5">
        <f t="shared" si="181"/>
        <v>0</v>
      </c>
      <c r="BW89" s="5">
        <f t="shared" si="181"/>
        <v>0</v>
      </c>
      <c r="BX89" s="5">
        <f t="shared" si="181"/>
        <v>0</v>
      </c>
      <c r="BY89" s="5">
        <f t="shared" si="181"/>
        <v>0</v>
      </c>
      <c r="BZ89" s="5">
        <f t="shared" si="181"/>
        <v>0</v>
      </c>
      <c r="CA89" s="5">
        <f t="shared" si="181"/>
        <v>0</v>
      </c>
      <c r="CB89" s="35"/>
      <c r="CC89" s="5"/>
    </row>
    <row r="90" spans="1:81" ht="15">
      <c r="A90" s="54" t="s">
        <v>86</v>
      </c>
      <c r="B90" s="55">
        <f>SUM(B82:B88)</f>
        <v>0</v>
      </c>
      <c r="C90" s="55">
        <f t="shared" ref="C90:I90" si="191">SUM(C82:C88)</f>
        <v>133688.28729281769</v>
      </c>
      <c r="D90" s="55">
        <f t="shared" si="191"/>
        <v>361322.04600000003</v>
      </c>
      <c r="E90" s="55"/>
      <c r="F90" s="55">
        <f t="shared" si="191"/>
        <v>0</v>
      </c>
      <c r="G90" s="55">
        <f t="shared" si="191"/>
        <v>0</v>
      </c>
      <c r="H90" s="55">
        <f t="shared" si="191"/>
        <v>0</v>
      </c>
      <c r="I90" s="55">
        <f t="shared" si="191"/>
        <v>495010.3332928177</v>
      </c>
      <c r="J90" s="7"/>
      <c r="K90" s="55">
        <f>SUM(K82:K88)</f>
        <v>0</v>
      </c>
      <c r="L90" s="55">
        <f t="shared" ref="L90:R90" si="192">SUM(L82:L88)</f>
        <v>81085.714285714275</v>
      </c>
      <c r="M90" s="55">
        <f t="shared" si="192"/>
        <v>281519.27999999997</v>
      </c>
      <c r="N90" s="55"/>
      <c r="O90" s="55">
        <f t="shared" si="192"/>
        <v>0</v>
      </c>
      <c r="P90" s="55">
        <f t="shared" si="192"/>
        <v>0</v>
      </c>
      <c r="Q90" s="55">
        <f t="shared" si="192"/>
        <v>0</v>
      </c>
      <c r="R90" s="55">
        <f t="shared" si="192"/>
        <v>362604.99428571423</v>
      </c>
      <c r="T90" s="55">
        <f>SUM(T82:T88)</f>
        <v>0</v>
      </c>
      <c r="U90" s="55">
        <f t="shared" ref="U90:AA90" si="193">SUM(U82:U88)</f>
        <v>123978.20620284995</v>
      </c>
      <c r="V90" s="55">
        <f t="shared" si="193"/>
        <v>164960.01</v>
      </c>
      <c r="W90" s="55"/>
      <c r="X90" s="55">
        <f t="shared" si="193"/>
        <v>0</v>
      </c>
      <c r="Y90" s="55">
        <f t="shared" si="193"/>
        <v>0</v>
      </c>
      <c r="Z90" s="55">
        <f t="shared" si="193"/>
        <v>0</v>
      </c>
      <c r="AA90" s="55">
        <f t="shared" si="193"/>
        <v>288938.21620284999</v>
      </c>
      <c r="AC90" s="55">
        <f>SUM(AC82:AC88)</f>
        <v>0</v>
      </c>
      <c r="AD90" s="55">
        <f t="shared" ref="AD90:AJ90" si="194">SUM(AD82:AD88)</f>
        <v>319141.14627887082</v>
      </c>
      <c r="AE90" s="55">
        <f t="shared" si="194"/>
        <v>855781.20000000007</v>
      </c>
      <c r="AF90" s="55">
        <f t="shared" si="194"/>
        <v>0</v>
      </c>
      <c r="AG90" s="55">
        <f t="shared" si="194"/>
        <v>0</v>
      </c>
      <c r="AH90" s="55">
        <f t="shared" si="194"/>
        <v>0</v>
      </c>
      <c r="AI90" s="55">
        <f t="shared" si="194"/>
        <v>0</v>
      </c>
      <c r="AJ90" s="55">
        <f t="shared" si="194"/>
        <v>1174922.3462788709</v>
      </c>
      <c r="AL90" s="55">
        <f>SUM(AL82:AL88)</f>
        <v>0</v>
      </c>
      <c r="AM90" s="55">
        <f t="shared" ref="AM90:AS90" si="195">SUM(AM82:AM88)</f>
        <v>238220.47556142669</v>
      </c>
      <c r="AN90" s="55">
        <f t="shared" si="195"/>
        <v>557886.72600000002</v>
      </c>
      <c r="AO90" s="55"/>
      <c r="AP90" s="55">
        <f t="shared" si="195"/>
        <v>0</v>
      </c>
      <c r="AQ90" s="55">
        <f t="shared" si="195"/>
        <v>0</v>
      </c>
      <c r="AR90" s="55">
        <f t="shared" si="195"/>
        <v>0</v>
      </c>
      <c r="AS90" s="55">
        <f t="shared" si="195"/>
        <v>796107.20156142674</v>
      </c>
      <c r="AU90" s="55">
        <f>SUM(AU82:AU88)</f>
        <v>0</v>
      </c>
      <c r="AV90" s="55">
        <f t="shared" ref="AV90:BB90" si="196">SUM(AV82:AV88)</f>
        <v>20533.333333333336</v>
      </c>
      <c r="AW90" s="55">
        <f t="shared" si="196"/>
        <v>2182.3200000000002</v>
      </c>
      <c r="AX90" s="55"/>
      <c r="AY90" s="55">
        <f t="shared" si="196"/>
        <v>0</v>
      </c>
      <c r="AZ90" s="55">
        <f t="shared" si="196"/>
        <v>0</v>
      </c>
      <c r="BA90" s="55">
        <f t="shared" si="196"/>
        <v>0</v>
      </c>
      <c r="BB90" s="55">
        <f t="shared" si="196"/>
        <v>22715.653333333335</v>
      </c>
      <c r="BD90" s="55">
        <f>SUM(BD82:BD88)</f>
        <v>0</v>
      </c>
      <c r="BE90" s="55">
        <f t="shared" ref="BE90:BK90" si="197">SUM(BE82:BE88)</f>
        <v>24324.060150375939</v>
      </c>
      <c r="BF90" s="55">
        <f t="shared" si="197"/>
        <v>393640.74</v>
      </c>
      <c r="BG90" s="55"/>
      <c r="BH90" s="55">
        <f t="shared" si="197"/>
        <v>0</v>
      </c>
      <c r="BI90" s="55">
        <f t="shared" si="197"/>
        <v>0</v>
      </c>
      <c r="BJ90" s="55">
        <f t="shared" si="197"/>
        <v>0</v>
      </c>
      <c r="BK90" s="55">
        <f t="shared" si="197"/>
        <v>417964.80015037593</v>
      </c>
      <c r="BM90" s="55">
        <f>SUM(BM82:BM88)</f>
        <v>0</v>
      </c>
      <c r="BN90" s="55">
        <f t="shared" ref="BN90:BT90" si="198">SUM(BN82:BN88)</f>
        <v>0</v>
      </c>
      <c r="BO90" s="55">
        <f t="shared" si="198"/>
        <v>0</v>
      </c>
      <c r="BP90" s="55"/>
      <c r="BQ90" s="55">
        <f t="shared" si="198"/>
        <v>0</v>
      </c>
      <c r="BR90" s="55">
        <f t="shared" si="198"/>
        <v>0</v>
      </c>
      <c r="BS90" s="55">
        <f t="shared" si="198"/>
        <v>0</v>
      </c>
      <c r="BT90" s="55">
        <f t="shared" si="198"/>
        <v>0</v>
      </c>
      <c r="BV90" s="55">
        <f>SUM(BV82:BV88)</f>
        <v>0</v>
      </c>
      <c r="BW90" s="55">
        <f t="shared" ref="BW90:BX90" si="199">SUM(BW82:BW88)</f>
        <v>940971.22310538869</v>
      </c>
      <c r="BX90" s="55">
        <f t="shared" si="199"/>
        <v>2617292.3220000002</v>
      </c>
      <c r="BY90" s="55"/>
      <c r="BZ90" s="55">
        <f t="shared" ref="BZ90:CC90" si="200">SUM(BZ82:BZ88)</f>
        <v>0</v>
      </c>
      <c r="CA90" s="55">
        <f t="shared" si="200"/>
        <v>0</v>
      </c>
      <c r="CB90" s="55">
        <f t="shared" si="200"/>
        <v>0</v>
      </c>
      <c r="CC90" s="55">
        <f t="shared" si="200"/>
        <v>3558263.5451053889</v>
      </c>
    </row>
    <row r="91" spans="1:81" ht="15">
      <c r="A91" s="56" t="s">
        <v>87</v>
      </c>
      <c r="B91" s="49"/>
      <c r="C91" s="49"/>
      <c r="D91" s="49"/>
      <c r="E91" s="49"/>
      <c r="F91" s="49"/>
      <c r="G91" s="49"/>
      <c r="H91" s="49"/>
      <c r="I91" s="50"/>
      <c r="J91" s="7"/>
      <c r="K91" s="49"/>
      <c r="L91" s="49"/>
      <c r="M91" s="49"/>
      <c r="N91" s="49"/>
      <c r="O91" s="49"/>
      <c r="P91" s="49"/>
      <c r="Q91" s="49"/>
      <c r="R91" s="50"/>
      <c r="T91" s="49"/>
      <c r="U91" s="49"/>
      <c r="V91" s="49"/>
      <c r="W91" s="49"/>
      <c r="X91" s="49"/>
      <c r="Y91" s="49"/>
      <c r="Z91" s="49"/>
      <c r="AA91" s="50"/>
      <c r="AC91" s="49"/>
      <c r="AD91" s="49"/>
      <c r="AE91" s="49"/>
      <c r="AF91" s="49"/>
      <c r="AG91" s="49"/>
      <c r="AH91" s="49"/>
      <c r="AI91" s="49"/>
      <c r="AJ91" s="50"/>
      <c r="AL91" s="49"/>
      <c r="AM91" s="49"/>
      <c r="AN91" s="49"/>
      <c r="AO91" s="49"/>
      <c r="AP91" s="49"/>
      <c r="AQ91" s="49"/>
      <c r="AR91" s="49"/>
      <c r="AS91" s="50"/>
      <c r="AU91" s="49"/>
      <c r="AV91" s="49"/>
      <c r="AW91" s="49"/>
      <c r="AX91" s="49"/>
      <c r="AY91" s="49"/>
      <c r="AZ91" s="49"/>
      <c r="BA91" s="49"/>
      <c r="BB91" s="50"/>
      <c r="BD91" s="49"/>
      <c r="BE91" s="49"/>
      <c r="BF91" s="49"/>
      <c r="BG91" s="49"/>
      <c r="BH91" s="49"/>
      <c r="BI91" s="49"/>
      <c r="BJ91" s="49"/>
      <c r="BK91" s="50"/>
      <c r="BM91" s="49"/>
      <c r="BN91" s="49"/>
      <c r="BO91" s="49"/>
      <c r="BP91" s="49"/>
      <c r="BQ91" s="49"/>
      <c r="BR91" s="49"/>
      <c r="BS91" s="49"/>
      <c r="BT91" s="50"/>
      <c r="BV91" s="49"/>
      <c r="BW91" s="49"/>
      <c r="BX91" s="49"/>
      <c r="BY91" s="49"/>
      <c r="BZ91" s="49"/>
      <c r="CA91" s="49"/>
      <c r="CB91" s="49"/>
      <c r="CC91" s="50"/>
    </row>
    <row r="92" spans="1:81">
      <c r="A92" s="29" t="s">
        <v>88</v>
      </c>
      <c r="B92" s="5">
        <v>0</v>
      </c>
      <c r="C92" s="5"/>
      <c r="D92" s="5"/>
      <c r="E92" s="5"/>
      <c r="F92" s="5"/>
      <c r="G92" s="5"/>
      <c r="H92" s="5"/>
      <c r="I92" s="5">
        <f t="shared" si="182"/>
        <v>0</v>
      </c>
      <c r="K92" s="5">
        <v>0</v>
      </c>
      <c r="L92" s="5"/>
      <c r="M92" s="5"/>
      <c r="N92" s="5"/>
      <c r="O92" s="5"/>
      <c r="P92" s="5"/>
      <c r="Q92" s="5"/>
      <c r="R92" s="5">
        <f t="shared" si="183"/>
        <v>0</v>
      </c>
      <c r="T92" s="5">
        <v>0</v>
      </c>
      <c r="U92" s="5"/>
      <c r="V92" s="5"/>
      <c r="W92" s="5"/>
      <c r="X92" s="5"/>
      <c r="Y92" s="5"/>
      <c r="Z92" s="5"/>
      <c r="AA92" s="5">
        <f t="shared" si="184"/>
        <v>0</v>
      </c>
      <c r="AC92" s="5">
        <v>0</v>
      </c>
      <c r="AD92" s="5"/>
      <c r="AE92" s="5"/>
      <c r="AF92" s="5"/>
      <c r="AG92" s="5"/>
      <c r="AH92" s="5"/>
      <c r="AI92" s="5"/>
      <c r="AJ92" s="5">
        <f t="shared" si="185"/>
        <v>0</v>
      </c>
      <c r="AL92" s="5">
        <v>0</v>
      </c>
      <c r="AM92" s="5"/>
      <c r="AN92" s="5"/>
      <c r="AO92" s="5"/>
      <c r="AP92" s="5"/>
      <c r="AQ92" s="5"/>
      <c r="AR92" s="5"/>
      <c r="AS92" s="5">
        <f t="shared" si="186"/>
        <v>0</v>
      </c>
      <c r="AU92" s="5">
        <v>0</v>
      </c>
      <c r="AV92" s="5"/>
      <c r="AW92" s="5"/>
      <c r="AX92" s="5"/>
      <c r="AY92" s="5"/>
      <c r="AZ92" s="5"/>
      <c r="BA92" s="5"/>
      <c r="BB92" s="5">
        <f t="shared" si="187"/>
        <v>0</v>
      </c>
      <c r="BD92" s="5">
        <v>0</v>
      </c>
      <c r="BE92" s="5"/>
      <c r="BF92" s="5"/>
      <c r="BG92" s="5"/>
      <c r="BH92" s="5"/>
      <c r="BI92" s="5"/>
      <c r="BJ92" s="5"/>
      <c r="BK92" s="5">
        <f t="shared" si="188"/>
        <v>0</v>
      </c>
      <c r="BM92" s="5">
        <v>0</v>
      </c>
      <c r="BN92" s="5"/>
      <c r="BO92" s="5"/>
      <c r="BP92" s="5"/>
      <c r="BQ92" s="5"/>
      <c r="BR92" s="5"/>
      <c r="BS92" s="5"/>
      <c r="BT92" s="5">
        <f t="shared" si="189"/>
        <v>0</v>
      </c>
      <c r="BV92" s="5">
        <f t="shared" ref="BV92:CA95" si="201">B92+K92+T92+AC92+AL92+AU92+BD92+BM92</f>
        <v>0</v>
      </c>
      <c r="BW92" s="5">
        <f t="shared" si="201"/>
        <v>0</v>
      </c>
      <c r="BX92" s="5">
        <f t="shared" si="201"/>
        <v>0</v>
      </c>
      <c r="BY92" s="5">
        <f t="shared" si="201"/>
        <v>0</v>
      </c>
      <c r="BZ92" s="5">
        <f t="shared" si="201"/>
        <v>0</v>
      </c>
      <c r="CA92" s="5">
        <f t="shared" si="201"/>
        <v>0</v>
      </c>
      <c r="CB92" s="5"/>
      <c r="CC92" s="5">
        <f t="shared" ref="CC92:CC95" si="202">SUM(BV92:CB92)</f>
        <v>0</v>
      </c>
    </row>
    <row r="93" spans="1:81">
      <c r="A93" s="29" t="s">
        <v>89</v>
      </c>
      <c r="B93" s="11"/>
      <c r="C93" s="11"/>
      <c r="D93" s="11"/>
      <c r="E93" s="11"/>
      <c r="F93" s="11">
        <f t="shared" ref="F93:H93" si="203">F161</f>
        <v>0</v>
      </c>
      <c r="G93" s="11">
        <v>275000</v>
      </c>
      <c r="H93" s="11">
        <f t="shared" si="203"/>
        <v>0</v>
      </c>
      <c r="I93" s="5">
        <f t="shared" si="182"/>
        <v>275000</v>
      </c>
      <c r="K93" s="11"/>
      <c r="L93" s="11"/>
      <c r="M93" s="11"/>
      <c r="N93" s="11"/>
      <c r="O93" s="11">
        <f t="shared" ref="O93:Q93" si="204">O161</f>
        <v>0</v>
      </c>
      <c r="P93" s="11">
        <v>800000</v>
      </c>
      <c r="Q93" s="11">
        <f t="shared" si="204"/>
        <v>0</v>
      </c>
      <c r="R93" s="5">
        <f t="shared" si="183"/>
        <v>800000</v>
      </c>
      <c r="T93" s="11"/>
      <c r="U93" s="11"/>
      <c r="V93" s="11"/>
      <c r="W93" s="11"/>
      <c r="X93" s="11">
        <f t="shared" ref="X93:Z93" si="205">X161</f>
        <v>0</v>
      </c>
      <c r="Y93" s="11">
        <v>800000</v>
      </c>
      <c r="Z93" s="11">
        <f t="shared" si="205"/>
        <v>0</v>
      </c>
      <c r="AA93" s="5">
        <f t="shared" si="184"/>
        <v>800000</v>
      </c>
      <c r="AC93" s="11"/>
      <c r="AD93" s="11"/>
      <c r="AE93" s="11"/>
      <c r="AF93" s="11"/>
      <c r="AG93" s="11">
        <f t="shared" ref="AG93:AI93" si="206">AG161</f>
        <v>0</v>
      </c>
      <c r="AH93" s="11">
        <v>1250000</v>
      </c>
      <c r="AI93" s="11">
        <f t="shared" si="206"/>
        <v>0</v>
      </c>
      <c r="AJ93" s="5">
        <f t="shared" si="185"/>
        <v>1250000</v>
      </c>
      <c r="AL93" s="11"/>
      <c r="AM93" s="11"/>
      <c r="AN93" s="11"/>
      <c r="AO93" s="11"/>
      <c r="AP93" s="11">
        <f t="shared" ref="AP93:AR93" si="207">AP161</f>
        <v>0</v>
      </c>
      <c r="AQ93" s="11">
        <v>2000000</v>
      </c>
      <c r="AR93" s="11">
        <f t="shared" si="207"/>
        <v>0</v>
      </c>
      <c r="AS93" s="5">
        <f t="shared" si="186"/>
        <v>2000000</v>
      </c>
      <c r="AU93" s="11"/>
      <c r="AV93" s="11"/>
      <c r="AW93" s="11"/>
      <c r="AX93" s="11"/>
      <c r="AY93" s="11">
        <f t="shared" ref="AY93:BA93" si="208">AY161</f>
        <v>0</v>
      </c>
      <c r="AZ93" s="11">
        <f t="shared" si="208"/>
        <v>0</v>
      </c>
      <c r="BA93" s="11">
        <f t="shared" si="208"/>
        <v>0</v>
      </c>
      <c r="BB93" s="5">
        <f t="shared" si="187"/>
        <v>0</v>
      </c>
      <c r="BD93" s="11"/>
      <c r="BE93" s="11"/>
      <c r="BF93" s="11"/>
      <c r="BG93" s="11"/>
      <c r="BH93" s="11">
        <v>0</v>
      </c>
      <c r="BI93" s="11">
        <v>50000</v>
      </c>
      <c r="BJ93" s="11">
        <f t="shared" ref="BJ93" si="209">BJ161</f>
        <v>0</v>
      </c>
      <c r="BK93" s="5">
        <f t="shared" si="188"/>
        <v>50000</v>
      </c>
      <c r="BM93" s="11"/>
      <c r="BN93" s="11"/>
      <c r="BO93" s="11"/>
      <c r="BP93" s="11"/>
      <c r="BQ93" s="11">
        <f t="shared" ref="BQ93:BS93" si="210">BQ161</f>
        <v>0</v>
      </c>
      <c r="BR93" s="11">
        <f t="shared" si="210"/>
        <v>0</v>
      </c>
      <c r="BS93" s="11">
        <f t="shared" si="210"/>
        <v>0</v>
      </c>
      <c r="BT93" s="5">
        <f t="shared" si="189"/>
        <v>0</v>
      </c>
      <c r="BV93" s="5">
        <f t="shared" si="201"/>
        <v>0</v>
      </c>
      <c r="BW93" s="5">
        <f t="shared" si="201"/>
        <v>0</v>
      </c>
      <c r="BX93" s="5">
        <f t="shared" si="201"/>
        <v>0</v>
      </c>
      <c r="BY93" s="5">
        <f t="shared" si="201"/>
        <v>0</v>
      </c>
      <c r="BZ93" s="5">
        <f t="shared" si="201"/>
        <v>0</v>
      </c>
      <c r="CA93" s="5">
        <f t="shared" si="201"/>
        <v>5175000</v>
      </c>
      <c r="CB93" s="11">
        <f t="shared" ref="CB93" si="211">CB161</f>
        <v>0</v>
      </c>
      <c r="CC93" s="5">
        <f t="shared" si="202"/>
        <v>5175000</v>
      </c>
    </row>
    <row r="94" spans="1:81">
      <c r="A94" s="29" t="s">
        <v>90</v>
      </c>
      <c r="B94" s="35"/>
      <c r="C94" s="35"/>
      <c r="D94" s="35"/>
      <c r="E94" s="35"/>
      <c r="F94" s="35"/>
      <c r="G94" s="35"/>
      <c r="H94" s="35"/>
      <c r="I94" s="35">
        <f t="shared" si="182"/>
        <v>0</v>
      </c>
      <c r="K94" s="35"/>
      <c r="L94" s="35"/>
      <c r="M94" s="35"/>
      <c r="N94" s="35"/>
      <c r="O94" s="35"/>
      <c r="P94" s="35"/>
      <c r="Q94" s="35"/>
      <c r="R94" s="35">
        <f t="shared" si="183"/>
        <v>0</v>
      </c>
      <c r="T94" s="35"/>
      <c r="U94" s="35"/>
      <c r="V94" s="35"/>
      <c r="W94" s="35"/>
      <c r="X94" s="35"/>
      <c r="Y94" s="35"/>
      <c r="Z94" s="35"/>
      <c r="AA94" s="35">
        <f t="shared" si="184"/>
        <v>0</v>
      </c>
      <c r="AC94" s="97">
        <f>'[2]07'!AC159</f>
        <v>0</v>
      </c>
      <c r="AD94" s="35"/>
      <c r="AE94" s="35"/>
      <c r="AF94" s="35"/>
      <c r="AG94" s="35"/>
      <c r="AH94" s="35"/>
      <c r="AI94" s="35"/>
      <c r="AJ94" s="35">
        <f t="shared" si="185"/>
        <v>0</v>
      </c>
      <c r="AL94" s="67"/>
      <c r="AM94" s="35"/>
      <c r="AN94" s="35"/>
      <c r="AO94" s="35"/>
      <c r="AP94" s="35"/>
      <c r="AQ94" s="35"/>
      <c r="AR94" s="35"/>
      <c r="AS94" s="35">
        <f t="shared" si="186"/>
        <v>0</v>
      </c>
      <c r="AU94" s="35"/>
      <c r="AV94" s="35"/>
      <c r="AW94" s="35"/>
      <c r="AX94" s="35"/>
      <c r="AY94" s="35"/>
      <c r="AZ94" s="35"/>
      <c r="BA94" s="35"/>
      <c r="BB94" s="35">
        <f t="shared" si="187"/>
        <v>0</v>
      </c>
      <c r="BD94" s="35"/>
      <c r="BE94" s="35"/>
      <c r="BF94" s="35"/>
      <c r="BG94" s="35"/>
      <c r="BH94" s="35"/>
      <c r="BI94" s="35"/>
      <c r="BJ94" s="35"/>
      <c r="BK94" s="35">
        <f t="shared" si="188"/>
        <v>0</v>
      </c>
      <c r="BM94" s="35"/>
      <c r="BN94" s="35"/>
      <c r="BO94" s="35"/>
      <c r="BP94" s="35"/>
      <c r="BQ94" s="35"/>
      <c r="BR94" s="35"/>
      <c r="BS94" s="35"/>
      <c r="BT94" s="35">
        <f t="shared" si="189"/>
        <v>0</v>
      </c>
      <c r="BV94" s="5">
        <f t="shared" si="201"/>
        <v>0</v>
      </c>
      <c r="BW94" s="5">
        <f t="shared" si="201"/>
        <v>0</v>
      </c>
      <c r="BX94" s="5">
        <f t="shared" si="201"/>
        <v>0</v>
      </c>
      <c r="BY94" s="5">
        <f t="shared" si="201"/>
        <v>0</v>
      </c>
      <c r="BZ94" s="5">
        <f t="shared" si="201"/>
        <v>0</v>
      </c>
      <c r="CA94" s="5">
        <f t="shared" si="201"/>
        <v>0</v>
      </c>
      <c r="CB94" s="35"/>
      <c r="CC94" s="35">
        <f t="shared" si="202"/>
        <v>0</v>
      </c>
    </row>
    <row r="95" spans="1:81">
      <c r="A95" s="29" t="s">
        <v>91</v>
      </c>
      <c r="B95" s="35">
        <v>60000</v>
      </c>
      <c r="C95" s="35"/>
      <c r="D95" s="35"/>
      <c r="E95" s="35"/>
      <c r="F95" s="35"/>
      <c r="G95" s="35"/>
      <c r="H95" s="35"/>
      <c r="I95" s="35">
        <f t="shared" si="182"/>
        <v>60000</v>
      </c>
      <c r="K95" s="35">
        <v>60000</v>
      </c>
      <c r="L95" s="35"/>
      <c r="M95" s="35"/>
      <c r="N95" s="35"/>
      <c r="O95" s="35"/>
      <c r="P95" s="35"/>
      <c r="Q95" s="35"/>
      <c r="R95" s="35">
        <f t="shared" si="183"/>
        <v>60000</v>
      </c>
      <c r="T95" s="35">
        <v>75000</v>
      </c>
      <c r="U95" s="35"/>
      <c r="V95" s="35"/>
      <c r="W95" s="35"/>
      <c r="X95" s="35"/>
      <c r="Y95" s="35"/>
      <c r="Z95" s="35"/>
      <c r="AA95" s="35">
        <f t="shared" si="184"/>
        <v>75000</v>
      </c>
      <c r="AC95" s="35">
        <v>125000</v>
      </c>
      <c r="AD95" s="35"/>
      <c r="AE95" s="35"/>
      <c r="AF95" s="35"/>
      <c r="AG95" s="35"/>
      <c r="AH95" s="35"/>
      <c r="AI95" s="35"/>
      <c r="AJ95" s="35">
        <f t="shared" si="185"/>
        <v>125000</v>
      </c>
      <c r="AL95" s="35">
        <v>150000</v>
      </c>
      <c r="AM95" s="35"/>
      <c r="AN95" s="35"/>
      <c r="AO95" s="35"/>
      <c r="AP95" s="35"/>
      <c r="AQ95" s="35"/>
      <c r="AR95" s="35"/>
      <c r="AS95" s="35">
        <f t="shared" si="186"/>
        <v>150000</v>
      </c>
      <c r="AU95" s="35">
        <v>0</v>
      </c>
      <c r="AV95" s="35"/>
      <c r="AW95" s="35"/>
      <c r="AX95" s="35"/>
      <c r="AY95" s="35"/>
      <c r="AZ95" s="35"/>
      <c r="BA95" s="35"/>
      <c r="BB95" s="35">
        <f t="shared" si="187"/>
        <v>0</v>
      </c>
      <c r="BD95" s="35"/>
      <c r="BE95" s="35"/>
      <c r="BF95" s="35"/>
      <c r="BG95" s="35"/>
      <c r="BH95" s="35"/>
      <c r="BI95" s="35"/>
      <c r="BJ95" s="35"/>
      <c r="BK95" s="35">
        <f t="shared" si="188"/>
        <v>0</v>
      </c>
      <c r="BM95" s="35">
        <v>0</v>
      </c>
      <c r="BN95" s="35"/>
      <c r="BO95" s="35"/>
      <c r="BP95" s="35"/>
      <c r="BQ95" s="35"/>
      <c r="BR95" s="35"/>
      <c r="BS95" s="35"/>
      <c r="BT95" s="35">
        <f t="shared" si="189"/>
        <v>0</v>
      </c>
      <c r="BV95" s="5">
        <f t="shared" si="201"/>
        <v>470000</v>
      </c>
      <c r="BW95" s="5">
        <f t="shared" si="201"/>
        <v>0</v>
      </c>
      <c r="BX95" s="5">
        <f t="shared" si="201"/>
        <v>0</v>
      </c>
      <c r="BY95" s="5">
        <f t="shared" si="201"/>
        <v>0</v>
      </c>
      <c r="BZ95" s="5">
        <f t="shared" si="201"/>
        <v>0</v>
      </c>
      <c r="CA95" s="5">
        <f t="shared" si="201"/>
        <v>0</v>
      </c>
      <c r="CB95" s="35"/>
      <c r="CC95" s="35">
        <f t="shared" si="202"/>
        <v>470000</v>
      </c>
    </row>
    <row r="96" spans="1:81" ht="15">
      <c r="A96" s="54" t="s">
        <v>92</v>
      </c>
      <c r="B96" s="55">
        <f>SUM(B92:B95)</f>
        <v>60000</v>
      </c>
      <c r="C96" s="55">
        <f t="shared" ref="C96:H96" si="212">SUM(C92:C95)</f>
        <v>0</v>
      </c>
      <c r="D96" s="55">
        <f t="shared" si="212"/>
        <v>0</v>
      </c>
      <c r="E96" s="55"/>
      <c r="F96" s="55">
        <f t="shared" si="212"/>
        <v>0</v>
      </c>
      <c r="G96" s="55">
        <f t="shared" si="212"/>
        <v>275000</v>
      </c>
      <c r="H96" s="55">
        <f t="shared" si="212"/>
        <v>0</v>
      </c>
      <c r="I96" s="55">
        <f>SUM(I92:I95)</f>
        <v>335000</v>
      </c>
      <c r="J96" s="7"/>
      <c r="K96" s="55">
        <f>SUM(K92:K95)</f>
        <v>60000</v>
      </c>
      <c r="L96" s="55">
        <f t="shared" ref="L96:Q96" si="213">SUM(L92:L95)</f>
        <v>0</v>
      </c>
      <c r="M96" s="55">
        <f t="shared" si="213"/>
        <v>0</v>
      </c>
      <c r="N96" s="55"/>
      <c r="O96" s="55">
        <f t="shared" si="213"/>
        <v>0</v>
      </c>
      <c r="P96" s="55">
        <f t="shared" si="213"/>
        <v>800000</v>
      </c>
      <c r="Q96" s="55">
        <f t="shared" si="213"/>
        <v>0</v>
      </c>
      <c r="R96" s="55">
        <f>SUM(R92:R95)</f>
        <v>860000</v>
      </c>
      <c r="T96" s="55">
        <f>SUM(T92:T95)</f>
        <v>75000</v>
      </c>
      <c r="U96" s="55">
        <f t="shared" ref="U96:Z96" si="214">SUM(U92:U95)</f>
        <v>0</v>
      </c>
      <c r="V96" s="55">
        <f t="shared" si="214"/>
        <v>0</v>
      </c>
      <c r="W96" s="55"/>
      <c r="X96" s="55">
        <f t="shared" si="214"/>
        <v>0</v>
      </c>
      <c r="Y96" s="55">
        <f t="shared" si="214"/>
        <v>800000</v>
      </c>
      <c r="Z96" s="55">
        <f t="shared" si="214"/>
        <v>0</v>
      </c>
      <c r="AA96" s="55">
        <f>SUM(AA92:AA95)</f>
        <v>875000</v>
      </c>
      <c r="AC96" s="55">
        <f>SUM(AC92:AC95)</f>
        <v>125000</v>
      </c>
      <c r="AD96" s="55">
        <f t="shared" ref="AD96:AI96" si="215">SUM(AD92:AD95)</f>
        <v>0</v>
      </c>
      <c r="AE96" s="55">
        <f t="shared" si="215"/>
        <v>0</v>
      </c>
      <c r="AF96" s="55">
        <f t="shared" si="215"/>
        <v>0</v>
      </c>
      <c r="AG96" s="55">
        <f t="shared" si="215"/>
        <v>0</v>
      </c>
      <c r="AH96" s="55">
        <f t="shared" si="215"/>
        <v>1250000</v>
      </c>
      <c r="AI96" s="55">
        <f t="shared" si="215"/>
        <v>0</v>
      </c>
      <c r="AJ96" s="55">
        <f>SUM(AJ92:AJ95)</f>
        <v>1375000</v>
      </c>
      <c r="AL96" s="55">
        <f>SUM(AL92:AL95)</f>
        <v>150000</v>
      </c>
      <c r="AM96" s="55">
        <f t="shared" ref="AM96:AR96" si="216">SUM(AM92:AM95)</f>
        <v>0</v>
      </c>
      <c r="AN96" s="55">
        <f t="shared" si="216"/>
        <v>0</v>
      </c>
      <c r="AO96" s="55"/>
      <c r="AP96" s="55">
        <f t="shared" si="216"/>
        <v>0</v>
      </c>
      <c r="AQ96" s="55">
        <f t="shared" si="216"/>
        <v>2000000</v>
      </c>
      <c r="AR96" s="55">
        <f t="shared" si="216"/>
        <v>0</v>
      </c>
      <c r="AS96" s="55">
        <f>SUM(AS92:AS95)</f>
        <v>2150000</v>
      </c>
      <c r="AU96" s="55">
        <f>SUM(AU92:AU95)</f>
        <v>0</v>
      </c>
      <c r="AV96" s="55">
        <f t="shared" ref="AV96:BA96" si="217">SUM(AV92:AV95)</f>
        <v>0</v>
      </c>
      <c r="AW96" s="55">
        <f t="shared" si="217"/>
        <v>0</v>
      </c>
      <c r="AX96" s="55"/>
      <c r="AY96" s="55">
        <f t="shared" si="217"/>
        <v>0</v>
      </c>
      <c r="AZ96" s="55">
        <f t="shared" si="217"/>
        <v>0</v>
      </c>
      <c r="BA96" s="55">
        <f t="shared" si="217"/>
        <v>0</v>
      </c>
      <c r="BB96" s="55">
        <f>SUM(BB92:BB95)</f>
        <v>0</v>
      </c>
      <c r="BD96" s="55">
        <f>SUM(BD92:BD95)</f>
        <v>0</v>
      </c>
      <c r="BE96" s="55">
        <f t="shared" ref="BE96:BJ96" si="218">SUM(BE92:BE95)</f>
        <v>0</v>
      </c>
      <c r="BF96" s="55">
        <f t="shared" si="218"/>
        <v>0</v>
      </c>
      <c r="BG96" s="55"/>
      <c r="BH96" s="55">
        <f t="shared" si="218"/>
        <v>0</v>
      </c>
      <c r="BI96" s="55">
        <f t="shared" si="218"/>
        <v>50000</v>
      </c>
      <c r="BJ96" s="55">
        <f t="shared" si="218"/>
        <v>0</v>
      </c>
      <c r="BK96" s="55">
        <f>SUM(BK92:BK95)</f>
        <v>50000</v>
      </c>
      <c r="BM96" s="55">
        <f>SUM(BM92:BM95)</f>
        <v>0</v>
      </c>
      <c r="BN96" s="55">
        <f t="shared" ref="BN96:BS96" si="219">SUM(BN92:BN95)</f>
        <v>0</v>
      </c>
      <c r="BO96" s="55">
        <f t="shared" si="219"/>
        <v>0</v>
      </c>
      <c r="BP96" s="55"/>
      <c r="BQ96" s="55">
        <f t="shared" si="219"/>
        <v>0</v>
      </c>
      <c r="BR96" s="55">
        <f t="shared" si="219"/>
        <v>0</v>
      </c>
      <c r="BS96" s="55">
        <f t="shared" si="219"/>
        <v>0</v>
      </c>
      <c r="BT96" s="55">
        <f>SUM(BT92:BT95)</f>
        <v>0</v>
      </c>
      <c r="BV96" s="55">
        <f>SUM(BV92:BV95)</f>
        <v>470000</v>
      </c>
      <c r="BW96" s="55">
        <f t="shared" ref="BW96:BX96" si="220">SUM(BW92:BW95)</f>
        <v>0</v>
      </c>
      <c r="BX96" s="55">
        <f t="shared" si="220"/>
        <v>0</v>
      </c>
      <c r="BY96" s="55"/>
      <c r="BZ96" s="55">
        <f t="shared" ref="BZ96:CB96" si="221">SUM(BZ92:BZ95)</f>
        <v>0</v>
      </c>
      <c r="CA96" s="55">
        <f t="shared" si="221"/>
        <v>5175000</v>
      </c>
      <c r="CB96" s="55">
        <f t="shared" si="221"/>
        <v>0</v>
      </c>
      <c r="CC96" s="55">
        <f>SUM(CC92:CC95)</f>
        <v>5645000</v>
      </c>
    </row>
    <row r="97" spans="1:81" ht="15">
      <c r="A97" s="58" t="s">
        <v>93</v>
      </c>
      <c r="B97" s="59">
        <f>B80+B90+B96</f>
        <v>8956498.508287292</v>
      </c>
      <c r="C97" s="59">
        <f t="shared" ref="C97:H97" si="222">C80+C90+C96</f>
        <v>753325.55248618789</v>
      </c>
      <c r="D97" s="59">
        <f t="shared" si="222"/>
        <v>361322.04600000003</v>
      </c>
      <c r="E97" s="59"/>
      <c r="F97" s="59">
        <f t="shared" si="222"/>
        <v>0</v>
      </c>
      <c r="G97" s="59">
        <f t="shared" si="222"/>
        <v>275000</v>
      </c>
      <c r="H97" s="59">
        <f t="shared" si="222"/>
        <v>0</v>
      </c>
      <c r="I97" s="59">
        <f>I80+I90+I96</f>
        <v>10346146.106773481</v>
      </c>
      <c r="J97" s="7"/>
      <c r="K97" s="59">
        <f>K80+K90+K96</f>
        <v>10091247.005870841</v>
      </c>
      <c r="L97" s="59">
        <f t="shared" ref="L97:Q97" si="223">L80+L90+L96</f>
        <v>489609.99999999994</v>
      </c>
      <c r="M97" s="59">
        <f t="shared" si="223"/>
        <v>281519.27999999997</v>
      </c>
      <c r="N97" s="59"/>
      <c r="O97" s="59">
        <f t="shared" si="223"/>
        <v>0</v>
      </c>
      <c r="P97" s="59">
        <f t="shared" si="223"/>
        <v>800000</v>
      </c>
      <c r="Q97" s="59">
        <f t="shared" si="223"/>
        <v>0</v>
      </c>
      <c r="R97" s="59">
        <f>R80+R90+R96</f>
        <v>11662376.285870841</v>
      </c>
      <c r="T97" s="59">
        <f>T80+T90+T96</f>
        <v>12176907.18357083</v>
      </c>
      <c r="U97" s="59">
        <f t="shared" ref="U97:Z97" si="224">U80+U90+U96</f>
        <v>722448.55490360432</v>
      </c>
      <c r="V97" s="59">
        <f t="shared" si="224"/>
        <v>164960.01</v>
      </c>
      <c r="W97" s="59"/>
      <c r="X97" s="59">
        <f t="shared" si="224"/>
        <v>0</v>
      </c>
      <c r="Y97" s="59">
        <f t="shared" si="224"/>
        <v>800000</v>
      </c>
      <c r="Z97" s="59">
        <f t="shared" si="224"/>
        <v>0</v>
      </c>
      <c r="AA97" s="59">
        <f>AA80+AA90+AA96</f>
        <v>13864315.748474434</v>
      </c>
      <c r="AC97" s="59">
        <f>AC80+AC90+AC96</f>
        <v>24200970.087254062</v>
      </c>
      <c r="AD97" s="59">
        <f t="shared" ref="AD97:AI97" si="225">AD80+AD90+AD96</f>
        <v>1871838.74251497</v>
      </c>
      <c r="AE97" s="59">
        <f t="shared" si="225"/>
        <v>855781.20000000007</v>
      </c>
      <c r="AF97" s="59">
        <f t="shared" si="225"/>
        <v>0</v>
      </c>
      <c r="AG97" s="59">
        <f t="shared" si="225"/>
        <v>0</v>
      </c>
      <c r="AH97" s="59">
        <f t="shared" si="225"/>
        <v>1250000</v>
      </c>
      <c r="AI97" s="59">
        <f t="shared" si="225"/>
        <v>0</v>
      </c>
      <c r="AJ97" s="59">
        <f>AJ80+AJ90+AJ96</f>
        <v>28178590.029769033</v>
      </c>
      <c r="AL97" s="59">
        <f>AL80+AL90+AL96</f>
        <v>22907125.085424926</v>
      </c>
      <c r="AM97" s="59">
        <f t="shared" ref="AM97:AR97" si="226">AM80+AM90+AM96</f>
        <v>1387604.9365918098</v>
      </c>
      <c r="AN97" s="59">
        <f t="shared" si="226"/>
        <v>557886.72600000002</v>
      </c>
      <c r="AO97" s="59"/>
      <c r="AP97" s="59">
        <f t="shared" si="226"/>
        <v>0</v>
      </c>
      <c r="AQ97" s="59">
        <f t="shared" si="226"/>
        <v>2000000</v>
      </c>
      <c r="AR97" s="59">
        <f t="shared" si="226"/>
        <v>0</v>
      </c>
      <c r="AS97" s="59">
        <f>AS80+AS90+AS96</f>
        <v>26852616.748016737</v>
      </c>
      <c r="AU97" s="59">
        <f>AU80+AU90+AU96</f>
        <v>1470558.888888889</v>
      </c>
      <c r="AV97" s="59">
        <f t="shared" ref="AV97:BA97" si="227">AV80+AV90+AV96</f>
        <v>106937.66666666669</v>
      </c>
      <c r="AW97" s="59">
        <f t="shared" si="227"/>
        <v>2182.3200000000002</v>
      </c>
      <c r="AX97" s="59"/>
      <c r="AY97" s="59">
        <f t="shared" si="227"/>
        <v>0</v>
      </c>
      <c r="AZ97" s="59">
        <f t="shared" si="227"/>
        <v>0</v>
      </c>
      <c r="BA97" s="59">
        <f t="shared" si="227"/>
        <v>0</v>
      </c>
      <c r="BB97" s="59">
        <f>BB80+BB90+BB96</f>
        <v>1579678.8755555556</v>
      </c>
      <c r="BD97" s="59">
        <f>BD80+BD90+BD96</f>
        <v>3542539.6691729324</v>
      </c>
      <c r="BE97" s="59">
        <f t="shared" ref="BE97:BJ97" si="228">BE80+BE90+BE96</f>
        <v>108352.63157894737</v>
      </c>
      <c r="BF97" s="59">
        <f t="shared" si="228"/>
        <v>393640.74</v>
      </c>
      <c r="BG97" s="59"/>
      <c r="BH97" s="59">
        <f t="shared" si="228"/>
        <v>0</v>
      </c>
      <c r="BI97" s="59">
        <f t="shared" si="228"/>
        <v>50000</v>
      </c>
      <c r="BJ97" s="59">
        <f t="shared" si="228"/>
        <v>0</v>
      </c>
      <c r="BK97" s="59">
        <f>BK80+BK90+BK96</f>
        <v>4094533.0407518796</v>
      </c>
      <c r="BM97" s="59">
        <f>BM80+BM90+BM96</f>
        <v>0</v>
      </c>
      <c r="BN97" s="59">
        <f t="shared" ref="BN97:BS97" si="229">BN80+BN90+BN96</f>
        <v>0</v>
      </c>
      <c r="BO97" s="59">
        <f t="shared" si="229"/>
        <v>0</v>
      </c>
      <c r="BP97" s="59"/>
      <c r="BQ97" s="59">
        <f t="shared" si="229"/>
        <v>0</v>
      </c>
      <c r="BR97" s="59">
        <f t="shared" si="229"/>
        <v>0</v>
      </c>
      <c r="BS97" s="59">
        <f t="shared" si="229"/>
        <v>0</v>
      </c>
      <c r="BT97" s="59">
        <f>BT80+BT90+BT96</f>
        <v>0</v>
      </c>
      <c r="BV97" s="59">
        <f>BV80+BV90+BV96</f>
        <v>83345846.428469762</v>
      </c>
      <c r="BW97" s="59">
        <f t="shared" ref="BW97:BX97" si="230">BW80+BW90+BW96</f>
        <v>5440118.0847421857</v>
      </c>
      <c r="BX97" s="59">
        <f t="shared" si="230"/>
        <v>2617292.3220000002</v>
      </c>
      <c r="BY97" s="59"/>
      <c r="BZ97" s="59">
        <f t="shared" ref="BZ97:CB97" si="231">BZ80+BZ90+BZ96</f>
        <v>0</v>
      </c>
      <c r="CA97" s="59">
        <f t="shared" si="231"/>
        <v>5175000</v>
      </c>
      <c r="CB97" s="59">
        <f t="shared" si="231"/>
        <v>0</v>
      </c>
      <c r="CC97" s="59">
        <f>CC80+CC90+CC96</f>
        <v>96578256.835211948</v>
      </c>
    </row>
    <row r="98" spans="1:81" ht="15">
      <c r="A98" s="56" t="s">
        <v>94</v>
      </c>
      <c r="B98" s="49"/>
      <c r="C98" s="49"/>
      <c r="D98" s="49"/>
      <c r="E98" s="49"/>
      <c r="F98" s="49"/>
      <c r="G98" s="49"/>
      <c r="H98" s="49"/>
      <c r="I98" s="50"/>
      <c r="J98" s="7"/>
      <c r="K98" s="49"/>
      <c r="L98" s="49"/>
      <c r="M98" s="49"/>
      <c r="N98" s="49"/>
      <c r="O98" s="49"/>
      <c r="P98" s="49"/>
      <c r="Q98" s="49"/>
      <c r="R98" s="50"/>
      <c r="T98" s="49"/>
      <c r="U98" s="49"/>
      <c r="V98" s="49"/>
      <c r="W98" s="49"/>
      <c r="X98" s="49"/>
      <c r="Y98" s="49"/>
      <c r="Z98" s="49"/>
      <c r="AA98" s="50"/>
      <c r="AC98" s="49"/>
      <c r="AD98" s="49"/>
      <c r="AE98" s="49"/>
      <c r="AF98" s="49"/>
      <c r="AG98" s="49"/>
      <c r="AH98" s="49"/>
      <c r="AI98" s="49"/>
      <c r="AJ98" s="50"/>
      <c r="AL98" s="49"/>
      <c r="AM98" s="49"/>
      <c r="AN98" s="49"/>
      <c r="AO98" s="49"/>
      <c r="AP98" s="49"/>
      <c r="AQ98" s="49"/>
      <c r="AR98" s="49"/>
      <c r="AS98" s="50"/>
      <c r="AU98" s="49"/>
      <c r="AV98" s="49"/>
      <c r="AW98" s="49"/>
      <c r="AX98" s="49"/>
      <c r="AY98" s="49"/>
      <c r="AZ98" s="49"/>
      <c r="BA98" s="49"/>
      <c r="BB98" s="50"/>
      <c r="BD98" s="49"/>
      <c r="BE98" s="49"/>
      <c r="BF98" s="49"/>
      <c r="BG98" s="49"/>
      <c r="BH98" s="49"/>
      <c r="BI98" s="49"/>
      <c r="BJ98" s="49"/>
      <c r="BK98" s="50"/>
      <c r="BM98" s="49"/>
      <c r="BN98" s="49"/>
      <c r="BO98" s="49"/>
      <c r="BP98" s="49"/>
      <c r="BQ98" s="49"/>
      <c r="BR98" s="49"/>
      <c r="BS98" s="49"/>
      <c r="BT98" s="50"/>
      <c r="BV98" s="49"/>
      <c r="BW98" s="49"/>
      <c r="BX98" s="49"/>
      <c r="BY98" s="49"/>
      <c r="BZ98" s="49"/>
      <c r="CA98" s="49"/>
      <c r="CB98" s="49"/>
      <c r="CC98" s="50"/>
    </row>
    <row r="99" spans="1:81">
      <c r="A99" s="29" t="s">
        <v>95</v>
      </c>
      <c r="B99" s="5">
        <v>0</v>
      </c>
      <c r="C99" s="5"/>
      <c r="D99" s="5"/>
      <c r="E99" s="5"/>
      <c r="F99" s="5"/>
      <c r="G99" s="5"/>
      <c r="H99" s="5"/>
      <c r="I99" s="5">
        <f>SUM(B99:H99)</f>
        <v>0</v>
      </c>
      <c r="J99" s="7"/>
      <c r="K99" s="5">
        <v>0</v>
      </c>
      <c r="L99" s="5"/>
      <c r="M99" s="5"/>
      <c r="N99" s="5"/>
      <c r="O99" s="5"/>
      <c r="P99" s="5"/>
      <c r="Q99" s="5"/>
      <c r="R99" s="5">
        <f>SUM(K99:Q99)</f>
        <v>0</v>
      </c>
      <c r="T99" s="5">
        <v>0</v>
      </c>
      <c r="U99" s="5"/>
      <c r="V99" s="5"/>
      <c r="W99" s="5"/>
      <c r="X99" s="5"/>
      <c r="Y99" s="5"/>
      <c r="Z99" s="5"/>
      <c r="AA99" s="5">
        <f>SUM(T99:Z99)</f>
        <v>0</v>
      </c>
      <c r="AC99" s="5">
        <v>0</v>
      </c>
      <c r="AD99" s="5"/>
      <c r="AE99" s="5"/>
      <c r="AF99" s="5"/>
      <c r="AG99" s="5"/>
      <c r="AH99" s="5"/>
      <c r="AI99" s="5"/>
      <c r="AJ99" s="5">
        <f>SUM(AC99:AI99)</f>
        <v>0</v>
      </c>
      <c r="AL99" s="5">
        <v>0</v>
      </c>
      <c r="AM99" s="5"/>
      <c r="AN99" s="5"/>
      <c r="AO99" s="5"/>
      <c r="AP99" s="5"/>
      <c r="AQ99" s="5"/>
      <c r="AR99" s="5"/>
      <c r="AS99" s="5">
        <f>SUM(AL99:AR99)</f>
        <v>0</v>
      </c>
      <c r="AU99" s="5">
        <v>0</v>
      </c>
      <c r="AV99" s="5"/>
      <c r="AW99" s="5"/>
      <c r="AX99" s="5"/>
      <c r="AY99" s="5"/>
      <c r="AZ99" s="5"/>
      <c r="BA99" s="5"/>
      <c r="BB99" s="5">
        <f>SUM(AU99:BA99)</f>
        <v>0</v>
      </c>
      <c r="BD99" s="5">
        <v>0</v>
      </c>
      <c r="BE99" s="5"/>
      <c r="BF99" s="5"/>
      <c r="BG99" s="5"/>
      <c r="BH99" s="5"/>
      <c r="BI99" s="5"/>
      <c r="BJ99" s="5"/>
      <c r="BK99" s="5">
        <f>SUM(BD99:BJ99)</f>
        <v>0</v>
      </c>
      <c r="BM99" s="5">
        <v>0</v>
      </c>
      <c r="BN99" s="5"/>
      <c r="BO99" s="5"/>
      <c r="BP99" s="5"/>
      <c r="BQ99" s="5"/>
      <c r="BR99" s="5"/>
      <c r="BS99" s="5"/>
      <c r="BT99" s="5">
        <f>SUM(BM99:BS99)</f>
        <v>0</v>
      </c>
      <c r="BV99" s="5">
        <f t="shared" ref="BV99:CA102" si="232">B99+K99+T99+AC99+AL99+AU99+BD99+BM99</f>
        <v>0</v>
      </c>
      <c r="BW99" s="5">
        <f t="shared" si="232"/>
        <v>0</v>
      </c>
      <c r="BX99" s="5">
        <f t="shared" si="232"/>
        <v>0</v>
      </c>
      <c r="BY99" s="5">
        <f t="shared" si="232"/>
        <v>0</v>
      </c>
      <c r="BZ99" s="5">
        <f t="shared" si="232"/>
        <v>0</v>
      </c>
      <c r="CA99" s="5">
        <f t="shared" si="232"/>
        <v>0</v>
      </c>
      <c r="CB99" s="5"/>
      <c r="CC99" s="5">
        <f>SUM(BV99:CB99)</f>
        <v>0</v>
      </c>
    </row>
    <row r="100" spans="1:81">
      <c r="A100" s="29" t="s">
        <v>96</v>
      </c>
      <c r="B100" s="11">
        <v>0</v>
      </c>
      <c r="C100" s="11">
        <v>0</v>
      </c>
      <c r="D100" s="11">
        <v>0</v>
      </c>
      <c r="E100" s="11"/>
      <c r="F100" s="11">
        <f t="shared" ref="F100:H100" si="233">F168</f>
        <v>0</v>
      </c>
      <c r="G100" s="11">
        <f t="shared" si="233"/>
        <v>0</v>
      </c>
      <c r="H100" s="11">
        <f t="shared" si="233"/>
        <v>0</v>
      </c>
      <c r="I100" s="5">
        <f t="shared" ref="I100:I102" si="234">SUM(B100:H100)</f>
        <v>0</v>
      </c>
      <c r="J100" s="7"/>
      <c r="K100" s="11">
        <v>0</v>
      </c>
      <c r="L100" s="11">
        <v>0</v>
      </c>
      <c r="M100" s="11">
        <v>0</v>
      </c>
      <c r="N100" s="11"/>
      <c r="O100" s="11">
        <f t="shared" ref="O100:Q100" si="235">O168</f>
        <v>0</v>
      </c>
      <c r="P100" s="11">
        <f t="shared" si="235"/>
        <v>0</v>
      </c>
      <c r="Q100" s="11">
        <f t="shared" si="235"/>
        <v>0</v>
      </c>
      <c r="R100" s="5">
        <f t="shared" ref="R100:R102" si="236">SUM(K100:Q100)</f>
        <v>0</v>
      </c>
      <c r="T100" s="11">
        <v>0</v>
      </c>
      <c r="U100" s="11">
        <v>0</v>
      </c>
      <c r="V100" s="11">
        <v>0</v>
      </c>
      <c r="W100" s="11"/>
      <c r="X100" s="11">
        <f t="shared" ref="X100:Z100" si="237">X168</f>
        <v>0</v>
      </c>
      <c r="Y100" s="11">
        <f t="shared" si="237"/>
        <v>0</v>
      </c>
      <c r="Z100" s="11">
        <f t="shared" si="237"/>
        <v>0</v>
      </c>
      <c r="AA100" s="5">
        <f t="shared" ref="AA100:AA102" si="238">SUM(T100:Z100)</f>
        <v>0</v>
      </c>
      <c r="AC100" s="11">
        <v>0</v>
      </c>
      <c r="AD100" s="11">
        <v>0</v>
      </c>
      <c r="AE100" s="11">
        <v>0</v>
      </c>
      <c r="AF100" s="11"/>
      <c r="AG100" s="11">
        <f t="shared" ref="AG100:AI100" si="239">AG168</f>
        <v>0</v>
      </c>
      <c r="AH100" s="11">
        <f t="shared" si="239"/>
        <v>0</v>
      </c>
      <c r="AI100" s="11">
        <f t="shared" si="239"/>
        <v>0</v>
      </c>
      <c r="AJ100" s="5">
        <f t="shared" ref="AJ100:AJ102" si="240">SUM(AC100:AI100)</f>
        <v>0</v>
      </c>
      <c r="AL100" s="11">
        <v>0</v>
      </c>
      <c r="AM100" s="11">
        <v>0</v>
      </c>
      <c r="AN100" s="11">
        <v>0</v>
      </c>
      <c r="AO100" s="11"/>
      <c r="AP100" s="11">
        <f t="shared" ref="AP100:AR100" si="241">AP168</f>
        <v>0</v>
      </c>
      <c r="AQ100" s="11">
        <f t="shared" si="241"/>
        <v>0</v>
      </c>
      <c r="AR100" s="11">
        <f t="shared" si="241"/>
        <v>0</v>
      </c>
      <c r="AS100" s="5">
        <f t="shared" ref="AS100:AS102" si="242">SUM(AL100:AR100)</f>
        <v>0</v>
      </c>
      <c r="AU100" s="11">
        <v>0</v>
      </c>
      <c r="AV100" s="11">
        <v>0</v>
      </c>
      <c r="AW100" s="11">
        <v>0</v>
      </c>
      <c r="AX100" s="11"/>
      <c r="AY100" s="11">
        <f t="shared" ref="AY100:BA100" si="243">AY168</f>
        <v>0</v>
      </c>
      <c r="AZ100" s="11">
        <f t="shared" si="243"/>
        <v>0</v>
      </c>
      <c r="BA100" s="11">
        <f t="shared" si="243"/>
        <v>0</v>
      </c>
      <c r="BB100" s="5">
        <f t="shared" ref="BB100:BB102" si="244">SUM(AU100:BA100)</f>
        <v>0</v>
      </c>
      <c r="BD100" s="11">
        <v>0</v>
      </c>
      <c r="BE100" s="11">
        <v>0</v>
      </c>
      <c r="BF100" s="11">
        <v>0</v>
      </c>
      <c r="BG100" s="11"/>
      <c r="BH100" s="11">
        <f t="shared" ref="BH100:BJ100" si="245">BH168</f>
        <v>0</v>
      </c>
      <c r="BI100" s="11">
        <f t="shared" si="245"/>
        <v>0</v>
      </c>
      <c r="BJ100" s="11">
        <f t="shared" si="245"/>
        <v>0</v>
      </c>
      <c r="BK100" s="5">
        <f t="shared" ref="BK100:BK102" si="246">SUM(BD100:BJ100)</f>
        <v>0</v>
      </c>
      <c r="BM100" s="11">
        <v>0</v>
      </c>
      <c r="BN100" s="11">
        <v>0</v>
      </c>
      <c r="BO100" s="11">
        <v>0</v>
      </c>
      <c r="BP100" s="11"/>
      <c r="BQ100" s="11">
        <f t="shared" ref="BQ100:BS100" si="247">BQ168</f>
        <v>0</v>
      </c>
      <c r="BR100" s="11">
        <f t="shared" si="247"/>
        <v>0</v>
      </c>
      <c r="BS100" s="11">
        <f t="shared" si="247"/>
        <v>0</v>
      </c>
      <c r="BT100" s="5">
        <f t="shared" ref="BT100:BT102" si="248">SUM(BM100:BS100)</f>
        <v>0</v>
      </c>
      <c r="BV100" s="5">
        <f t="shared" si="232"/>
        <v>0</v>
      </c>
      <c r="BW100" s="5">
        <f t="shared" si="232"/>
        <v>0</v>
      </c>
      <c r="BX100" s="5">
        <f t="shared" si="232"/>
        <v>0</v>
      </c>
      <c r="BY100" s="5">
        <f t="shared" si="232"/>
        <v>0</v>
      </c>
      <c r="BZ100" s="5">
        <f t="shared" si="232"/>
        <v>0</v>
      </c>
      <c r="CA100" s="5">
        <f t="shared" si="232"/>
        <v>0</v>
      </c>
      <c r="CB100" s="11">
        <f t="shared" ref="CB100" si="249">CB168</f>
        <v>0</v>
      </c>
      <c r="CC100" s="5">
        <f t="shared" ref="CC100:CC102" si="250">SUM(BV100:CB100)</f>
        <v>0</v>
      </c>
    </row>
    <row r="101" spans="1:81">
      <c r="A101" s="29" t="s">
        <v>264</v>
      </c>
      <c r="B101" s="35"/>
      <c r="C101" s="35"/>
      <c r="D101" s="35"/>
      <c r="E101" s="35"/>
      <c r="F101" s="35"/>
      <c r="G101" s="35"/>
      <c r="H101" s="35"/>
      <c r="I101" s="5">
        <f t="shared" si="234"/>
        <v>0</v>
      </c>
      <c r="J101" s="7"/>
      <c r="K101" s="35"/>
      <c r="L101" s="35"/>
      <c r="M101" s="35"/>
      <c r="N101" s="35"/>
      <c r="O101" s="35"/>
      <c r="P101" s="35"/>
      <c r="Q101" s="35"/>
      <c r="R101" s="5">
        <f t="shared" si="236"/>
        <v>0</v>
      </c>
      <c r="T101" s="35"/>
      <c r="U101" s="35"/>
      <c r="V101" s="35"/>
      <c r="W101" s="35"/>
      <c r="X101" s="35"/>
      <c r="Y101" s="35"/>
      <c r="Z101" s="35"/>
      <c r="AA101" s="5">
        <f t="shared" si="238"/>
        <v>0</v>
      </c>
      <c r="AC101" s="35"/>
      <c r="AD101" s="35"/>
      <c r="AE101" s="35"/>
      <c r="AF101" s="35">
        <v>0</v>
      </c>
      <c r="AG101" s="35"/>
      <c r="AH101" s="35"/>
      <c r="AI101" s="35"/>
      <c r="AJ101" s="5">
        <f t="shared" si="240"/>
        <v>0</v>
      </c>
      <c r="AL101" s="35"/>
      <c r="AM101" s="35"/>
      <c r="AN101" s="35"/>
      <c r="AO101" s="35">
        <v>0</v>
      </c>
      <c r="AP101" s="35"/>
      <c r="AQ101" s="35"/>
      <c r="AR101" s="35"/>
      <c r="AS101" s="5">
        <f t="shared" si="242"/>
        <v>0</v>
      </c>
      <c r="AU101" s="35"/>
      <c r="AV101" s="35"/>
      <c r="AW101" s="35"/>
      <c r="AX101" s="35"/>
      <c r="AY101" s="35"/>
      <c r="AZ101" s="35"/>
      <c r="BA101" s="35"/>
      <c r="BB101" s="5">
        <f t="shared" si="244"/>
        <v>0</v>
      </c>
      <c r="BD101" s="35"/>
      <c r="BE101" s="35"/>
      <c r="BF101" s="35"/>
      <c r="BG101" s="35"/>
      <c r="BH101" s="35"/>
      <c r="BI101" s="35"/>
      <c r="BJ101" s="35"/>
      <c r="BK101" s="5">
        <f t="shared" si="246"/>
        <v>0</v>
      </c>
      <c r="BM101" s="35"/>
      <c r="BN101" s="35"/>
      <c r="BO101" s="35"/>
      <c r="BP101" s="35"/>
      <c r="BQ101" s="35"/>
      <c r="BR101" s="35"/>
      <c r="BS101" s="35"/>
      <c r="BT101" s="5">
        <f t="shared" si="248"/>
        <v>0</v>
      </c>
      <c r="BV101" s="5">
        <f t="shared" si="232"/>
        <v>0</v>
      </c>
      <c r="BW101" s="5">
        <f t="shared" si="232"/>
        <v>0</v>
      </c>
      <c r="BX101" s="5">
        <f t="shared" si="232"/>
        <v>0</v>
      </c>
      <c r="BY101" s="5">
        <f t="shared" si="232"/>
        <v>0</v>
      </c>
      <c r="BZ101" s="5">
        <f t="shared" si="232"/>
        <v>0</v>
      </c>
      <c r="CA101" s="5">
        <f t="shared" si="232"/>
        <v>0</v>
      </c>
      <c r="CB101" s="35"/>
      <c r="CC101" s="5">
        <f t="shared" si="250"/>
        <v>0</v>
      </c>
    </row>
    <row r="102" spans="1:81">
      <c r="A102" s="29"/>
      <c r="B102" s="35"/>
      <c r="C102" s="35"/>
      <c r="D102" s="35"/>
      <c r="E102" s="35"/>
      <c r="F102" s="35"/>
      <c r="G102" s="35"/>
      <c r="H102" s="35"/>
      <c r="I102" s="5">
        <f t="shared" si="234"/>
        <v>0</v>
      </c>
      <c r="J102" s="7"/>
      <c r="K102" s="35"/>
      <c r="L102" s="35"/>
      <c r="M102" s="35"/>
      <c r="N102" s="35"/>
      <c r="O102" s="35"/>
      <c r="P102" s="35"/>
      <c r="Q102" s="35"/>
      <c r="R102" s="5">
        <f t="shared" si="236"/>
        <v>0</v>
      </c>
      <c r="T102" s="35"/>
      <c r="U102" s="35"/>
      <c r="V102" s="35"/>
      <c r="W102" s="35"/>
      <c r="X102" s="35"/>
      <c r="Y102" s="35"/>
      <c r="Z102" s="35"/>
      <c r="AA102" s="5">
        <f t="shared" si="238"/>
        <v>0</v>
      </c>
      <c r="AC102" s="35"/>
      <c r="AD102" s="35"/>
      <c r="AE102" s="35"/>
      <c r="AF102" s="35"/>
      <c r="AG102" s="35"/>
      <c r="AH102" s="35"/>
      <c r="AI102" s="35"/>
      <c r="AJ102" s="5">
        <f t="shared" si="240"/>
        <v>0</v>
      </c>
      <c r="AL102" s="35"/>
      <c r="AM102" s="35"/>
      <c r="AN102" s="35"/>
      <c r="AO102" s="35"/>
      <c r="AP102" s="35"/>
      <c r="AQ102" s="35"/>
      <c r="AR102" s="35"/>
      <c r="AS102" s="5">
        <f t="shared" si="242"/>
        <v>0</v>
      </c>
      <c r="AU102" s="35"/>
      <c r="AV102" s="35"/>
      <c r="AW102" s="35"/>
      <c r="AX102" s="35"/>
      <c r="AY102" s="35"/>
      <c r="AZ102" s="35"/>
      <c r="BA102" s="35"/>
      <c r="BB102" s="5">
        <f t="shared" si="244"/>
        <v>0</v>
      </c>
      <c r="BD102" s="35"/>
      <c r="BE102" s="35"/>
      <c r="BF102" s="35"/>
      <c r="BG102" s="35"/>
      <c r="BH102" s="35"/>
      <c r="BI102" s="35"/>
      <c r="BJ102" s="35"/>
      <c r="BK102" s="5">
        <f t="shared" si="246"/>
        <v>0</v>
      </c>
      <c r="BM102" s="35"/>
      <c r="BN102" s="35"/>
      <c r="BO102" s="35"/>
      <c r="BP102" s="35"/>
      <c r="BQ102" s="35"/>
      <c r="BR102" s="35"/>
      <c r="BS102" s="35"/>
      <c r="BT102" s="5">
        <f t="shared" si="248"/>
        <v>0</v>
      </c>
      <c r="BV102" s="5">
        <f t="shared" si="232"/>
        <v>0</v>
      </c>
      <c r="BW102" s="5">
        <f t="shared" si="232"/>
        <v>0</v>
      </c>
      <c r="BX102" s="5">
        <f t="shared" si="232"/>
        <v>0</v>
      </c>
      <c r="BY102" s="5">
        <f t="shared" si="232"/>
        <v>0</v>
      </c>
      <c r="BZ102" s="5">
        <f t="shared" si="232"/>
        <v>0</v>
      </c>
      <c r="CA102" s="5">
        <f t="shared" si="232"/>
        <v>0</v>
      </c>
      <c r="CB102" s="35"/>
      <c r="CC102" s="5">
        <f t="shared" si="250"/>
        <v>0</v>
      </c>
    </row>
    <row r="103" spans="1:81" ht="15">
      <c r="A103" s="54" t="s">
        <v>97</v>
      </c>
      <c r="B103" s="55">
        <f>SUM(B99:B102)</f>
        <v>0</v>
      </c>
      <c r="C103" s="55">
        <f t="shared" ref="C103:I103" si="251">SUM(C99:C102)</f>
        <v>0</v>
      </c>
      <c r="D103" s="55">
        <f t="shared" si="251"/>
        <v>0</v>
      </c>
      <c r="E103" s="55">
        <f t="shared" si="251"/>
        <v>0</v>
      </c>
      <c r="F103" s="55">
        <f t="shared" si="251"/>
        <v>0</v>
      </c>
      <c r="G103" s="55">
        <f t="shared" si="251"/>
        <v>0</v>
      </c>
      <c r="H103" s="55">
        <f t="shared" si="251"/>
        <v>0</v>
      </c>
      <c r="I103" s="55">
        <f t="shared" si="251"/>
        <v>0</v>
      </c>
      <c r="J103" s="7"/>
      <c r="K103" s="55">
        <f>SUM(K99:K102)</f>
        <v>0</v>
      </c>
      <c r="L103" s="55">
        <f t="shared" ref="L103:R103" si="252">SUM(L99:L102)</f>
        <v>0</v>
      </c>
      <c r="M103" s="55">
        <f t="shared" si="252"/>
        <v>0</v>
      </c>
      <c r="N103" s="55">
        <f t="shared" si="252"/>
        <v>0</v>
      </c>
      <c r="O103" s="55">
        <f t="shared" si="252"/>
        <v>0</v>
      </c>
      <c r="P103" s="55">
        <f t="shared" si="252"/>
        <v>0</v>
      </c>
      <c r="Q103" s="55">
        <f t="shared" si="252"/>
        <v>0</v>
      </c>
      <c r="R103" s="55">
        <f t="shared" si="252"/>
        <v>0</v>
      </c>
      <c r="T103" s="55">
        <f>SUM(T99:T102)</f>
        <v>0</v>
      </c>
      <c r="U103" s="55">
        <f t="shared" ref="U103:AA103" si="253">SUM(U99:U102)</f>
        <v>0</v>
      </c>
      <c r="V103" s="55">
        <f t="shared" si="253"/>
        <v>0</v>
      </c>
      <c r="W103" s="55">
        <f t="shared" si="253"/>
        <v>0</v>
      </c>
      <c r="X103" s="55">
        <f t="shared" si="253"/>
        <v>0</v>
      </c>
      <c r="Y103" s="55">
        <f t="shared" si="253"/>
        <v>0</v>
      </c>
      <c r="Z103" s="55">
        <f t="shared" si="253"/>
        <v>0</v>
      </c>
      <c r="AA103" s="55">
        <f t="shared" si="253"/>
        <v>0</v>
      </c>
      <c r="AC103" s="55">
        <f>SUM(AC99:AC102)</f>
        <v>0</v>
      </c>
      <c r="AD103" s="55">
        <f t="shared" ref="AD103:AJ103" si="254">SUM(AD99:AD102)</f>
        <v>0</v>
      </c>
      <c r="AE103" s="55">
        <f t="shared" si="254"/>
        <v>0</v>
      </c>
      <c r="AF103" s="55">
        <f t="shared" si="254"/>
        <v>0</v>
      </c>
      <c r="AG103" s="55">
        <f t="shared" si="254"/>
        <v>0</v>
      </c>
      <c r="AH103" s="55">
        <f t="shared" si="254"/>
        <v>0</v>
      </c>
      <c r="AI103" s="55">
        <f t="shared" si="254"/>
        <v>0</v>
      </c>
      <c r="AJ103" s="55">
        <f t="shared" si="254"/>
        <v>0</v>
      </c>
      <c r="AL103" s="55">
        <f>SUM(AL99:AL102)</f>
        <v>0</v>
      </c>
      <c r="AM103" s="55">
        <f t="shared" ref="AM103:AS103" si="255">SUM(AM99:AM102)</f>
        <v>0</v>
      </c>
      <c r="AN103" s="55">
        <f t="shared" si="255"/>
        <v>0</v>
      </c>
      <c r="AO103" s="55">
        <f t="shared" si="255"/>
        <v>0</v>
      </c>
      <c r="AP103" s="55">
        <f t="shared" si="255"/>
        <v>0</v>
      </c>
      <c r="AQ103" s="55">
        <f t="shared" si="255"/>
        <v>0</v>
      </c>
      <c r="AR103" s="55">
        <f t="shared" si="255"/>
        <v>0</v>
      </c>
      <c r="AS103" s="55">
        <f t="shared" si="255"/>
        <v>0</v>
      </c>
      <c r="AU103" s="55">
        <f>SUM(AU99:AU102)</f>
        <v>0</v>
      </c>
      <c r="AV103" s="55">
        <f t="shared" ref="AV103:BB103" si="256">SUM(AV99:AV102)</f>
        <v>0</v>
      </c>
      <c r="AW103" s="55">
        <f t="shared" si="256"/>
        <v>0</v>
      </c>
      <c r="AX103" s="55">
        <f t="shared" si="256"/>
        <v>0</v>
      </c>
      <c r="AY103" s="55">
        <f t="shared" si="256"/>
        <v>0</v>
      </c>
      <c r="AZ103" s="55">
        <f t="shared" si="256"/>
        <v>0</v>
      </c>
      <c r="BA103" s="55">
        <f t="shared" si="256"/>
        <v>0</v>
      </c>
      <c r="BB103" s="55">
        <f t="shared" si="256"/>
        <v>0</v>
      </c>
      <c r="BD103" s="55">
        <f>SUM(BD99:BD102)</f>
        <v>0</v>
      </c>
      <c r="BE103" s="55">
        <f t="shared" ref="BE103:BK103" si="257">SUM(BE99:BE102)</f>
        <v>0</v>
      </c>
      <c r="BF103" s="55">
        <f t="shared" si="257"/>
        <v>0</v>
      </c>
      <c r="BG103" s="55">
        <f t="shared" si="257"/>
        <v>0</v>
      </c>
      <c r="BH103" s="55">
        <f t="shared" si="257"/>
        <v>0</v>
      </c>
      <c r="BI103" s="55">
        <f t="shared" si="257"/>
        <v>0</v>
      </c>
      <c r="BJ103" s="55">
        <f t="shared" si="257"/>
        <v>0</v>
      </c>
      <c r="BK103" s="55">
        <f t="shared" si="257"/>
        <v>0</v>
      </c>
      <c r="BM103" s="55">
        <f>SUM(BM99:BM102)</f>
        <v>0</v>
      </c>
      <c r="BN103" s="55">
        <f t="shared" ref="BN103:BT103" si="258">SUM(BN99:BN102)</f>
        <v>0</v>
      </c>
      <c r="BO103" s="55">
        <f t="shared" si="258"/>
        <v>0</v>
      </c>
      <c r="BP103" s="55">
        <f t="shared" si="258"/>
        <v>0</v>
      </c>
      <c r="BQ103" s="55">
        <f t="shared" si="258"/>
        <v>0</v>
      </c>
      <c r="BR103" s="55">
        <f t="shared" si="258"/>
        <v>0</v>
      </c>
      <c r="BS103" s="55">
        <f t="shared" si="258"/>
        <v>0</v>
      </c>
      <c r="BT103" s="55">
        <f t="shared" si="258"/>
        <v>0</v>
      </c>
      <c r="BV103" s="55">
        <f>SUM(BV99:BV102)</f>
        <v>0</v>
      </c>
      <c r="BW103" s="55">
        <f t="shared" ref="BW103:CC103" si="259">SUM(BW99:BW102)</f>
        <v>0</v>
      </c>
      <c r="BX103" s="55">
        <f t="shared" si="259"/>
        <v>0</v>
      </c>
      <c r="BY103" s="55">
        <f t="shared" si="259"/>
        <v>0</v>
      </c>
      <c r="BZ103" s="55">
        <f t="shared" si="259"/>
        <v>0</v>
      </c>
      <c r="CA103" s="55">
        <f t="shared" si="259"/>
        <v>0</v>
      </c>
      <c r="CB103" s="55">
        <f t="shared" si="259"/>
        <v>0</v>
      </c>
      <c r="CC103" s="55">
        <f t="shared" si="259"/>
        <v>0</v>
      </c>
    </row>
    <row r="104" spans="1:81" ht="15" thickBot="1">
      <c r="A104" s="29"/>
      <c r="B104" s="42"/>
      <c r="C104" s="42"/>
      <c r="D104" s="42"/>
      <c r="E104" s="42"/>
      <c r="F104" s="42"/>
      <c r="G104" s="42"/>
      <c r="H104" s="42"/>
      <c r="I104" s="42"/>
      <c r="J104" s="7"/>
      <c r="K104" s="42"/>
      <c r="L104" s="42"/>
      <c r="M104" s="42"/>
      <c r="N104" s="42"/>
      <c r="O104" s="42"/>
      <c r="P104" s="42"/>
      <c r="Q104" s="42"/>
      <c r="R104" s="42"/>
      <c r="T104" s="42"/>
      <c r="U104" s="42"/>
      <c r="V104" s="42"/>
      <c r="W104" s="42"/>
      <c r="X104" s="42"/>
      <c r="Y104" s="42"/>
      <c r="Z104" s="42"/>
      <c r="AA104" s="42"/>
      <c r="AC104" s="42"/>
      <c r="AD104" s="42"/>
      <c r="AE104" s="42"/>
      <c r="AF104" s="42"/>
      <c r="AG104" s="42"/>
      <c r="AH104" s="42"/>
      <c r="AI104" s="42"/>
      <c r="AJ104" s="42"/>
      <c r="AL104" s="42"/>
      <c r="AM104" s="42"/>
      <c r="AN104" s="42"/>
      <c r="AO104" s="42"/>
      <c r="AP104" s="42"/>
      <c r="AQ104" s="42"/>
      <c r="AR104" s="42"/>
      <c r="AS104" s="42"/>
      <c r="AU104" s="42"/>
      <c r="AV104" s="42"/>
      <c r="AW104" s="42"/>
      <c r="AX104" s="42"/>
      <c r="AY104" s="42"/>
      <c r="AZ104" s="42"/>
      <c r="BA104" s="42"/>
      <c r="BB104" s="42"/>
      <c r="BD104" s="42"/>
      <c r="BE104" s="42"/>
      <c r="BF104" s="42"/>
      <c r="BG104" s="42"/>
      <c r="BH104" s="42"/>
      <c r="BI104" s="42"/>
      <c r="BJ104" s="42"/>
      <c r="BK104" s="42"/>
      <c r="BM104" s="42"/>
      <c r="BN104" s="42"/>
      <c r="BO104" s="42"/>
      <c r="BP104" s="42"/>
      <c r="BQ104" s="42"/>
      <c r="BR104" s="42"/>
      <c r="BS104" s="42"/>
      <c r="BT104" s="42"/>
      <c r="BV104" s="42"/>
      <c r="BW104" s="42"/>
      <c r="BX104" s="42"/>
      <c r="BY104" s="42"/>
      <c r="BZ104" s="42"/>
      <c r="CA104" s="42"/>
      <c r="CB104" s="42"/>
      <c r="CC104" s="42"/>
    </row>
    <row r="105" spans="1:81" ht="15.75" thickBot="1">
      <c r="A105" s="60" t="s">
        <v>98</v>
      </c>
      <c r="B105" s="61" t="str">
        <f t="shared" ref="B105:I105" si="260">B1</f>
        <v>Operating</v>
      </c>
      <c r="C105" s="61" t="str">
        <f t="shared" si="260"/>
        <v>SPED</v>
      </c>
      <c r="D105" s="61" t="str">
        <f t="shared" si="260"/>
        <v>NSLP</v>
      </c>
      <c r="E105" s="61" t="str">
        <f t="shared" si="260"/>
        <v>Other</v>
      </c>
      <c r="F105" s="61" t="str">
        <f t="shared" si="260"/>
        <v>Title I</v>
      </c>
      <c r="G105" s="61" t="str">
        <f t="shared" si="260"/>
        <v>SGF</v>
      </c>
      <c r="H105" s="61" t="str">
        <f t="shared" si="260"/>
        <v>Title III</v>
      </c>
      <c r="I105" s="61" t="str">
        <f t="shared" si="260"/>
        <v>Horizon</v>
      </c>
      <c r="J105" s="7"/>
      <c r="K105" s="61" t="str">
        <f t="shared" ref="K105:R105" si="261">K1</f>
        <v>Operating</v>
      </c>
      <c r="L105" s="61" t="str">
        <f t="shared" si="261"/>
        <v>SPED</v>
      </c>
      <c r="M105" s="61" t="str">
        <f t="shared" si="261"/>
        <v>NSLP</v>
      </c>
      <c r="N105" s="61" t="str">
        <f t="shared" si="261"/>
        <v>Other</v>
      </c>
      <c r="O105" s="61" t="str">
        <f t="shared" si="261"/>
        <v>Title I</v>
      </c>
      <c r="P105" s="61" t="str">
        <f t="shared" si="261"/>
        <v>SGF</v>
      </c>
      <c r="Q105" s="61" t="str">
        <f t="shared" si="261"/>
        <v>Title III</v>
      </c>
      <c r="R105" s="61" t="str">
        <f t="shared" si="261"/>
        <v>St. Rose</v>
      </c>
      <c r="T105" s="61" t="str">
        <f t="shared" ref="T105:AA105" si="262">T1</f>
        <v>Operating</v>
      </c>
      <c r="U105" s="61" t="str">
        <f t="shared" si="262"/>
        <v>SPED</v>
      </c>
      <c r="V105" s="61" t="str">
        <f t="shared" si="262"/>
        <v>NSLP</v>
      </c>
      <c r="W105" s="61" t="str">
        <f t="shared" si="262"/>
        <v>Other</v>
      </c>
      <c r="X105" s="61" t="str">
        <f t="shared" si="262"/>
        <v>Title I</v>
      </c>
      <c r="Y105" s="61" t="str">
        <f t="shared" si="262"/>
        <v>SGF</v>
      </c>
      <c r="Z105" s="61" t="str">
        <f t="shared" si="262"/>
        <v>Title III</v>
      </c>
      <c r="AA105" s="61" t="str">
        <f t="shared" si="262"/>
        <v>Inspirada</v>
      </c>
      <c r="AC105" s="61" t="str">
        <f t="shared" ref="AC105:AJ105" si="263">AC1</f>
        <v>Operating</v>
      </c>
      <c r="AD105" s="61" t="str">
        <f t="shared" si="263"/>
        <v>SPED</v>
      </c>
      <c r="AE105" s="61" t="str">
        <f t="shared" si="263"/>
        <v>NSLP</v>
      </c>
      <c r="AF105" s="61" t="str">
        <f t="shared" si="263"/>
        <v>Other</v>
      </c>
      <c r="AG105" s="61" t="str">
        <f t="shared" si="263"/>
        <v>Title I</v>
      </c>
      <c r="AH105" s="61" t="str">
        <f t="shared" si="263"/>
        <v>SGF</v>
      </c>
      <c r="AI105" s="61" t="str">
        <f t="shared" si="263"/>
        <v>Title III</v>
      </c>
      <c r="AJ105" s="61" t="str">
        <f t="shared" si="263"/>
        <v>Cadence</v>
      </c>
      <c r="AL105" s="61" t="str">
        <f t="shared" ref="AL105:AS105" si="264">AL1</f>
        <v>Operating</v>
      </c>
      <c r="AM105" s="61" t="str">
        <f t="shared" si="264"/>
        <v>SPED</v>
      </c>
      <c r="AN105" s="61" t="str">
        <f t="shared" si="264"/>
        <v>NSLP</v>
      </c>
      <c r="AO105" s="61" t="str">
        <f t="shared" si="264"/>
        <v>Other</v>
      </c>
      <c r="AP105" s="61" t="str">
        <f t="shared" si="264"/>
        <v>Title I</v>
      </c>
      <c r="AQ105" s="61" t="str">
        <f t="shared" si="264"/>
        <v>SGF</v>
      </c>
      <c r="AR105" s="61" t="str">
        <f t="shared" si="264"/>
        <v>Title III</v>
      </c>
      <c r="AS105" s="61" t="str">
        <f t="shared" si="264"/>
        <v>Sloan</v>
      </c>
      <c r="AU105" s="61" t="str">
        <f t="shared" ref="AU105:BB105" si="265">AU1</f>
        <v>Operating</v>
      </c>
      <c r="AV105" s="61" t="str">
        <f t="shared" si="265"/>
        <v>SPED</v>
      </c>
      <c r="AW105" s="61" t="str">
        <f t="shared" si="265"/>
        <v>NSLP</v>
      </c>
      <c r="AX105" s="61" t="str">
        <f t="shared" si="265"/>
        <v>Other</v>
      </c>
      <c r="AY105" s="61" t="str">
        <f t="shared" si="265"/>
        <v>Title I</v>
      </c>
      <c r="AZ105" s="61" t="str">
        <f t="shared" si="265"/>
        <v>SGF</v>
      </c>
      <c r="BA105" s="61" t="str">
        <f t="shared" si="265"/>
        <v>Title III</v>
      </c>
      <c r="BB105" s="61" t="str">
        <f t="shared" si="265"/>
        <v>Virtual</v>
      </c>
      <c r="BD105" s="61" t="str">
        <f t="shared" ref="BD105:BK105" si="266">BD1</f>
        <v>Operating</v>
      </c>
      <c r="BE105" s="61" t="str">
        <f t="shared" si="266"/>
        <v>SPED</v>
      </c>
      <c r="BF105" s="61" t="str">
        <f t="shared" si="266"/>
        <v>NSLP</v>
      </c>
      <c r="BG105" s="61" t="str">
        <f t="shared" si="266"/>
        <v>Other</v>
      </c>
      <c r="BH105" s="61" t="str">
        <f t="shared" si="266"/>
        <v>Title I</v>
      </c>
      <c r="BI105" s="61" t="str">
        <f t="shared" si="266"/>
        <v>SGF</v>
      </c>
      <c r="BJ105" s="61" t="str">
        <f t="shared" si="266"/>
        <v>Title III</v>
      </c>
      <c r="BK105" s="61" t="str">
        <f t="shared" si="266"/>
        <v>Springs</v>
      </c>
      <c r="BM105" s="61" t="str">
        <f t="shared" ref="BM105:BT105" si="267">BM1</f>
        <v>Operating</v>
      </c>
      <c r="BN105" s="61" t="str">
        <f t="shared" si="267"/>
        <v>SPED</v>
      </c>
      <c r="BO105" s="61" t="str">
        <f t="shared" si="267"/>
        <v>NSLP</v>
      </c>
      <c r="BP105" s="61" t="str">
        <f t="shared" si="267"/>
        <v>Other</v>
      </c>
      <c r="BQ105" s="61" t="str">
        <f t="shared" si="267"/>
        <v>Title I</v>
      </c>
      <c r="BR105" s="61" t="str">
        <f t="shared" si="267"/>
        <v>SGF</v>
      </c>
      <c r="BS105" s="61" t="str">
        <f t="shared" si="267"/>
        <v>Title III</v>
      </c>
      <c r="BT105" s="61" t="str">
        <f t="shared" si="267"/>
        <v>Exec. Office</v>
      </c>
      <c r="BV105" s="61" t="str">
        <f t="shared" ref="BV105:CC105" si="268">BV1</f>
        <v>Operating</v>
      </c>
      <c r="BW105" s="61" t="str">
        <f t="shared" si="268"/>
        <v>SPED</v>
      </c>
      <c r="BX105" s="61" t="str">
        <f t="shared" si="268"/>
        <v>NSLP</v>
      </c>
      <c r="BY105" s="61" t="str">
        <f t="shared" si="268"/>
        <v>Other</v>
      </c>
      <c r="BZ105" s="61" t="str">
        <f t="shared" si="268"/>
        <v>Title I</v>
      </c>
      <c r="CA105" s="61" t="str">
        <f t="shared" si="268"/>
        <v>SGF</v>
      </c>
      <c r="CB105" s="61" t="str">
        <f t="shared" si="268"/>
        <v>Title III</v>
      </c>
      <c r="CC105" s="61" t="str">
        <f t="shared" si="268"/>
        <v>Systemwide</v>
      </c>
    </row>
    <row r="106" spans="1:81" ht="15">
      <c r="A106" s="48" t="s">
        <v>99</v>
      </c>
      <c r="B106" s="49"/>
      <c r="C106" s="49"/>
      <c r="D106" s="49"/>
      <c r="E106" s="49"/>
      <c r="F106" s="49"/>
      <c r="G106" s="49"/>
      <c r="H106" s="49"/>
      <c r="I106" s="50"/>
      <c r="J106" s="7"/>
      <c r="K106" s="49"/>
      <c r="L106" s="49"/>
      <c r="M106" s="49"/>
      <c r="N106" s="49"/>
      <c r="O106" s="49"/>
      <c r="P106" s="49"/>
      <c r="Q106" s="49"/>
      <c r="R106" s="50"/>
      <c r="T106" s="49"/>
      <c r="U106" s="49"/>
      <c r="V106" s="49"/>
      <c r="W106" s="49"/>
      <c r="X106" s="49"/>
      <c r="Y106" s="49"/>
      <c r="Z106" s="49"/>
      <c r="AA106" s="50"/>
      <c r="AC106" s="49"/>
      <c r="AD106" s="49"/>
      <c r="AE106" s="49"/>
      <c r="AF106" s="49"/>
      <c r="AG106" s="49"/>
      <c r="AH106" s="49"/>
      <c r="AI106" s="49"/>
      <c r="AJ106" s="50"/>
      <c r="AL106" s="49"/>
      <c r="AM106" s="49"/>
      <c r="AN106" s="49"/>
      <c r="AO106" s="49"/>
      <c r="AP106" s="49"/>
      <c r="AQ106" s="49"/>
      <c r="AR106" s="49"/>
      <c r="AS106" s="50"/>
      <c r="AU106" s="49"/>
      <c r="AV106" s="49"/>
      <c r="AW106" s="49"/>
      <c r="AX106" s="49"/>
      <c r="AY106" s="49"/>
      <c r="AZ106" s="49"/>
      <c r="BA106" s="49"/>
      <c r="BB106" s="50"/>
      <c r="BD106" s="49"/>
      <c r="BE106" s="49"/>
      <c r="BF106" s="49"/>
      <c r="BG106" s="49"/>
      <c r="BH106" s="49"/>
      <c r="BI106" s="49"/>
      <c r="BJ106" s="49"/>
      <c r="BK106" s="50"/>
      <c r="BM106" s="49"/>
      <c r="BN106" s="49"/>
      <c r="BO106" s="49"/>
      <c r="BP106" s="49"/>
      <c r="BQ106" s="49"/>
      <c r="BR106" s="49"/>
      <c r="BS106" s="49"/>
      <c r="BT106" s="50"/>
      <c r="BV106" s="49"/>
      <c r="BW106" s="49"/>
      <c r="BX106" s="49"/>
      <c r="BY106" s="49"/>
      <c r="BZ106" s="49"/>
      <c r="CA106" s="49"/>
      <c r="CB106" s="49"/>
      <c r="CC106" s="50"/>
    </row>
    <row r="107" spans="1:81">
      <c r="A107" s="29" t="s">
        <v>40</v>
      </c>
      <c r="B107" s="62">
        <f>'24-25'!B107*1.015</f>
        <v>158506.9472</v>
      </c>
      <c r="C107" s="11"/>
      <c r="D107" s="5"/>
      <c r="E107" s="5"/>
      <c r="F107" s="5"/>
      <c r="G107" s="5"/>
      <c r="H107" s="5"/>
      <c r="I107" s="5">
        <f t="shared" ref="I107:I120" si="269">SUM(B107:H107)</f>
        <v>158506.9472</v>
      </c>
      <c r="K107" s="62">
        <f>'24-25'!K107*1.015</f>
        <v>154372.19245</v>
      </c>
      <c r="L107" s="11"/>
      <c r="M107" s="5"/>
      <c r="N107" s="5"/>
      <c r="O107" s="5"/>
      <c r="P107" s="5"/>
      <c r="Q107" s="5"/>
      <c r="R107" s="5">
        <f t="shared" ref="R107:R120" si="270">SUM(K107:Q107)</f>
        <v>154372.19245</v>
      </c>
      <c r="T107" s="62">
        <f>'24-25'!T107*1.015</f>
        <v>216303.60499999998</v>
      </c>
      <c r="U107" s="5"/>
      <c r="V107" s="5"/>
      <c r="W107" s="5"/>
      <c r="X107" s="5"/>
      <c r="Y107" s="5"/>
      <c r="Z107" s="5"/>
      <c r="AA107" s="5">
        <f t="shared" ref="AA107:AA120" si="271">SUM(T107:Z107)</f>
        <v>216303.60499999998</v>
      </c>
      <c r="AC107" s="62">
        <f>'24-25'!AC107*1.015</f>
        <v>166226.54999999999</v>
      </c>
      <c r="AD107" s="11"/>
      <c r="AE107" s="5"/>
      <c r="AF107" s="5"/>
      <c r="AG107" s="5"/>
      <c r="AH107" s="5"/>
      <c r="AI107" s="5"/>
      <c r="AJ107" s="5">
        <f t="shared" ref="AJ107:AJ120" si="272">SUM(AC107:AI107)</f>
        <v>166226.54999999999</v>
      </c>
      <c r="AL107" s="62">
        <f>'24-25'!AL107*1.015</f>
        <v>174509.65034999998</v>
      </c>
      <c r="AM107" s="11"/>
      <c r="AN107" s="5"/>
      <c r="AO107" s="5"/>
      <c r="AP107" s="5"/>
      <c r="AQ107" s="5"/>
      <c r="AR107" s="5"/>
      <c r="AS107" s="5">
        <f t="shared" ref="AS107:AS120" si="273">SUM(AL107:AR107)</f>
        <v>174509.65034999998</v>
      </c>
      <c r="AU107" s="62">
        <f>'24-25'!AU107*1.015</f>
        <v>0</v>
      </c>
      <c r="AV107" s="11"/>
      <c r="AW107" s="5"/>
      <c r="AX107" s="5"/>
      <c r="AY107" s="5"/>
      <c r="AZ107" s="5"/>
      <c r="BA107" s="5"/>
      <c r="BB107" s="5">
        <f t="shared" ref="BB107:BB120" si="274">SUM(AU107:BA107)</f>
        <v>0</v>
      </c>
      <c r="BD107" s="62">
        <f>'24-25'!BD107*1.015</f>
        <v>0</v>
      </c>
      <c r="BE107" s="11"/>
      <c r="BF107" s="5"/>
      <c r="BG107" s="5"/>
      <c r="BH107" s="5"/>
      <c r="BI107" s="5"/>
      <c r="BJ107" s="5"/>
      <c r="BK107" s="5">
        <f t="shared" ref="BK107:BK120" si="275">SUM(BD107:BJ107)</f>
        <v>0</v>
      </c>
      <c r="BM107" s="62">
        <f>'24-25'!BM107*1.015</f>
        <v>0</v>
      </c>
      <c r="BN107" s="11"/>
      <c r="BO107" s="5"/>
      <c r="BP107" s="5"/>
      <c r="BQ107" s="5"/>
      <c r="BR107" s="5"/>
      <c r="BS107" s="5"/>
      <c r="BT107" s="5">
        <f t="shared" ref="BT107:BT120" si="276">SUM(BM107:BS107)</f>
        <v>0</v>
      </c>
      <c r="BV107" s="5">
        <f t="shared" ref="BV107:CA120" si="277">B107+K107+T107+AC107+AL107+AU107+BD107+BM107</f>
        <v>869918.94500000007</v>
      </c>
      <c r="BW107" s="5">
        <f t="shared" si="277"/>
        <v>0</v>
      </c>
      <c r="BX107" s="5">
        <f t="shared" si="277"/>
        <v>0</v>
      </c>
      <c r="BY107" s="5">
        <f t="shared" si="277"/>
        <v>0</v>
      </c>
      <c r="BZ107" s="5">
        <f t="shared" si="277"/>
        <v>0</v>
      </c>
      <c r="CA107" s="5">
        <f t="shared" si="277"/>
        <v>0</v>
      </c>
      <c r="CB107" s="5"/>
      <c r="CC107" s="5">
        <f t="shared" ref="CC107:CC120" si="278">SUM(BV107:CB107)</f>
        <v>869918.94500000007</v>
      </c>
    </row>
    <row r="108" spans="1:81">
      <c r="A108" s="29" t="s">
        <v>100</v>
      </c>
      <c r="B108" s="62">
        <f>'24-25'!B108*1.015</f>
        <v>326807.67</v>
      </c>
      <c r="C108" s="11"/>
      <c r="D108" s="5"/>
      <c r="E108" s="5"/>
      <c r="F108" s="5"/>
      <c r="G108" s="5"/>
      <c r="H108" s="5"/>
      <c r="I108" s="5">
        <f t="shared" si="269"/>
        <v>326807.67</v>
      </c>
      <c r="K108" s="62">
        <f>'24-25'!K108*1.015</f>
        <v>338725.8</v>
      </c>
      <c r="L108" s="11"/>
      <c r="M108" s="5"/>
      <c r="N108" s="5"/>
      <c r="O108" s="5"/>
      <c r="P108" s="5"/>
      <c r="Q108" s="5"/>
      <c r="R108" s="5">
        <f t="shared" si="270"/>
        <v>338725.8</v>
      </c>
      <c r="T108" s="62">
        <f>'24-25'!T108*1.015</f>
        <v>357543.89999999997</v>
      </c>
      <c r="U108" s="5"/>
      <c r="V108" s="5"/>
      <c r="W108" s="5"/>
      <c r="X108" s="5"/>
      <c r="Y108" s="5"/>
      <c r="Z108" s="5"/>
      <c r="AA108" s="5">
        <f t="shared" si="271"/>
        <v>357543.89999999997</v>
      </c>
      <c r="AC108" s="62">
        <f>'24-25'!AC108*1.015</f>
        <v>582106.55999999994</v>
      </c>
      <c r="AD108" s="11"/>
      <c r="AE108" s="5"/>
      <c r="AF108" s="5"/>
      <c r="AG108" s="5"/>
      <c r="AH108" s="5"/>
      <c r="AI108" s="5"/>
      <c r="AJ108" s="5">
        <f t="shared" si="272"/>
        <v>582106.55999999994</v>
      </c>
      <c r="AL108" s="62">
        <f>'24-25'!AL108*1.015</f>
        <v>483625.16999999993</v>
      </c>
      <c r="AM108" s="11"/>
      <c r="AN108" s="5"/>
      <c r="AO108" s="5"/>
      <c r="AP108" s="5"/>
      <c r="AQ108" s="5"/>
      <c r="AR108" s="5"/>
      <c r="AS108" s="5">
        <f t="shared" si="273"/>
        <v>483625.16999999993</v>
      </c>
      <c r="AU108" s="62">
        <f>'24-25'!AU108*1.015</f>
        <v>0</v>
      </c>
      <c r="AV108" s="11"/>
      <c r="AW108" s="5"/>
      <c r="AX108" s="5"/>
      <c r="AY108" s="5"/>
      <c r="AZ108" s="5"/>
      <c r="BA108" s="5"/>
      <c r="BB108" s="5">
        <f t="shared" si="274"/>
        <v>0</v>
      </c>
      <c r="BD108" s="62">
        <f>'24-25'!BD108*1.015</f>
        <v>120226.74999999999</v>
      </c>
      <c r="BE108" s="11"/>
      <c r="BF108" s="5"/>
      <c r="BG108" s="5"/>
      <c r="BH108" s="5"/>
      <c r="BI108" s="5"/>
      <c r="BJ108" s="5"/>
      <c r="BK108" s="5">
        <f t="shared" si="275"/>
        <v>120226.74999999999</v>
      </c>
      <c r="BM108" s="62">
        <f>'24-25'!BM108*1.015</f>
        <v>0</v>
      </c>
      <c r="BN108" s="11"/>
      <c r="BO108" s="5"/>
      <c r="BP108" s="5"/>
      <c r="BQ108" s="5"/>
      <c r="BR108" s="5"/>
      <c r="BS108" s="5"/>
      <c r="BT108" s="5">
        <f t="shared" si="276"/>
        <v>0</v>
      </c>
      <c r="BV108" s="5">
        <f t="shared" si="277"/>
        <v>2209035.8499999996</v>
      </c>
      <c r="BW108" s="5">
        <f t="shared" si="277"/>
        <v>0</v>
      </c>
      <c r="BX108" s="5">
        <f t="shared" si="277"/>
        <v>0</v>
      </c>
      <c r="BY108" s="5">
        <f t="shared" si="277"/>
        <v>0</v>
      </c>
      <c r="BZ108" s="5">
        <f t="shared" si="277"/>
        <v>0</v>
      </c>
      <c r="CA108" s="5">
        <f t="shared" si="277"/>
        <v>0</v>
      </c>
      <c r="CB108" s="5"/>
      <c r="CC108" s="5">
        <f t="shared" si="278"/>
        <v>2209035.8499999996</v>
      </c>
    </row>
    <row r="109" spans="1:81">
      <c r="A109" s="29" t="s">
        <v>42</v>
      </c>
      <c r="B109" s="62">
        <f>'24-25'!B109*1.015</f>
        <v>0</v>
      </c>
      <c r="C109" s="11"/>
      <c r="D109" s="5"/>
      <c r="E109" s="5"/>
      <c r="F109" s="5"/>
      <c r="G109" s="5"/>
      <c r="H109" s="5"/>
      <c r="I109" s="5">
        <f t="shared" si="269"/>
        <v>0</v>
      </c>
      <c r="K109" s="62">
        <f>'24-25'!K109*1.015</f>
        <v>0</v>
      </c>
      <c r="L109" s="11"/>
      <c r="M109" s="5"/>
      <c r="N109" s="5"/>
      <c r="O109" s="5"/>
      <c r="P109" s="5"/>
      <c r="Q109" s="5"/>
      <c r="R109" s="5">
        <f t="shared" si="270"/>
        <v>0</v>
      </c>
      <c r="T109" s="62">
        <f>'24-25'!T109*1.015</f>
        <v>0</v>
      </c>
      <c r="U109" s="5"/>
      <c r="V109" s="5"/>
      <c r="W109" s="5"/>
      <c r="X109" s="5"/>
      <c r="Y109" s="5"/>
      <c r="Z109" s="5"/>
      <c r="AA109" s="5">
        <f t="shared" si="271"/>
        <v>0</v>
      </c>
      <c r="AC109" s="62">
        <f>'24-25'!AC109*1.015</f>
        <v>0</v>
      </c>
      <c r="AD109" s="11"/>
      <c r="AE109" s="5"/>
      <c r="AF109" s="5"/>
      <c r="AG109" s="5"/>
      <c r="AH109" s="5"/>
      <c r="AI109" s="5"/>
      <c r="AJ109" s="5">
        <f t="shared" si="272"/>
        <v>0</v>
      </c>
      <c r="AL109" s="62">
        <f>'24-25'!AL109*1.015</f>
        <v>0</v>
      </c>
      <c r="AM109" s="11"/>
      <c r="AN109" s="5"/>
      <c r="AO109" s="5"/>
      <c r="AP109" s="5"/>
      <c r="AQ109" s="5"/>
      <c r="AR109" s="5"/>
      <c r="AS109" s="5">
        <f t="shared" si="273"/>
        <v>0</v>
      </c>
      <c r="AU109" s="62">
        <f>'24-25'!AU109*1.015</f>
        <v>0</v>
      </c>
      <c r="AV109" s="11"/>
      <c r="AW109" s="5"/>
      <c r="AX109" s="5"/>
      <c r="AY109" s="5"/>
      <c r="AZ109" s="5"/>
      <c r="BA109" s="5"/>
      <c r="BB109" s="5">
        <f t="shared" si="274"/>
        <v>0</v>
      </c>
      <c r="BD109" s="62">
        <f>'24-25'!BD109*1.015</f>
        <v>73181.5</v>
      </c>
      <c r="BE109" s="11"/>
      <c r="BF109" s="5"/>
      <c r="BG109" s="5">
        <v>0</v>
      </c>
      <c r="BH109" s="5"/>
      <c r="BI109" s="5"/>
      <c r="BJ109" s="5"/>
      <c r="BK109" s="5">
        <f t="shared" si="275"/>
        <v>73181.5</v>
      </c>
      <c r="BM109" s="62">
        <f>'24-25'!BM109*1.015</f>
        <v>0</v>
      </c>
      <c r="BN109" s="11"/>
      <c r="BO109" s="5"/>
      <c r="BP109" s="5"/>
      <c r="BQ109" s="5"/>
      <c r="BR109" s="5"/>
      <c r="BS109" s="5"/>
      <c r="BT109" s="5">
        <f t="shared" si="276"/>
        <v>0</v>
      </c>
      <c r="BV109" s="5">
        <f t="shared" si="277"/>
        <v>73181.5</v>
      </c>
      <c r="BW109" s="5">
        <f t="shared" si="277"/>
        <v>0</v>
      </c>
      <c r="BX109" s="5">
        <f t="shared" si="277"/>
        <v>0</v>
      </c>
      <c r="BY109" s="5">
        <f t="shared" si="277"/>
        <v>0</v>
      </c>
      <c r="BZ109" s="5">
        <f t="shared" si="277"/>
        <v>0</v>
      </c>
      <c r="CA109" s="5">
        <f t="shared" si="277"/>
        <v>0</v>
      </c>
      <c r="CB109" s="5"/>
      <c r="CC109" s="5">
        <f t="shared" si="278"/>
        <v>73181.5</v>
      </c>
    </row>
    <row r="110" spans="1:81">
      <c r="A110" s="32" t="s">
        <v>43</v>
      </c>
      <c r="B110" s="62">
        <f>'24-25'!B110*1.015</f>
        <v>0</v>
      </c>
      <c r="C110" s="11"/>
      <c r="D110" s="5"/>
      <c r="E110" s="5"/>
      <c r="F110" s="11"/>
      <c r="G110" s="5"/>
      <c r="H110" s="5"/>
      <c r="I110" s="5">
        <f t="shared" si="269"/>
        <v>0</v>
      </c>
      <c r="K110" s="62">
        <f>'24-25'!K110*1.015</f>
        <v>0</v>
      </c>
      <c r="L110" s="11"/>
      <c r="M110" s="5"/>
      <c r="N110" s="5"/>
      <c r="O110" s="5"/>
      <c r="P110" s="5"/>
      <c r="Q110" s="5"/>
      <c r="R110" s="5">
        <f t="shared" si="270"/>
        <v>0</v>
      </c>
      <c r="T110" s="62">
        <f>'24-25'!T110*1.015</f>
        <v>0</v>
      </c>
      <c r="U110" s="5"/>
      <c r="V110" s="5"/>
      <c r="W110" s="5"/>
      <c r="X110" s="5"/>
      <c r="Y110" s="5"/>
      <c r="Z110" s="5"/>
      <c r="AA110" s="5">
        <f t="shared" si="271"/>
        <v>0</v>
      </c>
      <c r="AC110" s="62">
        <f>'24-25'!AC110*1.015</f>
        <v>244635.3</v>
      </c>
      <c r="AD110" s="11"/>
      <c r="AE110" s="5"/>
      <c r="AF110" s="5"/>
      <c r="AG110" s="5"/>
      <c r="AH110" s="5"/>
      <c r="AI110" s="5"/>
      <c r="AJ110" s="5">
        <f t="shared" si="272"/>
        <v>244635.3</v>
      </c>
      <c r="AL110" s="62">
        <f>'24-25'!AL110*1.015</f>
        <v>225817.19999999998</v>
      </c>
      <c r="AM110" s="11"/>
      <c r="AN110" s="5"/>
      <c r="AO110" s="5"/>
      <c r="AP110" s="5"/>
      <c r="AQ110" s="5"/>
      <c r="AR110" s="5"/>
      <c r="AS110" s="5">
        <f t="shared" si="273"/>
        <v>225817.19999999998</v>
      </c>
      <c r="AU110" s="62">
        <f>'24-25'!AU110*1.015</f>
        <v>0</v>
      </c>
      <c r="AV110" s="11"/>
      <c r="AW110" s="5"/>
      <c r="AX110" s="5"/>
      <c r="AY110" s="5"/>
      <c r="AZ110" s="5"/>
      <c r="BA110" s="5"/>
      <c r="BB110" s="5">
        <f t="shared" si="274"/>
        <v>0</v>
      </c>
      <c r="BD110" s="62">
        <f>'24-25'!BD110*1.015</f>
        <v>0</v>
      </c>
      <c r="BE110" s="11"/>
      <c r="BF110" s="5"/>
      <c r="BG110" s="5"/>
      <c r="BH110" s="5"/>
      <c r="BI110" s="5"/>
      <c r="BJ110" s="5"/>
      <c r="BK110" s="5">
        <f t="shared" si="275"/>
        <v>0</v>
      </c>
      <c r="BM110" s="62">
        <f>'24-25'!BM110*1.015</f>
        <v>0</v>
      </c>
      <c r="BN110" s="11"/>
      <c r="BO110" s="5"/>
      <c r="BP110" s="5"/>
      <c r="BQ110" s="5"/>
      <c r="BR110" s="5"/>
      <c r="BS110" s="5"/>
      <c r="BT110" s="5">
        <f t="shared" si="276"/>
        <v>0</v>
      </c>
      <c r="BV110" s="5">
        <f t="shared" si="277"/>
        <v>470452.5</v>
      </c>
      <c r="BW110" s="5">
        <f t="shared" si="277"/>
        <v>0</v>
      </c>
      <c r="BX110" s="5">
        <f t="shared" si="277"/>
        <v>0</v>
      </c>
      <c r="BY110" s="5">
        <f t="shared" si="277"/>
        <v>0</v>
      </c>
      <c r="BZ110" s="5">
        <f t="shared" si="277"/>
        <v>0</v>
      </c>
      <c r="CA110" s="5">
        <f t="shared" si="277"/>
        <v>0</v>
      </c>
      <c r="CB110" s="5"/>
      <c r="CC110" s="5">
        <f t="shared" si="278"/>
        <v>470452.5</v>
      </c>
    </row>
    <row r="111" spans="1:81">
      <c r="A111" s="32" t="s">
        <v>44</v>
      </c>
      <c r="B111" s="62">
        <f>'24-25'!B111*1.015</f>
        <v>84158.724999999991</v>
      </c>
      <c r="C111" s="11"/>
      <c r="D111" s="5"/>
      <c r="E111" s="5"/>
      <c r="F111" s="11"/>
      <c r="G111" s="5"/>
      <c r="H111" s="5"/>
      <c r="I111" s="5">
        <f t="shared" si="269"/>
        <v>84158.724999999991</v>
      </c>
      <c r="K111" s="62">
        <f>'24-25'!K111*1.015</f>
        <v>83635.999999999985</v>
      </c>
      <c r="L111" s="11"/>
      <c r="M111" s="5"/>
      <c r="N111" s="5"/>
      <c r="O111" s="5"/>
      <c r="P111" s="5"/>
      <c r="Q111" s="5"/>
      <c r="R111" s="5">
        <f t="shared" si="270"/>
        <v>83635.999999999985</v>
      </c>
      <c r="T111" s="62">
        <f>'24-25'!T111*1.015</f>
        <v>83635.999999999985</v>
      </c>
      <c r="U111" s="5"/>
      <c r="V111" s="5"/>
      <c r="W111" s="5"/>
      <c r="X111" s="5"/>
      <c r="Y111" s="5"/>
      <c r="Z111" s="5"/>
      <c r="AA111" s="5">
        <f t="shared" si="271"/>
        <v>83635.999999999985</v>
      </c>
      <c r="AC111" s="62">
        <f>'24-25'!AC111*1.015</f>
        <v>163090.19999999998</v>
      </c>
      <c r="AD111" s="11"/>
      <c r="AE111" s="5"/>
      <c r="AF111" s="5"/>
      <c r="AG111" s="5"/>
      <c r="AH111" s="5"/>
      <c r="AI111" s="5"/>
      <c r="AJ111" s="5">
        <f t="shared" si="272"/>
        <v>163090.19999999998</v>
      </c>
      <c r="AL111" s="62">
        <f>'24-25'!AL111*1.015</f>
        <v>170617.43999999997</v>
      </c>
      <c r="AM111" s="11"/>
      <c r="AN111" s="5"/>
      <c r="AO111" s="5"/>
      <c r="AP111" s="5"/>
      <c r="AQ111" s="5"/>
      <c r="AR111" s="5"/>
      <c r="AS111" s="5">
        <f t="shared" si="273"/>
        <v>170617.43999999997</v>
      </c>
      <c r="AU111" s="62">
        <f>'24-25'!AU111*1.015</f>
        <v>88863.249999999985</v>
      </c>
      <c r="AV111" s="11"/>
      <c r="AW111" s="5"/>
      <c r="AX111" s="5"/>
      <c r="AY111" s="5"/>
      <c r="AZ111" s="5"/>
      <c r="BA111" s="5"/>
      <c r="BB111" s="5">
        <f t="shared" si="274"/>
        <v>88863.249999999985</v>
      </c>
      <c r="BD111" s="62">
        <f>'24-25'!BD111*1.015</f>
        <v>0</v>
      </c>
      <c r="BE111" s="11"/>
      <c r="BF111" s="5"/>
      <c r="BG111" s="5"/>
      <c r="BH111" s="5"/>
      <c r="BI111" s="5"/>
      <c r="BJ111" s="5"/>
      <c r="BK111" s="5">
        <f t="shared" si="275"/>
        <v>0</v>
      </c>
      <c r="BM111" s="62">
        <f>'24-25'!BM111*1.015</f>
        <v>94090.499999999985</v>
      </c>
      <c r="BN111" s="11"/>
      <c r="BO111" s="5"/>
      <c r="BP111" s="5"/>
      <c r="BQ111" s="5"/>
      <c r="BR111" s="5"/>
      <c r="BS111" s="5"/>
      <c r="BT111" s="5">
        <f t="shared" si="276"/>
        <v>94090.499999999985</v>
      </c>
      <c r="BV111" s="5">
        <f t="shared" si="277"/>
        <v>768092.11499999987</v>
      </c>
      <c r="BW111" s="5">
        <f t="shared" si="277"/>
        <v>0</v>
      </c>
      <c r="BX111" s="5">
        <f t="shared" si="277"/>
        <v>0</v>
      </c>
      <c r="BY111" s="5">
        <f t="shared" si="277"/>
        <v>0</v>
      </c>
      <c r="BZ111" s="5">
        <f t="shared" si="277"/>
        <v>0</v>
      </c>
      <c r="CA111" s="5">
        <f t="shared" si="277"/>
        <v>0</v>
      </c>
      <c r="CB111" s="5"/>
      <c r="CC111" s="5">
        <f t="shared" si="278"/>
        <v>768092.11499999987</v>
      </c>
    </row>
    <row r="112" spans="1:81">
      <c r="A112" s="29" t="s">
        <v>101</v>
      </c>
      <c r="B112" s="62">
        <f>'24-25'!B112*1.015</f>
        <v>0</v>
      </c>
      <c r="C112" s="11"/>
      <c r="D112" s="5"/>
      <c r="E112" s="5"/>
      <c r="F112" s="11"/>
      <c r="G112" s="5"/>
      <c r="H112" s="5"/>
      <c r="I112" s="5">
        <f t="shared" si="269"/>
        <v>0</v>
      </c>
      <c r="K112" s="62">
        <f>'24-25'!K112*1.015</f>
        <v>83635.999999999985</v>
      </c>
      <c r="L112" s="11"/>
      <c r="M112" s="5"/>
      <c r="N112" s="5"/>
      <c r="O112" s="5"/>
      <c r="P112" s="5"/>
      <c r="Q112" s="5"/>
      <c r="R112" s="5">
        <f t="shared" si="270"/>
        <v>83635.999999999985</v>
      </c>
      <c r="T112" s="62">
        <f>'24-25'!T112*1.015</f>
        <v>83635.999999999985</v>
      </c>
      <c r="U112" s="5"/>
      <c r="V112" s="5"/>
      <c r="W112" s="5"/>
      <c r="X112" s="5"/>
      <c r="Y112" s="5"/>
      <c r="Z112" s="5"/>
      <c r="AA112" s="5">
        <f t="shared" si="271"/>
        <v>83635.999999999985</v>
      </c>
      <c r="AC112" s="62">
        <f>'24-25'!AC112*1.015</f>
        <v>326180.39999999997</v>
      </c>
      <c r="AD112" s="11"/>
      <c r="AE112" s="5"/>
      <c r="AF112" s="5"/>
      <c r="AG112" s="5"/>
      <c r="AH112" s="5"/>
      <c r="AI112" s="5"/>
      <c r="AJ112" s="5">
        <f t="shared" si="272"/>
        <v>326180.39999999997</v>
      </c>
      <c r="AL112" s="62">
        <f>'24-25'!AL112*1.015</f>
        <v>240871.67999999996</v>
      </c>
      <c r="AM112" s="11"/>
      <c r="AN112" s="5"/>
      <c r="AO112" s="5"/>
      <c r="AP112" s="5"/>
      <c r="AQ112" s="5"/>
      <c r="AR112" s="5"/>
      <c r="AS112" s="5">
        <f t="shared" si="273"/>
        <v>240871.67999999996</v>
      </c>
      <c r="AU112" s="62">
        <f>'24-25'!AU112*1.015</f>
        <v>0</v>
      </c>
      <c r="AV112" s="11"/>
      <c r="AW112" s="5"/>
      <c r="AX112" s="5"/>
      <c r="AY112" s="5"/>
      <c r="AZ112" s="5"/>
      <c r="BA112" s="5"/>
      <c r="BB112" s="5">
        <f t="shared" si="274"/>
        <v>0</v>
      </c>
      <c r="BD112" s="62">
        <f>'24-25'!BD112*1.015</f>
        <v>0</v>
      </c>
      <c r="BE112" s="11"/>
      <c r="BF112" s="5"/>
      <c r="BG112" s="5"/>
      <c r="BH112" s="5"/>
      <c r="BI112" s="5"/>
      <c r="BJ112" s="5"/>
      <c r="BK112" s="5">
        <f t="shared" si="275"/>
        <v>0</v>
      </c>
      <c r="BM112" s="62">
        <f>'24-25'!BM112*1.015</f>
        <v>0</v>
      </c>
      <c r="BN112" s="11"/>
      <c r="BO112" s="5"/>
      <c r="BP112" s="5"/>
      <c r="BQ112" s="5"/>
      <c r="BR112" s="5"/>
      <c r="BS112" s="5"/>
      <c r="BT112" s="5">
        <f t="shared" si="276"/>
        <v>0</v>
      </c>
      <c r="BV112" s="5">
        <f t="shared" si="277"/>
        <v>734324.07999999984</v>
      </c>
      <c r="BW112" s="5">
        <f t="shared" si="277"/>
        <v>0</v>
      </c>
      <c r="BX112" s="5">
        <f t="shared" si="277"/>
        <v>0</v>
      </c>
      <c r="BY112" s="5">
        <f t="shared" si="277"/>
        <v>0</v>
      </c>
      <c r="BZ112" s="5">
        <f t="shared" si="277"/>
        <v>0</v>
      </c>
      <c r="CA112" s="5">
        <f t="shared" si="277"/>
        <v>0</v>
      </c>
      <c r="CB112" s="5"/>
      <c r="CC112" s="5">
        <f t="shared" si="278"/>
        <v>734324.07999999984</v>
      </c>
    </row>
    <row r="113" spans="1:81">
      <c r="A113" s="29" t="s">
        <v>102</v>
      </c>
      <c r="B113" s="62">
        <f>'24-25'!B113*1.015</f>
        <v>0</v>
      </c>
      <c r="C113" s="11"/>
      <c r="D113" s="5"/>
      <c r="E113" s="5"/>
      <c r="F113" s="5"/>
      <c r="G113" s="5"/>
      <c r="H113" s="5"/>
      <c r="I113" s="5">
        <f t="shared" si="269"/>
        <v>0</v>
      </c>
      <c r="K113" s="62">
        <f>'24-25'!K113*1.015</f>
        <v>0</v>
      </c>
      <c r="L113" s="11"/>
      <c r="M113" s="5"/>
      <c r="N113" s="5"/>
      <c r="O113" s="5"/>
      <c r="P113" s="5"/>
      <c r="Q113" s="5"/>
      <c r="R113" s="5">
        <f t="shared" si="270"/>
        <v>0</v>
      </c>
      <c r="T113" s="62">
        <f>'24-25'!T113*1.015</f>
        <v>0</v>
      </c>
      <c r="U113" s="5"/>
      <c r="V113" s="5"/>
      <c r="W113" s="5"/>
      <c r="X113" s="5"/>
      <c r="Y113" s="5"/>
      <c r="Z113" s="5"/>
      <c r="AA113" s="5">
        <f t="shared" si="271"/>
        <v>0</v>
      </c>
      <c r="AC113" s="62">
        <f>'24-25'!AC113*1.015</f>
        <v>68999.7</v>
      </c>
      <c r="AD113" s="11"/>
      <c r="AE113" s="5"/>
      <c r="AF113" s="5"/>
      <c r="AG113" s="5"/>
      <c r="AH113" s="5"/>
      <c r="AI113" s="5"/>
      <c r="AJ113" s="5">
        <f t="shared" si="272"/>
        <v>68999.7</v>
      </c>
      <c r="AL113" s="62">
        <f>'24-25'!AL113*1.015</f>
        <v>0</v>
      </c>
      <c r="AM113" s="11"/>
      <c r="AN113" s="5"/>
      <c r="AO113" s="5"/>
      <c r="AP113" s="5"/>
      <c r="AQ113" s="5"/>
      <c r="AR113" s="5"/>
      <c r="AS113" s="5">
        <f t="shared" si="273"/>
        <v>0</v>
      </c>
      <c r="AU113" s="62">
        <f>'24-25'!AU113*1.015</f>
        <v>0</v>
      </c>
      <c r="AV113" s="11"/>
      <c r="AW113" s="5"/>
      <c r="AX113" s="5"/>
      <c r="AY113" s="5"/>
      <c r="AZ113" s="5"/>
      <c r="BA113" s="5"/>
      <c r="BB113" s="5">
        <f t="shared" si="274"/>
        <v>0</v>
      </c>
      <c r="BD113" s="62">
        <f>'24-25'!BD113*1.015</f>
        <v>0</v>
      </c>
      <c r="BE113" s="11"/>
      <c r="BF113" s="5"/>
      <c r="BG113" s="5"/>
      <c r="BH113" s="5"/>
      <c r="BI113" s="5"/>
      <c r="BJ113" s="5"/>
      <c r="BK113" s="5">
        <f t="shared" si="275"/>
        <v>0</v>
      </c>
      <c r="BM113" s="62">
        <f>'24-25'!BM113*1.015</f>
        <v>0</v>
      </c>
      <c r="BN113" s="11"/>
      <c r="BO113" s="5"/>
      <c r="BP113" s="5"/>
      <c r="BQ113" s="5"/>
      <c r="BR113" s="5"/>
      <c r="BS113" s="5"/>
      <c r="BT113" s="5">
        <f t="shared" si="276"/>
        <v>0</v>
      </c>
      <c r="BV113" s="5">
        <f t="shared" si="277"/>
        <v>68999.7</v>
      </c>
      <c r="BW113" s="5">
        <f t="shared" si="277"/>
        <v>0</v>
      </c>
      <c r="BX113" s="5">
        <f t="shared" si="277"/>
        <v>0</v>
      </c>
      <c r="BY113" s="5">
        <f t="shared" si="277"/>
        <v>0</v>
      </c>
      <c r="BZ113" s="5">
        <f t="shared" si="277"/>
        <v>0</v>
      </c>
      <c r="CA113" s="5">
        <f t="shared" si="277"/>
        <v>0</v>
      </c>
      <c r="CB113" s="5"/>
      <c r="CC113" s="5">
        <f t="shared" si="278"/>
        <v>68999.7</v>
      </c>
    </row>
    <row r="114" spans="1:81">
      <c r="A114" s="29" t="s">
        <v>103</v>
      </c>
      <c r="B114" s="11">
        <f>61000*(B36-B35)</f>
        <v>2501000</v>
      </c>
      <c r="C114" s="11"/>
      <c r="D114" s="5"/>
      <c r="E114" s="5"/>
      <c r="F114" s="5"/>
      <c r="G114" s="5"/>
      <c r="H114" s="5"/>
      <c r="I114" s="5">
        <f t="shared" si="269"/>
        <v>2501000</v>
      </c>
      <c r="J114" s="14">
        <f>60050*1.015</f>
        <v>60950.749999999993</v>
      </c>
      <c r="K114" s="11">
        <f>61000*(K36-K35)</f>
        <v>2623000</v>
      </c>
      <c r="L114" s="11"/>
      <c r="M114" s="5"/>
      <c r="N114" s="5"/>
      <c r="O114" s="5"/>
      <c r="P114" s="5"/>
      <c r="Q114" s="5"/>
      <c r="R114" s="5">
        <f t="shared" si="270"/>
        <v>2623000</v>
      </c>
      <c r="T114" s="5">
        <f>61000*(T36-T35)</f>
        <v>3294000</v>
      </c>
      <c r="U114" s="5"/>
      <c r="V114" s="5"/>
      <c r="W114" s="5"/>
      <c r="X114" s="5"/>
      <c r="Y114" s="5"/>
      <c r="Z114" s="5"/>
      <c r="AA114" s="5">
        <f t="shared" si="271"/>
        <v>3294000</v>
      </c>
      <c r="AC114" s="11">
        <f>64500*(AC36-AC35)</f>
        <v>6256500</v>
      </c>
      <c r="AD114" s="11"/>
      <c r="AE114" s="5"/>
      <c r="AF114" s="5"/>
      <c r="AG114" s="5"/>
      <c r="AH114" s="5"/>
      <c r="AI114" s="5"/>
      <c r="AJ114" s="5">
        <f t="shared" si="272"/>
        <v>6256500</v>
      </c>
      <c r="AK114" s="7">
        <f>63500*1.015</f>
        <v>64452.499999999993</v>
      </c>
      <c r="AL114" s="11">
        <f>63000*(AL36-AL35)</f>
        <v>5922000</v>
      </c>
      <c r="AM114" s="11"/>
      <c r="AN114" s="5"/>
      <c r="AO114" s="5"/>
      <c r="AP114" s="5"/>
      <c r="AQ114" s="5"/>
      <c r="AR114" s="5"/>
      <c r="AS114" s="5">
        <f t="shared" si="273"/>
        <v>5922000</v>
      </c>
      <c r="AU114" s="11">
        <f>60000*(AU36-AU35)</f>
        <v>0</v>
      </c>
      <c r="AV114" s="11"/>
      <c r="AW114" s="5"/>
      <c r="AX114" s="5"/>
      <c r="AY114" s="5"/>
      <c r="AZ114" s="5"/>
      <c r="BA114" s="5"/>
      <c r="BB114" s="5">
        <f t="shared" si="274"/>
        <v>0</v>
      </c>
      <c r="BD114" s="11">
        <f>63000*(BD36-BD35)</f>
        <v>1008000</v>
      </c>
      <c r="BE114" s="11"/>
      <c r="BF114" s="5"/>
      <c r="BG114" s="5"/>
      <c r="BH114" s="5"/>
      <c r="BI114" s="5"/>
      <c r="BJ114" s="5"/>
      <c r="BK114" s="5">
        <f t="shared" si="275"/>
        <v>1008000</v>
      </c>
      <c r="BM114" s="62">
        <f>'24-25'!BM114*1.015</f>
        <v>81707.499999999985</v>
      </c>
      <c r="BN114" s="11"/>
      <c r="BO114" s="5"/>
      <c r="BP114" s="5"/>
      <c r="BQ114" s="5"/>
      <c r="BR114" s="5"/>
      <c r="BS114" s="5"/>
      <c r="BT114" s="5">
        <f t="shared" si="276"/>
        <v>81707.499999999985</v>
      </c>
      <c r="BV114" s="5">
        <f t="shared" si="277"/>
        <v>21686207.5</v>
      </c>
      <c r="BW114" s="5">
        <f t="shared" si="277"/>
        <v>0</v>
      </c>
      <c r="BX114" s="5">
        <f t="shared" si="277"/>
        <v>0</v>
      </c>
      <c r="BY114" s="5">
        <f t="shared" si="277"/>
        <v>0</v>
      </c>
      <c r="BZ114" s="5">
        <f t="shared" si="277"/>
        <v>0</v>
      </c>
      <c r="CA114" s="5">
        <f t="shared" si="277"/>
        <v>0</v>
      </c>
      <c r="CB114" s="5"/>
      <c r="CC114" s="5">
        <f t="shared" si="278"/>
        <v>21686207.5</v>
      </c>
    </row>
    <row r="115" spans="1:81">
      <c r="A115" s="29" t="s">
        <v>30</v>
      </c>
      <c r="B115" s="11"/>
      <c r="C115" s="11">
        <f>61000*C36</f>
        <v>305000</v>
      </c>
      <c r="D115" s="5"/>
      <c r="E115" s="5"/>
      <c r="F115" s="5"/>
      <c r="G115" s="5"/>
      <c r="H115" s="5"/>
      <c r="I115" s="5">
        <f t="shared" si="269"/>
        <v>305000</v>
      </c>
      <c r="K115" s="11"/>
      <c r="L115" s="11">
        <f>61000*L36</f>
        <v>244000</v>
      </c>
      <c r="M115" s="5"/>
      <c r="N115" s="5"/>
      <c r="O115" s="5"/>
      <c r="P115" s="5"/>
      <c r="Q115" s="5"/>
      <c r="R115" s="5">
        <f t="shared" si="270"/>
        <v>244000</v>
      </c>
      <c r="T115" s="5"/>
      <c r="U115" s="5">
        <f>61000*U36</f>
        <v>305000</v>
      </c>
      <c r="V115" s="5"/>
      <c r="W115" s="5"/>
      <c r="X115" s="5"/>
      <c r="Y115" s="5"/>
      <c r="Z115" s="5"/>
      <c r="AA115" s="5">
        <f t="shared" si="271"/>
        <v>305000</v>
      </c>
      <c r="AC115" s="11"/>
      <c r="AD115" s="11">
        <f>64500*AD36</f>
        <v>838500</v>
      </c>
      <c r="AE115" s="5"/>
      <c r="AF115" s="5"/>
      <c r="AG115" s="5"/>
      <c r="AH115" s="5"/>
      <c r="AI115" s="5"/>
      <c r="AJ115" s="5">
        <f t="shared" si="272"/>
        <v>838500</v>
      </c>
      <c r="AL115" s="11"/>
      <c r="AM115" s="11">
        <f>63000*AM36</f>
        <v>756000</v>
      </c>
      <c r="AN115" s="5"/>
      <c r="AO115" s="5"/>
      <c r="AP115" s="5"/>
      <c r="AQ115" s="5"/>
      <c r="AR115" s="5"/>
      <c r="AS115" s="5">
        <f t="shared" si="273"/>
        <v>756000</v>
      </c>
      <c r="AU115" s="11"/>
      <c r="AV115" s="62">
        <f>'24-25'!AV115*1.015</f>
        <v>81989.416249999995</v>
      </c>
      <c r="AW115" s="5"/>
      <c r="AX115" s="5"/>
      <c r="AY115" s="5"/>
      <c r="AZ115" s="5"/>
      <c r="BA115" s="5"/>
      <c r="BB115" s="5">
        <f t="shared" si="274"/>
        <v>81989.416249999995</v>
      </c>
      <c r="BD115" s="11"/>
      <c r="BE115" s="11">
        <f>63000*BE36</f>
        <v>63000</v>
      </c>
      <c r="BF115" s="5"/>
      <c r="BG115" s="5"/>
      <c r="BH115" s="5"/>
      <c r="BI115" s="5"/>
      <c r="BJ115" s="5"/>
      <c r="BK115" s="5">
        <f t="shared" si="275"/>
        <v>63000</v>
      </c>
      <c r="BM115" s="11"/>
      <c r="BN115" s="11">
        <f>60000*BN36</f>
        <v>0</v>
      </c>
      <c r="BO115" s="5"/>
      <c r="BP115" s="5"/>
      <c r="BQ115" s="5"/>
      <c r="BR115" s="5"/>
      <c r="BS115" s="5"/>
      <c r="BT115" s="5">
        <f t="shared" si="276"/>
        <v>0</v>
      </c>
      <c r="BV115" s="5">
        <f t="shared" si="277"/>
        <v>0</v>
      </c>
      <c r="BW115" s="5">
        <f t="shared" si="277"/>
        <v>2593489.4162499998</v>
      </c>
      <c r="BX115" s="5">
        <f t="shared" si="277"/>
        <v>0</v>
      </c>
      <c r="BY115" s="5">
        <f t="shared" si="277"/>
        <v>0</v>
      </c>
      <c r="BZ115" s="5">
        <f t="shared" si="277"/>
        <v>0</v>
      </c>
      <c r="CA115" s="5">
        <f t="shared" si="277"/>
        <v>0</v>
      </c>
      <c r="CB115" s="5"/>
      <c r="CC115" s="5">
        <f t="shared" si="278"/>
        <v>2593489.4162499998</v>
      </c>
    </row>
    <row r="116" spans="1:81">
      <c r="A116" s="29" t="s">
        <v>104</v>
      </c>
      <c r="B116" s="62">
        <f>'24-25'!B116*1.015</f>
        <v>149071.01999999999</v>
      </c>
      <c r="C116" s="11"/>
      <c r="D116" s="5"/>
      <c r="E116" s="5"/>
      <c r="F116" s="5"/>
      <c r="G116" s="5"/>
      <c r="H116" s="5"/>
      <c r="I116" s="5">
        <f t="shared" si="269"/>
        <v>149071.01999999999</v>
      </c>
      <c r="K116" s="62">
        <f>'24-25'!K116*1.015</f>
        <v>130472.15999999999</v>
      </c>
      <c r="L116" s="11"/>
      <c r="M116" s="5"/>
      <c r="N116" s="5"/>
      <c r="O116" s="5"/>
      <c r="P116" s="5"/>
      <c r="Q116" s="5"/>
      <c r="R116" s="5">
        <f t="shared" si="270"/>
        <v>130472.15999999999</v>
      </c>
      <c r="T116" s="62">
        <f>'24-25'!T116*1.015</f>
        <v>116559.31139999999</v>
      </c>
      <c r="U116" s="5"/>
      <c r="V116" s="5"/>
      <c r="W116" s="5"/>
      <c r="X116" s="5"/>
      <c r="Y116" s="5"/>
      <c r="Z116" s="5"/>
      <c r="AA116" s="5">
        <f t="shared" si="271"/>
        <v>116559.31139999999</v>
      </c>
      <c r="AC116" s="62">
        <f>'24-25'!AC116*1.015</f>
        <v>250907.99999999997</v>
      </c>
      <c r="AD116" s="11"/>
      <c r="AE116" s="5"/>
      <c r="AF116" s="5"/>
      <c r="AG116" s="5"/>
      <c r="AH116" s="5"/>
      <c r="AI116" s="5"/>
      <c r="AJ116" s="5">
        <f t="shared" si="272"/>
        <v>250907.99999999997</v>
      </c>
      <c r="AL116" s="62">
        <f>'24-25'!AL116*1.015</f>
        <v>219426.75999999998</v>
      </c>
      <c r="AM116" s="11"/>
      <c r="AN116" s="5"/>
      <c r="AO116" s="5"/>
      <c r="AP116" s="5"/>
      <c r="AQ116" s="5"/>
      <c r="AR116" s="5"/>
      <c r="AS116" s="5">
        <f t="shared" si="273"/>
        <v>219426.75999999998</v>
      </c>
      <c r="AU116" s="11">
        <v>0</v>
      </c>
      <c r="AV116" s="11"/>
      <c r="AW116" s="5"/>
      <c r="AX116" s="5"/>
      <c r="AY116" s="5"/>
      <c r="AZ116" s="5"/>
      <c r="BA116" s="5"/>
      <c r="BB116" s="5">
        <f t="shared" si="274"/>
        <v>0</v>
      </c>
      <c r="BD116" s="62">
        <f>'24-25'!BD116*1.015</f>
        <v>52272.499999999993</v>
      </c>
      <c r="BE116" s="11"/>
      <c r="BF116" s="5"/>
      <c r="BG116" s="5"/>
      <c r="BH116" s="5"/>
      <c r="BI116" s="5"/>
      <c r="BJ116" s="5"/>
      <c r="BK116" s="5">
        <f t="shared" si="275"/>
        <v>52272.499999999993</v>
      </c>
      <c r="BM116" s="62">
        <f>'24-25'!BM116*1.015</f>
        <v>94090.499999999985</v>
      </c>
      <c r="BN116" s="11"/>
      <c r="BO116" s="5"/>
      <c r="BP116" s="5"/>
      <c r="BQ116" s="5"/>
      <c r="BR116" s="5"/>
      <c r="BS116" s="5"/>
      <c r="BT116" s="5">
        <f t="shared" si="276"/>
        <v>94090.499999999985</v>
      </c>
      <c r="BV116" s="5">
        <f t="shared" si="277"/>
        <v>1012800.2514</v>
      </c>
      <c r="BW116" s="5">
        <f t="shared" si="277"/>
        <v>0</v>
      </c>
      <c r="BX116" s="5">
        <f t="shared" si="277"/>
        <v>0</v>
      </c>
      <c r="BY116" s="5">
        <f t="shared" si="277"/>
        <v>0</v>
      </c>
      <c r="BZ116" s="5">
        <f t="shared" si="277"/>
        <v>0</v>
      </c>
      <c r="CA116" s="5">
        <f t="shared" si="277"/>
        <v>0</v>
      </c>
      <c r="CB116" s="5"/>
      <c r="CC116" s="5">
        <f t="shared" si="278"/>
        <v>1012800.2514</v>
      </c>
    </row>
    <row r="117" spans="1:81">
      <c r="A117" s="29" t="s">
        <v>105</v>
      </c>
      <c r="B117" s="11">
        <f>(20.25*8*190)*(B48+B49)</f>
        <v>92340</v>
      </c>
      <c r="C117" s="11"/>
      <c r="D117" s="5"/>
      <c r="E117" s="5"/>
      <c r="F117" s="5"/>
      <c r="G117" s="5"/>
      <c r="H117" s="5"/>
      <c r="I117" s="5">
        <f t="shared" si="269"/>
        <v>92340</v>
      </c>
      <c r="K117" s="11">
        <f>(20.25*8*190)*(K48+K49)</f>
        <v>92340</v>
      </c>
      <c r="L117" s="11"/>
      <c r="M117" s="5"/>
      <c r="N117" s="5"/>
      <c r="O117" s="5"/>
      <c r="P117" s="5"/>
      <c r="Q117" s="5"/>
      <c r="R117" s="5">
        <f t="shared" si="270"/>
        <v>92340</v>
      </c>
      <c r="T117" s="11">
        <f>(20.25*8*185)*(T48+T49)</f>
        <v>89910</v>
      </c>
      <c r="U117" s="5"/>
      <c r="V117" s="5"/>
      <c r="W117" s="5"/>
      <c r="X117" s="5"/>
      <c r="Y117" s="5"/>
      <c r="Z117" s="5"/>
      <c r="AA117" s="5">
        <f t="shared" si="271"/>
        <v>89910</v>
      </c>
      <c r="AC117" s="11">
        <f>(21.25*8*190)*(AC48+AC49)</f>
        <v>258400</v>
      </c>
      <c r="AD117" s="11"/>
      <c r="AE117" s="5"/>
      <c r="AF117" s="5"/>
      <c r="AG117" s="5"/>
      <c r="AH117" s="5"/>
      <c r="AI117" s="5"/>
      <c r="AJ117" s="5">
        <f t="shared" si="272"/>
        <v>258400</v>
      </c>
      <c r="AL117" s="11">
        <f>(20.25*8*190)*(AL48+AL49)</f>
        <v>184680</v>
      </c>
      <c r="AM117" s="11"/>
      <c r="AN117" s="5"/>
      <c r="AO117" s="5"/>
      <c r="AP117" s="5"/>
      <c r="AQ117" s="5"/>
      <c r="AR117" s="5"/>
      <c r="AS117" s="5">
        <f t="shared" si="273"/>
        <v>184680</v>
      </c>
      <c r="AU117" s="11">
        <f>(23*8*190)*(AU48+AU49)</f>
        <v>0</v>
      </c>
      <c r="AV117" s="11"/>
      <c r="AW117" s="5"/>
      <c r="AX117" s="5"/>
      <c r="AY117" s="5"/>
      <c r="AZ117" s="5"/>
      <c r="BA117" s="5"/>
      <c r="BB117" s="5">
        <f t="shared" si="274"/>
        <v>0</v>
      </c>
      <c r="BD117" s="11">
        <f>(21.25*8*190)*(BD48+BD49)</f>
        <v>32300</v>
      </c>
      <c r="BE117" s="11"/>
      <c r="BF117" s="5"/>
      <c r="BG117" s="5"/>
      <c r="BH117" s="5"/>
      <c r="BI117" s="5"/>
      <c r="BJ117" s="5"/>
      <c r="BK117" s="5">
        <f t="shared" si="275"/>
        <v>32300</v>
      </c>
      <c r="BM117" s="11">
        <f>(23*8*190)*(BM48+BM49)</f>
        <v>0</v>
      </c>
      <c r="BN117" s="11"/>
      <c r="BO117" s="5"/>
      <c r="BP117" s="5"/>
      <c r="BQ117" s="5"/>
      <c r="BR117" s="5"/>
      <c r="BS117" s="5"/>
      <c r="BT117" s="5">
        <f t="shared" si="276"/>
        <v>0</v>
      </c>
      <c r="BV117" s="5">
        <f t="shared" si="277"/>
        <v>749970</v>
      </c>
      <c r="BW117" s="5">
        <f t="shared" si="277"/>
        <v>0</v>
      </c>
      <c r="BX117" s="5">
        <f t="shared" si="277"/>
        <v>0</v>
      </c>
      <c r="BY117" s="5">
        <f t="shared" si="277"/>
        <v>0</v>
      </c>
      <c r="BZ117" s="5">
        <f t="shared" si="277"/>
        <v>0</v>
      </c>
      <c r="CA117" s="5">
        <f t="shared" si="277"/>
        <v>0</v>
      </c>
      <c r="CB117" s="5"/>
      <c r="CC117" s="5">
        <f t="shared" si="278"/>
        <v>749970</v>
      </c>
    </row>
    <row r="118" spans="1:81">
      <c r="A118" s="29" t="s">
        <v>106</v>
      </c>
      <c r="B118" s="11">
        <f>(20.25*7.55*180)*B50</f>
        <v>110078.99999999999</v>
      </c>
      <c r="C118" s="11">
        <f>(20.25*8*180)*C50</f>
        <v>116640</v>
      </c>
      <c r="D118" s="11">
        <f>(20.25*8*180)*D50</f>
        <v>29160</v>
      </c>
      <c r="E118" s="11">
        <f t="shared" ref="E118" si="279">(19*8*180)*E50</f>
        <v>0</v>
      </c>
      <c r="F118" s="5"/>
      <c r="G118" s="5"/>
      <c r="H118" s="5"/>
      <c r="I118" s="5">
        <f t="shared" si="269"/>
        <v>255879</v>
      </c>
      <c r="K118" s="11">
        <f>(20.25*7.5*180)*K50</f>
        <v>191362.5</v>
      </c>
      <c r="L118" s="11">
        <f>(20.25*7.5*180)*L50</f>
        <v>109350</v>
      </c>
      <c r="M118" s="11">
        <f>(20.25*7.5*180)*M50</f>
        <v>27337.5</v>
      </c>
      <c r="N118" s="11">
        <f t="shared" ref="N118" si="280">(19*8*180)*N50</f>
        <v>0</v>
      </c>
      <c r="O118" s="5">
        <f>(14*8*180)*O50</f>
        <v>0</v>
      </c>
      <c r="P118" s="5"/>
      <c r="Q118" s="5"/>
      <c r="R118" s="5">
        <f t="shared" si="270"/>
        <v>328050</v>
      </c>
      <c r="T118" s="5">
        <f>(20.25*8*180)*T50</f>
        <v>145800</v>
      </c>
      <c r="U118" s="5">
        <f>(20.25*8*180)*U50</f>
        <v>145800</v>
      </c>
      <c r="V118" s="5">
        <f>(20.25*8*180)*V50</f>
        <v>29160</v>
      </c>
      <c r="W118" s="5">
        <f t="shared" ref="W118:Z118" si="281">(19*8*180)*W50</f>
        <v>0</v>
      </c>
      <c r="X118" s="5">
        <f t="shared" si="281"/>
        <v>0</v>
      </c>
      <c r="Y118" s="5">
        <f t="shared" si="281"/>
        <v>0</v>
      </c>
      <c r="Z118" s="5">
        <f t="shared" si="281"/>
        <v>0</v>
      </c>
      <c r="AA118" s="5">
        <f t="shared" si="271"/>
        <v>320760</v>
      </c>
      <c r="AC118" s="11">
        <f>(21.25*7.92*180)*AC50</f>
        <v>333234.00000000006</v>
      </c>
      <c r="AD118" s="11">
        <f>(21.25*8*180)*AD50</f>
        <v>397800</v>
      </c>
      <c r="AE118" s="11">
        <f>(21.25*6*180)*AE50</f>
        <v>68850</v>
      </c>
      <c r="AF118" s="11">
        <f t="shared" ref="AF118" si="282">(19*8*180)*AF50</f>
        <v>0</v>
      </c>
      <c r="AG118" s="5">
        <f>(14*8*180)*AG50</f>
        <v>0</v>
      </c>
      <c r="AH118" s="5"/>
      <c r="AI118" s="5"/>
      <c r="AJ118" s="5">
        <f t="shared" si="272"/>
        <v>799884</v>
      </c>
      <c r="AL118" s="11">
        <f>(20.25*8*180)*AL50</f>
        <v>145800</v>
      </c>
      <c r="AM118" s="11">
        <f>(20.25*8*180)*AM50</f>
        <v>349920</v>
      </c>
      <c r="AN118" s="11">
        <f>(20.25*6*180)*AN50</f>
        <v>65610</v>
      </c>
      <c r="AO118" s="11">
        <f t="shared" ref="AO118" si="283">(20*8*180)*AO50</f>
        <v>0</v>
      </c>
      <c r="AP118" s="5">
        <f>(14*8*180)*AP50</f>
        <v>0</v>
      </c>
      <c r="AQ118" s="5"/>
      <c r="AR118" s="5"/>
      <c r="AS118" s="5">
        <f t="shared" si="273"/>
        <v>561330</v>
      </c>
      <c r="AU118" s="11">
        <f>(21.25*7.5*180)*AU50</f>
        <v>57375</v>
      </c>
      <c r="AV118" s="11">
        <f>(21.25*7.5*180)*AV50</f>
        <v>28687.5</v>
      </c>
      <c r="AW118" s="11">
        <f t="shared" ref="AW118:AY118" si="284">(19*8*180)*AW50</f>
        <v>0</v>
      </c>
      <c r="AX118" s="11">
        <f t="shared" si="284"/>
        <v>0</v>
      </c>
      <c r="AY118" s="11">
        <f t="shared" si="284"/>
        <v>0</v>
      </c>
      <c r="AZ118" s="5"/>
      <c r="BA118" s="5"/>
      <c r="BB118" s="5">
        <f t="shared" si="274"/>
        <v>86062.5</v>
      </c>
      <c r="BD118" s="11">
        <f>(21.25*8*180)*BD50</f>
        <v>61200</v>
      </c>
      <c r="BE118" s="11">
        <f t="shared" ref="BE118:BJ118" si="285">(20*8*180)*BE50</f>
        <v>0</v>
      </c>
      <c r="BF118" s="11">
        <f t="shared" si="285"/>
        <v>0</v>
      </c>
      <c r="BG118" s="11">
        <f t="shared" si="285"/>
        <v>0</v>
      </c>
      <c r="BH118" s="11">
        <f>(20*8*180)*BH50</f>
        <v>0</v>
      </c>
      <c r="BI118" s="11">
        <f t="shared" si="285"/>
        <v>0</v>
      </c>
      <c r="BJ118" s="11">
        <f t="shared" si="285"/>
        <v>0</v>
      </c>
      <c r="BK118" s="5">
        <f t="shared" si="275"/>
        <v>61200</v>
      </c>
      <c r="BM118" s="11">
        <f>26.5*3*185</f>
        <v>14707.5</v>
      </c>
      <c r="BN118" s="11">
        <f t="shared" ref="BN118:BO118" si="286">(18*8*180)*BN50</f>
        <v>0</v>
      </c>
      <c r="BO118" s="11">
        <f t="shared" si="286"/>
        <v>0</v>
      </c>
      <c r="BP118" s="5"/>
      <c r="BQ118" s="5">
        <f>(14*8*180)*BQ50</f>
        <v>0</v>
      </c>
      <c r="BR118" s="5"/>
      <c r="BS118" s="5"/>
      <c r="BT118" s="5">
        <f t="shared" si="276"/>
        <v>14707.5</v>
      </c>
      <c r="BV118" s="5">
        <f t="shared" si="277"/>
        <v>1059558</v>
      </c>
      <c r="BW118" s="5">
        <f t="shared" si="277"/>
        <v>1148197.5</v>
      </c>
      <c r="BX118" s="5">
        <f t="shared" si="277"/>
        <v>220117.5</v>
      </c>
      <c r="BY118" s="5">
        <f t="shared" si="277"/>
        <v>0</v>
      </c>
      <c r="BZ118" s="5">
        <f t="shared" si="277"/>
        <v>0</v>
      </c>
      <c r="CA118" s="5">
        <f t="shared" si="277"/>
        <v>0</v>
      </c>
      <c r="CB118" s="5"/>
      <c r="CC118" s="5">
        <f t="shared" si="278"/>
        <v>2427873</v>
      </c>
    </row>
    <row r="119" spans="1:81">
      <c r="A119" s="29" t="s">
        <v>107</v>
      </c>
      <c r="B119" s="11">
        <f>(26.25*8*240)+(22*8*240)</f>
        <v>92640</v>
      </c>
      <c r="C119" s="11"/>
      <c r="D119" s="5"/>
      <c r="E119" s="5"/>
      <c r="F119" s="5"/>
      <c r="G119" s="5"/>
      <c r="H119" s="5"/>
      <c r="I119" s="5">
        <f t="shared" si="269"/>
        <v>92640</v>
      </c>
      <c r="K119" s="11">
        <f>(22.25*8*240)*(K51)</f>
        <v>128160</v>
      </c>
      <c r="L119" s="11"/>
      <c r="M119" s="5"/>
      <c r="N119" s="5"/>
      <c r="O119" s="5"/>
      <c r="P119" s="5"/>
      <c r="Q119" s="5"/>
      <c r="R119" s="5">
        <f t="shared" si="270"/>
        <v>128160</v>
      </c>
      <c r="T119" s="11">
        <f>(23.25*8*240)*T51</f>
        <v>133920</v>
      </c>
      <c r="U119" s="5"/>
      <c r="V119" s="5"/>
      <c r="W119" s="5"/>
      <c r="X119" s="5"/>
      <c r="Y119" s="5"/>
      <c r="Z119" s="5"/>
      <c r="AA119" s="5">
        <f t="shared" si="271"/>
        <v>133920</v>
      </c>
      <c r="AC119" s="11">
        <f>((22.25*8*240)*AC51-1)+(60000*1.03*1.015)</f>
        <v>361766</v>
      </c>
      <c r="AD119" s="11"/>
      <c r="AE119" s="5"/>
      <c r="AF119" s="5"/>
      <c r="AG119" s="5"/>
      <c r="AH119" s="5"/>
      <c r="AI119" s="5"/>
      <c r="AJ119" s="5">
        <f t="shared" si="272"/>
        <v>361766</v>
      </c>
      <c r="AL119" s="11">
        <f>(21.25*8*240)*AL51</f>
        <v>326400</v>
      </c>
      <c r="AM119" s="11"/>
      <c r="AN119" s="5"/>
      <c r="AO119" s="5"/>
      <c r="AP119" s="5"/>
      <c r="AQ119" s="5"/>
      <c r="AR119" s="5"/>
      <c r="AS119" s="5">
        <f t="shared" si="273"/>
        <v>326400</v>
      </c>
      <c r="AU119" s="11">
        <f>(21*8*240)*AU51</f>
        <v>0</v>
      </c>
      <c r="AV119" s="11"/>
      <c r="AW119" s="5"/>
      <c r="AX119" s="5"/>
      <c r="AY119" s="5"/>
      <c r="AZ119" s="5"/>
      <c r="BA119" s="5"/>
      <c r="BB119" s="5">
        <f t="shared" si="274"/>
        <v>0</v>
      </c>
      <c r="BD119" s="62">
        <f>'24-25'!BD119*1.015</f>
        <v>57499.749999999993</v>
      </c>
      <c r="BE119" s="11"/>
      <c r="BF119" s="5"/>
      <c r="BG119" s="5"/>
      <c r="BH119" s="5"/>
      <c r="BI119" s="5"/>
      <c r="BJ119" s="5"/>
      <c r="BK119" s="5">
        <f t="shared" si="275"/>
        <v>57499.749999999993</v>
      </c>
      <c r="BM119" s="11">
        <f>(21*8*240)*BM51</f>
        <v>0</v>
      </c>
      <c r="BN119" s="11"/>
      <c r="BO119" s="5"/>
      <c r="BP119" s="5"/>
      <c r="BQ119" s="5"/>
      <c r="BR119" s="5"/>
      <c r="BS119" s="5"/>
      <c r="BT119" s="5">
        <f t="shared" si="276"/>
        <v>0</v>
      </c>
      <c r="BV119" s="5">
        <f t="shared" si="277"/>
        <v>1100385.75</v>
      </c>
      <c r="BW119" s="5">
        <f t="shared" si="277"/>
        <v>0</v>
      </c>
      <c r="BX119" s="5">
        <f t="shared" si="277"/>
        <v>0</v>
      </c>
      <c r="BY119" s="5">
        <f t="shared" si="277"/>
        <v>0</v>
      </c>
      <c r="BZ119" s="5">
        <f t="shared" si="277"/>
        <v>0</v>
      </c>
      <c r="CA119" s="5">
        <f t="shared" si="277"/>
        <v>0</v>
      </c>
      <c r="CB119" s="5"/>
      <c r="CC119" s="5">
        <f t="shared" si="278"/>
        <v>1100385.75</v>
      </c>
    </row>
    <row r="120" spans="1:81">
      <c r="A120" s="29" t="s">
        <v>53</v>
      </c>
      <c r="B120" s="11"/>
      <c r="C120" s="11"/>
      <c r="D120" s="5">
        <f>23.5*8*180</f>
        <v>33840</v>
      </c>
      <c r="E120" s="5"/>
      <c r="F120" s="5"/>
      <c r="G120" s="5"/>
      <c r="H120" s="5"/>
      <c r="I120" s="5">
        <f t="shared" si="269"/>
        <v>33840</v>
      </c>
      <c r="K120" s="11"/>
      <c r="L120" s="11"/>
      <c r="M120" s="62">
        <f>'24-25'!M120*1.015</f>
        <v>41817.999999999993</v>
      </c>
      <c r="N120" s="5"/>
      <c r="O120" s="5"/>
      <c r="P120" s="5"/>
      <c r="Q120" s="5"/>
      <c r="R120" s="5">
        <f t="shared" si="270"/>
        <v>41817.999999999993</v>
      </c>
      <c r="T120" s="5"/>
      <c r="U120" s="5"/>
      <c r="V120" s="5">
        <f>(23.25*8*180)*V52</f>
        <v>33480</v>
      </c>
      <c r="W120" s="5"/>
      <c r="X120" s="5"/>
      <c r="Y120" s="5"/>
      <c r="Z120" s="5"/>
      <c r="AA120" s="5">
        <f t="shared" si="271"/>
        <v>33480</v>
      </c>
      <c r="AC120" s="11"/>
      <c r="AD120" s="11"/>
      <c r="AE120" s="11">
        <f>(22.25*8*180)*AE52</f>
        <v>96120</v>
      </c>
      <c r="AF120" s="5"/>
      <c r="AG120" s="5"/>
      <c r="AH120" s="5"/>
      <c r="AI120" s="5"/>
      <c r="AJ120" s="5">
        <f t="shared" si="272"/>
        <v>96120</v>
      </c>
      <c r="AL120" s="11"/>
      <c r="AM120" s="11"/>
      <c r="AN120" s="11">
        <f>(21.25*8*180)*AN52</f>
        <v>30600</v>
      </c>
      <c r="AO120" s="5"/>
      <c r="AP120" s="5"/>
      <c r="AQ120" s="5"/>
      <c r="AR120" s="5"/>
      <c r="AS120" s="5">
        <f t="shared" si="273"/>
        <v>30600</v>
      </c>
      <c r="AU120" s="11"/>
      <c r="AV120" s="11"/>
      <c r="AW120" s="5">
        <v>0</v>
      </c>
      <c r="AX120" s="5"/>
      <c r="AY120" s="5"/>
      <c r="AZ120" s="5"/>
      <c r="BA120" s="5"/>
      <c r="BB120" s="5">
        <f t="shared" si="274"/>
        <v>0</v>
      </c>
      <c r="BD120" s="11"/>
      <c r="BE120" s="11"/>
      <c r="BF120" s="5">
        <f>20.25*8*180*BF52</f>
        <v>29160</v>
      </c>
      <c r="BG120" s="5"/>
      <c r="BH120" s="5"/>
      <c r="BI120" s="5"/>
      <c r="BJ120" s="5"/>
      <c r="BK120" s="5">
        <f t="shared" si="275"/>
        <v>29160</v>
      </c>
      <c r="BM120" s="11"/>
      <c r="BN120" s="11"/>
      <c r="BO120" s="5">
        <f>26.5*4*175</f>
        <v>18550</v>
      </c>
      <c r="BP120" s="5"/>
      <c r="BQ120" s="5"/>
      <c r="BR120" s="5"/>
      <c r="BS120" s="5"/>
      <c r="BT120" s="5">
        <f t="shared" si="276"/>
        <v>18550</v>
      </c>
      <c r="BV120" s="5">
        <f t="shared" si="277"/>
        <v>0</v>
      </c>
      <c r="BW120" s="5">
        <f t="shared" si="277"/>
        <v>0</v>
      </c>
      <c r="BX120" s="5">
        <f t="shared" si="277"/>
        <v>283568</v>
      </c>
      <c r="BY120" s="5">
        <f t="shared" si="277"/>
        <v>0</v>
      </c>
      <c r="BZ120" s="5">
        <f t="shared" si="277"/>
        <v>0</v>
      </c>
      <c r="CA120" s="5">
        <f t="shared" si="277"/>
        <v>0</v>
      </c>
      <c r="CB120" s="5"/>
      <c r="CC120" s="5">
        <f t="shared" si="278"/>
        <v>283568</v>
      </c>
    </row>
    <row r="121" spans="1:81" ht="15">
      <c r="A121" s="64" t="s">
        <v>108</v>
      </c>
      <c r="B121" s="65">
        <f>SUM(B107:B120)</f>
        <v>3514603.3621999999</v>
      </c>
      <c r="C121" s="65">
        <f t="shared" ref="C121:I121" si="287">SUM(C107:C120)</f>
        <v>421640</v>
      </c>
      <c r="D121" s="65">
        <f t="shared" si="287"/>
        <v>63000</v>
      </c>
      <c r="E121" s="65">
        <f t="shared" si="287"/>
        <v>0</v>
      </c>
      <c r="F121" s="65">
        <f t="shared" si="287"/>
        <v>0</v>
      </c>
      <c r="G121" s="65">
        <f t="shared" si="287"/>
        <v>0</v>
      </c>
      <c r="H121" s="65">
        <f t="shared" si="287"/>
        <v>0</v>
      </c>
      <c r="I121" s="65">
        <f t="shared" si="287"/>
        <v>3999243.3621999999</v>
      </c>
      <c r="J121" s="7"/>
      <c r="K121" s="65">
        <f>SUM(K107:K120)</f>
        <v>3825704.6524499999</v>
      </c>
      <c r="L121" s="65">
        <f t="shared" ref="L121:R121" si="288">SUM(L107:L120)</f>
        <v>353350</v>
      </c>
      <c r="M121" s="65">
        <f t="shared" si="288"/>
        <v>69155.5</v>
      </c>
      <c r="N121" s="65"/>
      <c r="O121" s="65">
        <f t="shared" si="288"/>
        <v>0</v>
      </c>
      <c r="P121" s="65">
        <f t="shared" si="288"/>
        <v>0</v>
      </c>
      <c r="Q121" s="65">
        <f t="shared" si="288"/>
        <v>0</v>
      </c>
      <c r="R121" s="65">
        <f t="shared" si="288"/>
        <v>4248210.1524499999</v>
      </c>
      <c r="T121" s="65">
        <f>SUM(T107:T120)</f>
        <v>4521308.8163999999</v>
      </c>
      <c r="U121" s="65">
        <f t="shared" ref="U121:AA121" si="289">SUM(U107:U120)</f>
        <v>450800</v>
      </c>
      <c r="V121" s="65">
        <f t="shared" si="289"/>
        <v>62640</v>
      </c>
      <c r="W121" s="65"/>
      <c r="X121" s="65">
        <f t="shared" si="289"/>
        <v>0</v>
      </c>
      <c r="Y121" s="65">
        <f t="shared" si="289"/>
        <v>0</v>
      </c>
      <c r="Z121" s="65">
        <f t="shared" si="289"/>
        <v>0</v>
      </c>
      <c r="AA121" s="65">
        <f t="shared" si="289"/>
        <v>5034748.8163999999</v>
      </c>
      <c r="AC121" s="65">
        <f>SUM(AC107:AC120)</f>
        <v>9012046.7100000009</v>
      </c>
      <c r="AD121" s="65">
        <f t="shared" ref="AD121:AJ121" si="290">SUM(AD107:AD120)</f>
        <v>1236300</v>
      </c>
      <c r="AE121" s="65">
        <f t="shared" si="290"/>
        <v>164970</v>
      </c>
      <c r="AF121" s="65">
        <f t="shared" si="290"/>
        <v>0</v>
      </c>
      <c r="AG121" s="65">
        <f t="shared" si="290"/>
        <v>0</v>
      </c>
      <c r="AH121" s="65">
        <f t="shared" si="290"/>
        <v>0</v>
      </c>
      <c r="AI121" s="65">
        <f t="shared" si="290"/>
        <v>0</v>
      </c>
      <c r="AJ121" s="65">
        <f t="shared" si="290"/>
        <v>10413316.710000001</v>
      </c>
      <c r="AL121" s="65">
        <f>SUM(AL107:AL120)</f>
        <v>8093747.9003499998</v>
      </c>
      <c r="AM121" s="65">
        <f t="shared" ref="AM121:AS121" si="291">SUM(AM107:AM120)</f>
        <v>1105920</v>
      </c>
      <c r="AN121" s="65">
        <f t="shared" si="291"/>
        <v>96210</v>
      </c>
      <c r="AO121" s="65"/>
      <c r="AP121" s="65">
        <f t="shared" si="291"/>
        <v>0</v>
      </c>
      <c r="AQ121" s="65">
        <f t="shared" si="291"/>
        <v>0</v>
      </c>
      <c r="AR121" s="65">
        <f t="shared" si="291"/>
        <v>0</v>
      </c>
      <c r="AS121" s="65">
        <f t="shared" si="291"/>
        <v>9295877.9003500007</v>
      </c>
      <c r="AU121" s="65">
        <f>SUM(AU107:AU120)</f>
        <v>146238.25</v>
      </c>
      <c r="AV121" s="65">
        <f t="shared" ref="AV121:BB121" si="292">SUM(AV107:AV120)</f>
        <v>110676.91624999999</v>
      </c>
      <c r="AW121" s="65">
        <f t="shared" si="292"/>
        <v>0</v>
      </c>
      <c r="AX121" s="65">
        <f t="shared" si="292"/>
        <v>0</v>
      </c>
      <c r="AY121" s="65">
        <f t="shared" si="292"/>
        <v>0</v>
      </c>
      <c r="AZ121" s="65">
        <f t="shared" si="292"/>
        <v>0</v>
      </c>
      <c r="BA121" s="65">
        <f t="shared" si="292"/>
        <v>0</v>
      </c>
      <c r="BB121" s="65">
        <f t="shared" si="292"/>
        <v>256915.16624999998</v>
      </c>
      <c r="BD121" s="65">
        <f>SUM(BD107:BD120)</f>
        <v>1404680.5</v>
      </c>
      <c r="BE121" s="65">
        <f t="shared" ref="BE121:BK121" si="293">SUM(BE107:BE120)</f>
        <v>63000</v>
      </c>
      <c r="BF121" s="65">
        <f t="shared" si="293"/>
        <v>29160</v>
      </c>
      <c r="BG121" s="65">
        <f t="shared" si="293"/>
        <v>0</v>
      </c>
      <c r="BH121" s="65">
        <f t="shared" si="293"/>
        <v>0</v>
      </c>
      <c r="BI121" s="65">
        <f t="shared" si="293"/>
        <v>0</v>
      </c>
      <c r="BJ121" s="65">
        <f t="shared" si="293"/>
        <v>0</v>
      </c>
      <c r="BK121" s="65">
        <f t="shared" si="293"/>
        <v>1496840.5</v>
      </c>
      <c r="BM121" s="65">
        <f>SUM(BM107:BM120)</f>
        <v>284595.99999999994</v>
      </c>
      <c r="BN121" s="65">
        <f t="shared" ref="BN121:BT121" si="294">SUM(BN107:BN120)</f>
        <v>0</v>
      </c>
      <c r="BO121" s="65">
        <f t="shared" si="294"/>
        <v>18550</v>
      </c>
      <c r="BP121" s="65">
        <f t="shared" si="294"/>
        <v>0</v>
      </c>
      <c r="BQ121" s="65">
        <f t="shared" si="294"/>
        <v>0</v>
      </c>
      <c r="BR121" s="65">
        <f t="shared" si="294"/>
        <v>0</v>
      </c>
      <c r="BS121" s="65">
        <f t="shared" si="294"/>
        <v>0</v>
      </c>
      <c r="BT121" s="65">
        <f t="shared" si="294"/>
        <v>303145.99999999994</v>
      </c>
      <c r="BV121" s="65">
        <f>SUM(BV107:BV120)</f>
        <v>30802926.191400003</v>
      </c>
      <c r="BW121" s="65">
        <f t="shared" ref="BW121:CC121" si="295">SUM(BW107:BW120)</f>
        <v>3741686.9162499998</v>
      </c>
      <c r="BX121" s="65">
        <f t="shared" si="295"/>
        <v>503685.5</v>
      </c>
      <c r="BY121" s="65">
        <f t="shared" si="295"/>
        <v>0</v>
      </c>
      <c r="BZ121" s="65">
        <f t="shared" si="295"/>
        <v>0</v>
      </c>
      <c r="CA121" s="65">
        <f t="shared" si="295"/>
        <v>0</v>
      </c>
      <c r="CB121" s="65">
        <f t="shared" si="295"/>
        <v>0</v>
      </c>
      <c r="CC121" s="65">
        <f t="shared" si="295"/>
        <v>35048298.607650004</v>
      </c>
    </row>
    <row r="122" spans="1:81" ht="15">
      <c r="A122" s="66" t="s">
        <v>109</v>
      </c>
      <c r="B122" s="49"/>
      <c r="C122" s="49"/>
      <c r="D122" s="49"/>
      <c r="E122" s="49"/>
      <c r="F122" s="49"/>
      <c r="G122" s="49"/>
      <c r="H122" s="49"/>
      <c r="I122" s="50"/>
      <c r="J122" s="7"/>
      <c r="K122" s="49"/>
      <c r="L122" s="49"/>
      <c r="M122" s="49"/>
      <c r="N122" s="49"/>
      <c r="O122" s="49"/>
      <c r="P122" s="49"/>
      <c r="Q122" s="49"/>
      <c r="R122" s="50"/>
      <c r="T122" s="49"/>
      <c r="U122" s="49"/>
      <c r="V122" s="49"/>
      <c r="W122" s="49"/>
      <c r="X122" s="49"/>
      <c r="Y122" s="49"/>
      <c r="Z122" s="49"/>
      <c r="AA122" s="50"/>
      <c r="AC122" s="49"/>
      <c r="AD122" s="49"/>
      <c r="AE122" s="49"/>
      <c r="AF122" s="49"/>
      <c r="AG122" s="49"/>
      <c r="AH122" s="49"/>
      <c r="AI122" s="49"/>
      <c r="AJ122" s="50"/>
      <c r="AL122" s="49"/>
      <c r="AM122" s="49"/>
      <c r="AN122" s="49"/>
      <c r="AO122" s="49"/>
      <c r="AP122" s="49"/>
      <c r="AQ122" s="49"/>
      <c r="AR122" s="49"/>
      <c r="AS122" s="50"/>
      <c r="AU122" s="49"/>
      <c r="AV122" s="49"/>
      <c r="AW122" s="49"/>
      <c r="AX122" s="49"/>
      <c r="AY122" s="49"/>
      <c r="AZ122" s="49"/>
      <c r="BA122" s="49"/>
      <c r="BB122" s="50"/>
      <c r="BD122" s="49"/>
      <c r="BE122" s="49"/>
      <c r="BF122" s="49"/>
      <c r="BG122" s="49"/>
      <c r="BH122" s="49"/>
      <c r="BI122" s="49"/>
      <c r="BJ122" s="49"/>
      <c r="BK122" s="50"/>
      <c r="BM122" s="49"/>
      <c r="BN122" s="49"/>
      <c r="BO122" s="49"/>
      <c r="BP122" s="49"/>
      <c r="BQ122" s="49"/>
      <c r="BR122" s="49"/>
      <c r="BS122" s="49"/>
      <c r="BT122" s="50"/>
      <c r="BV122" s="49"/>
      <c r="BW122" s="49"/>
      <c r="BX122" s="49"/>
      <c r="BY122" s="49"/>
      <c r="BZ122" s="49"/>
      <c r="CA122" s="49"/>
      <c r="CB122" s="49"/>
      <c r="CC122" s="50"/>
    </row>
    <row r="123" spans="1:81">
      <c r="A123" s="29" t="s">
        <v>55</v>
      </c>
      <c r="B123" s="11">
        <v>0</v>
      </c>
      <c r="C123" s="62">
        <f>'24-25'!C123*1.015</f>
        <v>78408.749999999985</v>
      </c>
      <c r="D123" s="11"/>
      <c r="E123" s="11"/>
      <c r="F123" s="5"/>
      <c r="G123" s="5"/>
      <c r="H123" s="5"/>
      <c r="I123" s="5">
        <f t="shared" ref="I123:I128" si="296">SUM(B123:H123)</f>
        <v>78408.749999999985</v>
      </c>
      <c r="K123" s="11">
        <v>0</v>
      </c>
      <c r="L123" s="62">
        <f>'24-25'!L123*1.015</f>
        <v>83635.999999999985</v>
      </c>
      <c r="M123" s="11"/>
      <c r="N123" s="11"/>
      <c r="O123" s="5"/>
      <c r="P123" s="5"/>
      <c r="Q123" s="5"/>
      <c r="R123" s="5">
        <f t="shared" ref="R123:R128" si="297">SUM(K123:Q123)</f>
        <v>83635.999999999985</v>
      </c>
      <c r="T123" s="11"/>
      <c r="U123" s="62">
        <f>'24-25'!U123*1.015</f>
        <v>60113.374999999993</v>
      </c>
      <c r="V123" s="11"/>
      <c r="W123" s="11"/>
      <c r="X123" s="5"/>
      <c r="Y123" s="5"/>
      <c r="Z123" s="5"/>
      <c r="AA123" s="5">
        <f t="shared" ref="AA123:AA128" si="298">SUM(T123:Z123)</f>
        <v>60113.374999999993</v>
      </c>
      <c r="AC123" s="11">
        <v>0</v>
      </c>
      <c r="AD123" s="62">
        <f>'24-25'!AD123*1.015</f>
        <v>94090.499999999985</v>
      </c>
      <c r="AE123" s="11"/>
      <c r="AF123" s="11"/>
      <c r="AG123" s="5"/>
      <c r="AH123" s="5"/>
      <c r="AI123" s="5"/>
      <c r="AJ123" s="5">
        <f t="shared" ref="AJ123:AJ128" si="299">SUM(AC123:AI123)</f>
        <v>94090.499999999985</v>
      </c>
      <c r="AL123" s="11">
        <v>0</v>
      </c>
      <c r="AM123" s="62"/>
      <c r="AN123" s="11"/>
      <c r="AO123" s="11"/>
      <c r="AP123" s="5"/>
      <c r="AQ123" s="5"/>
      <c r="AR123" s="5"/>
      <c r="AS123" s="5">
        <f t="shared" ref="AS123:AS128" si="300">SUM(AL123:AR123)</f>
        <v>0</v>
      </c>
      <c r="AU123" s="11">
        <v>0</v>
      </c>
      <c r="AV123" s="62">
        <v>0</v>
      </c>
      <c r="AW123" s="11"/>
      <c r="AX123" s="11"/>
      <c r="AY123" s="5"/>
      <c r="AZ123" s="5"/>
      <c r="BA123" s="5"/>
      <c r="BB123" s="5">
        <f t="shared" ref="BB123:BB128" si="301">SUM(AU123:BA123)</f>
        <v>0</v>
      </c>
      <c r="BD123" s="11">
        <v>0</v>
      </c>
      <c r="BE123" s="62">
        <v>0</v>
      </c>
      <c r="BF123" s="11"/>
      <c r="BG123" s="11"/>
      <c r="BH123" s="5"/>
      <c r="BI123" s="5"/>
      <c r="BJ123" s="5"/>
      <c r="BK123" s="5">
        <f t="shared" ref="BK123:BK128" si="302">SUM(BD123:BJ123)</f>
        <v>0</v>
      </c>
      <c r="BM123" s="11">
        <v>0</v>
      </c>
      <c r="BN123" s="62">
        <v>0</v>
      </c>
      <c r="BO123" s="11"/>
      <c r="BP123" s="11"/>
      <c r="BQ123" s="5"/>
      <c r="BR123" s="5"/>
      <c r="BS123" s="5"/>
      <c r="BT123" s="5">
        <f t="shared" ref="BT123:BT128" si="303">SUM(BM123:BS123)</f>
        <v>0</v>
      </c>
      <c r="BV123" s="5">
        <f t="shared" ref="BV123:CA130" si="304">B123+K123+T123+AC123+AL123+AU123+BD123+BM123</f>
        <v>0</v>
      </c>
      <c r="BW123" s="5">
        <f t="shared" si="304"/>
        <v>316248.62499999994</v>
      </c>
      <c r="BX123" s="5">
        <f t="shared" si="304"/>
        <v>0</v>
      </c>
      <c r="BY123" s="5">
        <f t="shared" si="304"/>
        <v>0</v>
      </c>
      <c r="BZ123" s="5">
        <f t="shared" si="304"/>
        <v>0</v>
      </c>
      <c r="CA123" s="5">
        <f t="shared" si="304"/>
        <v>0</v>
      </c>
      <c r="CB123" s="5"/>
      <c r="CC123" s="5">
        <f t="shared" ref="CC123:CC128" si="305">SUM(BV123:CB123)</f>
        <v>316248.62499999994</v>
      </c>
    </row>
    <row r="124" spans="1:81">
      <c r="A124" s="29" t="s">
        <v>56</v>
      </c>
      <c r="B124" s="11">
        <v>0</v>
      </c>
      <c r="C124" s="62">
        <v>0</v>
      </c>
      <c r="D124" s="11"/>
      <c r="E124" s="11"/>
      <c r="F124" s="5"/>
      <c r="G124" s="5"/>
      <c r="H124" s="5"/>
      <c r="I124" s="5">
        <f t="shared" si="296"/>
        <v>0</v>
      </c>
      <c r="K124" s="11">
        <v>0</v>
      </c>
      <c r="L124" s="62">
        <v>0</v>
      </c>
      <c r="M124" s="11"/>
      <c r="N124" s="11"/>
      <c r="O124" s="5"/>
      <c r="P124" s="5"/>
      <c r="Q124" s="5"/>
      <c r="R124" s="5">
        <f t="shared" si="297"/>
        <v>0</v>
      </c>
      <c r="T124" s="11"/>
      <c r="U124" s="62">
        <f>'24-25'!U124*1.015</f>
        <v>55670.212499999994</v>
      </c>
      <c r="V124" s="11"/>
      <c r="W124" s="11"/>
      <c r="X124" s="5"/>
      <c r="Y124" s="5"/>
      <c r="Z124" s="5"/>
      <c r="AA124" s="5">
        <f t="shared" si="298"/>
        <v>55670.212499999994</v>
      </c>
      <c r="AC124" s="11">
        <v>0</v>
      </c>
      <c r="AD124" s="62">
        <f>'24-25'!AD124*1.015</f>
        <v>64817.899999999994</v>
      </c>
      <c r="AE124" s="11"/>
      <c r="AF124" s="11"/>
      <c r="AG124" s="5"/>
      <c r="AH124" s="5"/>
      <c r="AI124" s="5"/>
      <c r="AJ124" s="5">
        <f t="shared" si="299"/>
        <v>64817.899999999994</v>
      </c>
      <c r="AL124" s="11">
        <v>0</v>
      </c>
      <c r="AM124" s="62">
        <v>0</v>
      </c>
      <c r="AN124" s="11"/>
      <c r="AO124" s="11"/>
      <c r="AP124" s="5"/>
      <c r="AQ124" s="5"/>
      <c r="AR124" s="5"/>
      <c r="AS124" s="5">
        <f t="shared" si="300"/>
        <v>0</v>
      </c>
      <c r="AU124" s="11">
        <v>0</v>
      </c>
      <c r="AV124" s="62">
        <v>0</v>
      </c>
      <c r="AW124" s="11"/>
      <c r="AX124" s="11"/>
      <c r="AY124" s="5"/>
      <c r="AZ124" s="5"/>
      <c r="BA124" s="5"/>
      <c r="BB124" s="5">
        <f t="shared" si="301"/>
        <v>0</v>
      </c>
      <c r="BD124" s="11">
        <v>0</v>
      </c>
      <c r="BE124" s="62">
        <v>0</v>
      </c>
      <c r="BF124" s="11"/>
      <c r="BG124" s="11"/>
      <c r="BH124" s="5"/>
      <c r="BI124" s="5"/>
      <c r="BJ124" s="5"/>
      <c r="BK124" s="5">
        <f t="shared" si="302"/>
        <v>0</v>
      </c>
      <c r="BM124" s="11">
        <v>0</v>
      </c>
      <c r="BN124" s="62">
        <v>0</v>
      </c>
      <c r="BO124" s="11"/>
      <c r="BP124" s="11"/>
      <c r="BQ124" s="5"/>
      <c r="BR124" s="5"/>
      <c r="BS124" s="5"/>
      <c r="BT124" s="5">
        <f t="shared" si="303"/>
        <v>0</v>
      </c>
      <c r="BV124" s="5">
        <f t="shared" si="304"/>
        <v>0</v>
      </c>
      <c r="BW124" s="5">
        <f t="shared" si="304"/>
        <v>120488.11249999999</v>
      </c>
      <c r="BX124" s="5">
        <f t="shared" si="304"/>
        <v>0</v>
      </c>
      <c r="BY124" s="5">
        <f t="shared" si="304"/>
        <v>0</v>
      </c>
      <c r="BZ124" s="5">
        <f t="shared" si="304"/>
        <v>0</v>
      </c>
      <c r="CA124" s="5">
        <f t="shared" si="304"/>
        <v>0</v>
      </c>
      <c r="CB124" s="5"/>
      <c r="CC124" s="5">
        <f t="shared" si="305"/>
        <v>120488.11249999999</v>
      </c>
    </row>
    <row r="125" spans="1:81">
      <c r="A125" s="29" t="s">
        <v>57</v>
      </c>
      <c r="B125" s="11">
        <v>0</v>
      </c>
      <c r="C125" s="11">
        <v>0</v>
      </c>
      <c r="D125" s="11"/>
      <c r="E125" s="11"/>
      <c r="F125" s="5"/>
      <c r="G125" s="5"/>
      <c r="H125" s="5"/>
      <c r="I125" s="5">
        <f t="shared" si="296"/>
        <v>0</v>
      </c>
      <c r="K125" s="11">
        <v>0</v>
      </c>
      <c r="L125" s="62">
        <f>'24-25'!L125*1.015</f>
        <v>45738.437499999993</v>
      </c>
      <c r="M125" s="11"/>
      <c r="N125" s="11"/>
      <c r="O125" s="5"/>
      <c r="P125" s="5"/>
      <c r="Q125" s="5"/>
      <c r="R125" s="5">
        <f t="shared" si="297"/>
        <v>45738.437499999993</v>
      </c>
      <c r="T125" s="11"/>
      <c r="U125" s="62">
        <f>'24-25'!U125*1.015</f>
        <v>45738.437499999993</v>
      </c>
      <c r="V125" s="11"/>
      <c r="W125" s="11"/>
      <c r="X125" s="5"/>
      <c r="Y125" s="5"/>
      <c r="Z125" s="5"/>
      <c r="AA125" s="5">
        <f t="shared" si="298"/>
        <v>45738.437499999993</v>
      </c>
      <c r="AC125" s="11">
        <v>0</v>
      </c>
      <c r="AD125" s="62">
        <f>'24-25'!AD125*1.015</f>
        <v>100363.2</v>
      </c>
      <c r="AE125" s="11"/>
      <c r="AF125" s="11"/>
      <c r="AG125" s="5"/>
      <c r="AH125" s="5"/>
      <c r="AI125" s="5"/>
      <c r="AJ125" s="5">
        <f t="shared" si="299"/>
        <v>100363.2</v>
      </c>
      <c r="AL125" s="11">
        <v>0</v>
      </c>
      <c r="AM125" s="62">
        <f>'24-25'!AM125*1.015</f>
        <v>94090.499999999985</v>
      </c>
      <c r="AN125" s="11"/>
      <c r="AO125" s="11"/>
      <c r="AP125" s="5"/>
      <c r="AQ125" s="5"/>
      <c r="AR125" s="5"/>
      <c r="AS125" s="5">
        <f t="shared" si="300"/>
        <v>94090.499999999985</v>
      </c>
      <c r="AU125" s="11">
        <v>0</v>
      </c>
      <c r="AV125" s="11">
        <v>0</v>
      </c>
      <c r="AW125" s="11"/>
      <c r="AX125" s="11"/>
      <c r="AY125" s="5"/>
      <c r="AZ125" s="5"/>
      <c r="BA125" s="5"/>
      <c r="BB125" s="5">
        <f t="shared" si="301"/>
        <v>0</v>
      </c>
      <c r="BD125" s="11">
        <v>0</v>
      </c>
      <c r="BE125" s="11">
        <v>0</v>
      </c>
      <c r="BF125" s="11"/>
      <c r="BG125" s="11"/>
      <c r="BH125" s="5"/>
      <c r="BI125" s="5"/>
      <c r="BJ125" s="5"/>
      <c r="BK125" s="5">
        <f t="shared" si="302"/>
        <v>0</v>
      </c>
      <c r="BM125" s="11">
        <v>0</v>
      </c>
      <c r="BN125" s="11">
        <v>0</v>
      </c>
      <c r="BO125" s="11"/>
      <c r="BP125" s="11"/>
      <c r="BQ125" s="5"/>
      <c r="BR125" s="5"/>
      <c r="BS125" s="5"/>
      <c r="BT125" s="5">
        <f t="shared" si="303"/>
        <v>0</v>
      </c>
      <c r="BV125" s="5">
        <f t="shared" si="304"/>
        <v>0</v>
      </c>
      <c r="BW125" s="5">
        <f t="shared" si="304"/>
        <v>285930.57499999995</v>
      </c>
      <c r="BX125" s="5">
        <f t="shared" si="304"/>
        <v>0</v>
      </c>
      <c r="BY125" s="5">
        <f t="shared" si="304"/>
        <v>0</v>
      </c>
      <c r="BZ125" s="5">
        <f t="shared" si="304"/>
        <v>0</v>
      </c>
      <c r="CA125" s="5">
        <f t="shared" si="304"/>
        <v>0</v>
      </c>
      <c r="CB125" s="5"/>
      <c r="CC125" s="5">
        <f t="shared" si="305"/>
        <v>285930.57499999995</v>
      </c>
    </row>
    <row r="126" spans="1:81">
      <c r="A126" s="29" t="s">
        <v>110</v>
      </c>
      <c r="B126" s="11">
        <v>0</v>
      </c>
      <c r="C126" s="11"/>
      <c r="D126" s="11"/>
      <c r="E126" s="11"/>
      <c r="F126" s="5"/>
      <c r="G126" s="5"/>
      <c r="H126" s="5"/>
      <c r="I126" s="26">
        <f t="shared" si="296"/>
        <v>0</v>
      </c>
      <c r="K126" s="11">
        <v>0</v>
      </c>
      <c r="L126" s="11"/>
      <c r="M126" s="11"/>
      <c r="N126" s="11"/>
      <c r="O126" s="5"/>
      <c r="P126" s="5"/>
      <c r="Q126" s="5"/>
      <c r="R126" s="26">
        <f t="shared" si="297"/>
        <v>0</v>
      </c>
      <c r="T126" s="11"/>
      <c r="U126" s="62">
        <f>'24-25'!U126*1.015</f>
        <v>26136.249999999996</v>
      </c>
      <c r="V126" s="11"/>
      <c r="W126" s="11"/>
      <c r="X126" s="5"/>
      <c r="Y126" s="5"/>
      <c r="Z126" s="5"/>
      <c r="AA126" s="5">
        <f t="shared" si="298"/>
        <v>26136.249999999996</v>
      </c>
      <c r="AC126" s="11">
        <v>0</v>
      </c>
      <c r="AD126" s="11"/>
      <c r="AE126" s="11"/>
      <c r="AF126" s="11"/>
      <c r="AG126" s="5"/>
      <c r="AH126" s="5"/>
      <c r="AI126" s="5"/>
      <c r="AJ126" s="26">
        <f t="shared" si="299"/>
        <v>0</v>
      </c>
      <c r="AL126" s="11">
        <v>0</v>
      </c>
      <c r="AM126" s="62">
        <f>'24-25'!AM126*1.015</f>
        <v>50181.599999999999</v>
      </c>
      <c r="AN126" s="11"/>
      <c r="AO126" s="11"/>
      <c r="AP126" s="5"/>
      <c r="AQ126" s="5"/>
      <c r="AR126" s="5"/>
      <c r="AS126" s="5">
        <f t="shared" si="300"/>
        <v>50181.599999999999</v>
      </c>
      <c r="AU126" s="11">
        <v>0</v>
      </c>
      <c r="AV126" s="11"/>
      <c r="AW126" s="11"/>
      <c r="AX126" s="11"/>
      <c r="AY126" s="5"/>
      <c r="AZ126" s="5"/>
      <c r="BA126" s="5"/>
      <c r="BB126" s="26">
        <f t="shared" si="301"/>
        <v>0</v>
      </c>
      <c r="BD126" s="11">
        <v>0</v>
      </c>
      <c r="BE126" s="11">
        <v>0</v>
      </c>
      <c r="BF126" s="11"/>
      <c r="BG126" s="11"/>
      <c r="BH126" s="5"/>
      <c r="BI126" s="5"/>
      <c r="BJ126" s="5"/>
      <c r="BK126" s="26">
        <f t="shared" si="302"/>
        <v>0</v>
      </c>
      <c r="BM126" s="11">
        <v>0</v>
      </c>
      <c r="BN126" s="11"/>
      <c r="BO126" s="11"/>
      <c r="BP126" s="11"/>
      <c r="BQ126" s="5"/>
      <c r="BR126" s="5"/>
      <c r="BS126" s="5"/>
      <c r="BT126" s="26">
        <f t="shared" si="303"/>
        <v>0</v>
      </c>
      <c r="BV126" s="5">
        <f t="shared" si="304"/>
        <v>0</v>
      </c>
      <c r="BW126" s="5">
        <f t="shared" si="304"/>
        <v>76317.849999999991</v>
      </c>
      <c r="BX126" s="5">
        <f t="shared" si="304"/>
        <v>0</v>
      </c>
      <c r="BY126" s="5">
        <f t="shared" si="304"/>
        <v>0</v>
      </c>
      <c r="BZ126" s="5">
        <f t="shared" si="304"/>
        <v>0</v>
      </c>
      <c r="CA126" s="5">
        <f t="shared" si="304"/>
        <v>0</v>
      </c>
      <c r="CB126" s="5"/>
      <c r="CC126" s="26">
        <f t="shared" si="305"/>
        <v>76317.849999999991</v>
      </c>
    </row>
    <row r="127" spans="1:81">
      <c r="A127" s="29" t="s">
        <v>59</v>
      </c>
      <c r="B127" s="11">
        <v>0</v>
      </c>
      <c r="C127" s="11"/>
      <c r="D127" s="11"/>
      <c r="E127" s="11"/>
      <c r="F127" s="5"/>
      <c r="G127" s="5"/>
      <c r="H127" s="5"/>
      <c r="I127" s="5">
        <f t="shared" si="296"/>
        <v>0</v>
      </c>
      <c r="K127" s="11">
        <v>0</v>
      </c>
      <c r="L127" s="62">
        <f>'24-25'!L127*1.015</f>
        <v>33454.399999999994</v>
      </c>
      <c r="M127" s="11"/>
      <c r="N127" s="11"/>
      <c r="O127" s="5"/>
      <c r="P127" s="5"/>
      <c r="Q127" s="5"/>
      <c r="R127" s="5">
        <f t="shared" si="297"/>
        <v>33454.399999999994</v>
      </c>
      <c r="T127" s="11"/>
      <c r="U127" s="62">
        <f>'24-25'!U127*1.015</f>
        <v>33454.399999999994</v>
      </c>
      <c r="V127" s="11"/>
      <c r="W127" s="11"/>
      <c r="X127" s="5"/>
      <c r="Y127" s="5"/>
      <c r="Z127" s="5"/>
      <c r="AA127" s="5">
        <f t="shared" si="298"/>
        <v>33454.399999999994</v>
      </c>
      <c r="AC127" s="11">
        <v>0</v>
      </c>
      <c r="AD127" s="62">
        <f>'24-25'!AD127*1.015</f>
        <v>76526.939999999988</v>
      </c>
      <c r="AE127" s="11"/>
      <c r="AF127" s="11"/>
      <c r="AG127" s="5"/>
      <c r="AH127" s="5"/>
      <c r="AI127" s="5"/>
      <c r="AJ127" s="5">
        <f t="shared" si="299"/>
        <v>76526.939999999988</v>
      </c>
      <c r="AL127" s="11">
        <v>0</v>
      </c>
      <c r="AM127" s="62">
        <f>'24-25'!AM127*1.015</f>
        <v>85308.719999999987</v>
      </c>
      <c r="AN127" s="11"/>
      <c r="AO127" s="11"/>
      <c r="AP127" s="5"/>
      <c r="AQ127" s="5"/>
      <c r="AR127" s="5"/>
      <c r="AS127" s="5">
        <f t="shared" si="300"/>
        <v>85308.719999999987</v>
      </c>
      <c r="AU127" s="11">
        <v>0</v>
      </c>
      <c r="AV127" s="11"/>
      <c r="AW127" s="11"/>
      <c r="AX127" s="11"/>
      <c r="AY127" s="5"/>
      <c r="AZ127" s="5"/>
      <c r="BA127" s="5"/>
      <c r="BB127" s="5">
        <f t="shared" si="301"/>
        <v>0</v>
      </c>
      <c r="BD127" s="11">
        <v>0</v>
      </c>
      <c r="BE127" s="11">
        <v>0</v>
      </c>
      <c r="BF127" s="11"/>
      <c r="BG127" s="11"/>
      <c r="BH127" s="5"/>
      <c r="BI127" s="5"/>
      <c r="BJ127" s="5"/>
      <c r="BK127" s="5">
        <f t="shared" si="302"/>
        <v>0</v>
      </c>
      <c r="BM127" s="11">
        <v>0</v>
      </c>
      <c r="BN127" s="11"/>
      <c r="BO127" s="11"/>
      <c r="BP127" s="11"/>
      <c r="BQ127" s="5"/>
      <c r="BR127" s="5"/>
      <c r="BS127" s="5"/>
      <c r="BT127" s="5">
        <f t="shared" si="303"/>
        <v>0</v>
      </c>
      <c r="BV127" s="5">
        <f t="shared" si="304"/>
        <v>0</v>
      </c>
      <c r="BW127" s="5">
        <f t="shared" si="304"/>
        <v>228744.45999999996</v>
      </c>
      <c r="BX127" s="5">
        <f t="shared" si="304"/>
        <v>0</v>
      </c>
      <c r="BY127" s="5">
        <f t="shared" si="304"/>
        <v>0</v>
      </c>
      <c r="BZ127" s="5">
        <f t="shared" si="304"/>
        <v>0</v>
      </c>
      <c r="CA127" s="5">
        <f t="shared" si="304"/>
        <v>0</v>
      </c>
      <c r="CB127" s="5"/>
      <c r="CC127" s="5">
        <f t="shared" si="305"/>
        <v>228744.45999999996</v>
      </c>
    </row>
    <row r="128" spans="1:81">
      <c r="A128" s="29" t="s">
        <v>111</v>
      </c>
      <c r="B128" s="62">
        <f>61000*B35*1.015</f>
        <v>30957.499999999996</v>
      </c>
      <c r="C128" s="11"/>
      <c r="D128" s="11"/>
      <c r="E128" s="11"/>
      <c r="F128" s="5"/>
      <c r="G128" s="5"/>
      <c r="H128" s="5"/>
      <c r="I128" s="5">
        <f t="shared" si="296"/>
        <v>30957.499999999996</v>
      </c>
      <c r="K128" s="62">
        <f>'24-25'!K128*1.015</f>
        <v>64817.899999999994</v>
      </c>
      <c r="L128" s="11"/>
      <c r="M128" s="11">
        <v>0</v>
      </c>
      <c r="N128" s="11"/>
      <c r="O128" s="5"/>
      <c r="P128" s="5"/>
      <c r="Q128" s="5"/>
      <c r="R128" s="5">
        <f t="shared" si="297"/>
        <v>64817.899999999994</v>
      </c>
      <c r="T128" s="62">
        <f>'24-25'!T128*1.015</f>
        <v>129919.99999999999</v>
      </c>
      <c r="U128" s="11"/>
      <c r="V128" s="11"/>
      <c r="W128" s="11"/>
      <c r="X128" s="5"/>
      <c r="Y128" s="5"/>
      <c r="Z128" s="5"/>
      <c r="AA128" s="5">
        <f t="shared" si="298"/>
        <v>129919.99999999999</v>
      </c>
      <c r="AC128" s="62">
        <f>'24-25'!AC128*1.015</f>
        <v>64817.899999999994</v>
      </c>
      <c r="AD128" s="11"/>
      <c r="AE128" s="11"/>
      <c r="AF128" s="11"/>
      <c r="AG128" s="5"/>
      <c r="AH128" s="5"/>
      <c r="AI128" s="5"/>
      <c r="AJ128" s="5">
        <f t="shared" si="299"/>
        <v>64817.899999999994</v>
      </c>
      <c r="AL128" s="62">
        <f>'24-25'!AL128*1.015</f>
        <v>129919.99999999999</v>
      </c>
      <c r="AM128" s="11"/>
      <c r="AN128" s="11"/>
      <c r="AO128" s="11"/>
      <c r="AP128" s="5"/>
      <c r="AQ128" s="5"/>
      <c r="AR128" s="5"/>
      <c r="AS128" s="5">
        <f t="shared" si="300"/>
        <v>129919.99999999999</v>
      </c>
      <c r="AU128" s="62">
        <v>0</v>
      </c>
      <c r="AV128" s="11"/>
      <c r="AW128" s="11"/>
      <c r="AX128" s="11"/>
      <c r="AY128" s="5"/>
      <c r="AZ128" s="5"/>
      <c r="BA128" s="5"/>
      <c r="BB128" s="5">
        <f t="shared" si="301"/>
        <v>0</v>
      </c>
      <c r="BD128" s="62">
        <v>0</v>
      </c>
      <c r="BE128" s="11"/>
      <c r="BF128" s="11"/>
      <c r="BG128" s="11"/>
      <c r="BH128" s="5"/>
      <c r="BI128" s="5"/>
      <c r="BJ128" s="5"/>
      <c r="BK128" s="5">
        <f t="shared" si="302"/>
        <v>0</v>
      </c>
      <c r="BM128" s="62">
        <v>0</v>
      </c>
      <c r="BN128" s="11"/>
      <c r="BO128" s="11"/>
      <c r="BP128" s="11"/>
      <c r="BQ128" s="5"/>
      <c r="BR128" s="5"/>
      <c r="BS128" s="5"/>
      <c r="BT128" s="5">
        <f t="shared" si="303"/>
        <v>0</v>
      </c>
      <c r="BV128" s="5">
        <f t="shared" si="304"/>
        <v>420433.29999999993</v>
      </c>
      <c r="BW128" s="5">
        <f t="shared" si="304"/>
        <v>0</v>
      </c>
      <c r="BX128" s="5">
        <f t="shared" si="304"/>
        <v>0</v>
      </c>
      <c r="BY128" s="5">
        <f t="shared" si="304"/>
        <v>0</v>
      </c>
      <c r="BZ128" s="5">
        <f t="shared" si="304"/>
        <v>0</v>
      </c>
      <c r="CA128" s="5">
        <f t="shared" si="304"/>
        <v>0</v>
      </c>
      <c r="CB128" s="5"/>
      <c r="CC128" s="5">
        <f t="shared" si="305"/>
        <v>420433.29999999993</v>
      </c>
    </row>
    <row r="129" spans="1:81">
      <c r="A129" s="29" t="s">
        <v>112</v>
      </c>
      <c r="B129" s="11">
        <f>(12.5*6*185)*B52</f>
        <v>0</v>
      </c>
      <c r="C129" s="11">
        <f>(12.5*6*185)*C52</f>
        <v>0</v>
      </c>
      <c r="D129" s="62">
        <v>0</v>
      </c>
      <c r="E129" s="62"/>
      <c r="F129" s="5"/>
      <c r="G129" s="5"/>
      <c r="H129" s="5"/>
      <c r="I129" s="5">
        <f>SUM(B129:H129)</f>
        <v>0</v>
      </c>
      <c r="K129" s="11">
        <f>(12.5*6*185)*K52</f>
        <v>0</v>
      </c>
      <c r="L129" s="11">
        <f>(12.5*6*185)*L52</f>
        <v>0</v>
      </c>
      <c r="M129" s="62"/>
      <c r="N129" s="62"/>
      <c r="O129" s="5"/>
      <c r="P129" s="5"/>
      <c r="Q129" s="5"/>
      <c r="R129" s="5">
        <f>SUM(K129:Q129)</f>
        <v>0</v>
      </c>
      <c r="T129" s="62">
        <f>'24-25'!T129*1.015</f>
        <v>62726.999999999993</v>
      </c>
      <c r="U129" s="11"/>
      <c r="V129" s="62"/>
      <c r="W129" s="62"/>
      <c r="X129" s="5"/>
      <c r="Y129" s="5"/>
      <c r="Z129" s="5"/>
      <c r="AA129" s="5">
        <f>SUM(T129:Z129)</f>
        <v>62726.999999999993</v>
      </c>
      <c r="AC129" s="62">
        <f>'24-25'!AC129*1.015</f>
        <v>57499.749999999993</v>
      </c>
      <c r="AD129" s="11">
        <f>(12.5*6*185)*AD52</f>
        <v>0</v>
      </c>
      <c r="AE129" s="62">
        <v>0</v>
      </c>
      <c r="AF129" s="62"/>
      <c r="AG129" s="5"/>
      <c r="AH129" s="5"/>
      <c r="AI129" s="5"/>
      <c r="AJ129" s="5">
        <f>SUM(AC129:AI129)</f>
        <v>57499.749999999993</v>
      </c>
      <c r="AL129" s="62">
        <f>'24-25'!AL129*1.015</f>
        <v>113679.99999999999</v>
      </c>
      <c r="AM129" s="11">
        <f>(12.5*6*185)*AM52</f>
        <v>0</v>
      </c>
      <c r="AN129" s="62">
        <v>0</v>
      </c>
      <c r="AO129" s="62"/>
      <c r="AP129" s="5"/>
      <c r="AQ129" s="5"/>
      <c r="AR129" s="5"/>
      <c r="AS129" s="5">
        <f>SUM(AL129:AR129)</f>
        <v>113679.99999999999</v>
      </c>
      <c r="AU129" s="11">
        <f>(12.5*6*185)*AU52</f>
        <v>0</v>
      </c>
      <c r="AV129" s="11">
        <f>(12.5*6*185)*AV52</f>
        <v>0</v>
      </c>
      <c r="AW129" s="62">
        <v>0</v>
      </c>
      <c r="AX129" s="62"/>
      <c r="AY129" s="5"/>
      <c r="AZ129" s="5"/>
      <c r="BA129" s="5"/>
      <c r="BB129" s="5">
        <f>SUM(AU129:BA129)</f>
        <v>0</v>
      </c>
      <c r="BD129" s="11">
        <f>(12.5*6*185)*BD52</f>
        <v>0</v>
      </c>
      <c r="BE129" s="11">
        <f>(12.5*6*185)*BE52</f>
        <v>0</v>
      </c>
      <c r="BF129" s="62">
        <v>0</v>
      </c>
      <c r="BG129" s="62"/>
      <c r="BH129" s="5"/>
      <c r="BI129" s="5"/>
      <c r="BJ129" s="5"/>
      <c r="BK129" s="5">
        <f>SUM(BD129:BJ129)</f>
        <v>0</v>
      </c>
      <c r="BM129" s="11">
        <f>(12.5*6*185)*BM52</f>
        <v>0</v>
      </c>
      <c r="BN129" s="11">
        <f>(12.5*6*185)*BN52</f>
        <v>0</v>
      </c>
      <c r="BO129" s="62">
        <v>0</v>
      </c>
      <c r="BP129" s="62"/>
      <c r="BQ129" s="5"/>
      <c r="BR129" s="5"/>
      <c r="BS129" s="5"/>
      <c r="BT129" s="5">
        <f>SUM(BM129:BS129)</f>
        <v>0</v>
      </c>
      <c r="BV129" s="5">
        <f t="shared" si="304"/>
        <v>233906.74999999997</v>
      </c>
      <c r="BW129" s="5">
        <f t="shared" si="304"/>
        <v>0</v>
      </c>
      <c r="BX129" s="5">
        <f t="shared" si="304"/>
        <v>0</v>
      </c>
      <c r="BY129" s="5">
        <f t="shared" si="304"/>
        <v>0</v>
      </c>
      <c r="BZ129" s="5">
        <f t="shared" si="304"/>
        <v>0</v>
      </c>
      <c r="CA129" s="5">
        <f t="shared" si="304"/>
        <v>0</v>
      </c>
      <c r="CB129" s="5"/>
      <c r="CC129" s="5">
        <f>SUM(BV129:CB129)</f>
        <v>233906.74999999997</v>
      </c>
    </row>
    <row r="130" spans="1:81">
      <c r="A130" s="29" t="s">
        <v>60</v>
      </c>
      <c r="B130" s="67">
        <f>175*180*B59</f>
        <v>31500</v>
      </c>
      <c r="C130" s="67">
        <f t="shared" ref="C130:H130" si="306">170*180*C59</f>
        <v>0</v>
      </c>
      <c r="D130" s="67">
        <f t="shared" si="306"/>
        <v>0</v>
      </c>
      <c r="E130" s="67">
        <f t="shared" si="306"/>
        <v>0</v>
      </c>
      <c r="F130" s="67">
        <f t="shared" si="306"/>
        <v>0</v>
      </c>
      <c r="G130" s="67">
        <f t="shared" si="306"/>
        <v>0</v>
      </c>
      <c r="H130" s="67">
        <f t="shared" si="306"/>
        <v>0</v>
      </c>
      <c r="I130" s="5">
        <f>SUM(B130:H130)</f>
        <v>31500</v>
      </c>
      <c r="K130" s="67">
        <f>175*180*K59</f>
        <v>31500</v>
      </c>
      <c r="L130" s="67">
        <f t="shared" ref="L130:Q130" si="307">170*180*L59</f>
        <v>0</v>
      </c>
      <c r="M130" s="67">
        <f t="shared" si="307"/>
        <v>0</v>
      </c>
      <c r="N130" s="67">
        <f t="shared" si="307"/>
        <v>0</v>
      </c>
      <c r="O130" s="67">
        <f t="shared" si="307"/>
        <v>0</v>
      </c>
      <c r="P130" s="67">
        <f t="shared" si="307"/>
        <v>0</v>
      </c>
      <c r="Q130" s="67">
        <f t="shared" si="307"/>
        <v>0</v>
      </c>
      <c r="R130" s="5">
        <f>SUM(K130:Q130)</f>
        <v>31500</v>
      </c>
      <c r="T130" s="35">
        <f>175*180*T59</f>
        <v>63000</v>
      </c>
      <c r="U130" s="35">
        <f t="shared" ref="U130:Z130" si="308">170*180*U59</f>
        <v>0</v>
      </c>
      <c r="V130" s="35">
        <f t="shared" si="308"/>
        <v>0</v>
      </c>
      <c r="W130" s="35">
        <f t="shared" si="308"/>
        <v>0</v>
      </c>
      <c r="X130" s="35">
        <f t="shared" si="308"/>
        <v>0</v>
      </c>
      <c r="Y130" s="35">
        <f t="shared" si="308"/>
        <v>0</v>
      </c>
      <c r="Z130" s="35">
        <f t="shared" si="308"/>
        <v>0</v>
      </c>
      <c r="AA130" s="5">
        <f>SUM(T130:Z130)</f>
        <v>63000</v>
      </c>
      <c r="AC130" s="67">
        <f>175*180*AC59</f>
        <v>94500</v>
      </c>
      <c r="AD130" s="67">
        <f t="shared" ref="AD130:AI130" si="309">170*180*AD59</f>
        <v>0</v>
      </c>
      <c r="AE130" s="67">
        <f t="shared" si="309"/>
        <v>0</v>
      </c>
      <c r="AF130" s="67">
        <f t="shared" si="309"/>
        <v>0</v>
      </c>
      <c r="AG130" s="67">
        <f t="shared" si="309"/>
        <v>0</v>
      </c>
      <c r="AH130" s="67">
        <f t="shared" si="309"/>
        <v>0</v>
      </c>
      <c r="AI130" s="67">
        <f t="shared" si="309"/>
        <v>0</v>
      </c>
      <c r="AJ130" s="5">
        <f>SUM(AC130:AI130)</f>
        <v>94500</v>
      </c>
      <c r="AL130" s="67">
        <f>175*180*AL59</f>
        <v>126000</v>
      </c>
      <c r="AM130" s="67">
        <f t="shared" ref="AM130:AR130" si="310">170*180*AM59</f>
        <v>0</v>
      </c>
      <c r="AN130" s="67">
        <f t="shared" si="310"/>
        <v>0</v>
      </c>
      <c r="AO130" s="67">
        <f t="shared" si="310"/>
        <v>0</v>
      </c>
      <c r="AP130" s="67">
        <f t="shared" si="310"/>
        <v>0</v>
      </c>
      <c r="AQ130" s="67">
        <f t="shared" si="310"/>
        <v>0</v>
      </c>
      <c r="AR130" s="67">
        <f t="shared" si="310"/>
        <v>0</v>
      </c>
      <c r="AS130" s="5">
        <f>SUM(AL130:AR130)</f>
        <v>126000</v>
      </c>
      <c r="AU130" s="67">
        <f>150*180*AU59</f>
        <v>0</v>
      </c>
      <c r="AV130" s="67">
        <f t="shared" ref="AV130:AX130" si="311">150*180*AV59</f>
        <v>0</v>
      </c>
      <c r="AW130" s="67">
        <f t="shared" si="311"/>
        <v>0</v>
      </c>
      <c r="AX130" s="67">
        <f t="shared" si="311"/>
        <v>0</v>
      </c>
      <c r="AY130" s="5"/>
      <c r="AZ130" s="5"/>
      <c r="BA130" s="5"/>
      <c r="BB130" s="5">
        <f>SUM(AU130:BA130)</f>
        <v>0</v>
      </c>
      <c r="BD130" s="67">
        <f>150*180*BD59</f>
        <v>0</v>
      </c>
      <c r="BE130" s="67">
        <f t="shared" ref="BE130:BG130" si="312">150*180*BE59</f>
        <v>0</v>
      </c>
      <c r="BF130" s="67">
        <f t="shared" si="312"/>
        <v>0</v>
      </c>
      <c r="BG130" s="67">
        <f t="shared" si="312"/>
        <v>0</v>
      </c>
      <c r="BH130" s="5"/>
      <c r="BI130" s="5"/>
      <c r="BJ130" s="5"/>
      <c r="BK130" s="5">
        <f>SUM(BD130:BJ130)</f>
        <v>0</v>
      </c>
      <c r="BM130" s="67">
        <f>150*180*BM59</f>
        <v>0</v>
      </c>
      <c r="BN130" s="67">
        <f t="shared" ref="BN130:BP130" si="313">150*180*BN59</f>
        <v>0</v>
      </c>
      <c r="BO130" s="67">
        <f t="shared" si="313"/>
        <v>0</v>
      </c>
      <c r="BP130" s="67">
        <f t="shared" si="313"/>
        <v>0</v>
      </c>
      <c r="BQ130" s="5"/>
      <c r="BR130" s="5"/>
      <c r="BS130" s="5"/>
      <c r="BT130" s="5">
        <f>SUM(BM130:BS130)</f>
        <v>0</v>
      </c>
      <c r="BV130" s="5">
        <f t="shared" si="304"/>
        <v>346500</v>
      </c>
      <c r="BW130" s="5">
        <f t="shared" si="304"/>
        <v>0</v>
      </c>
      <c r="BX130" s="5">
        <f t="shared" si="304"/>
        <v>0</v>
      </c>
      <c r="BY130" s="5">
        <f t="shared" si="304"/>
        <v>0</v>
      </c>
      <c r="BZ130" s="5">
        <f t="shared" si="304"/>
        <v>0</v>
      </c>
      <c r="CA130" s="5">
        <f t="shared" si="304"/>
        <v>0</v>
      </c>
      <c r="CB130" s="5"/>
      <c r="CC130" s="5">
        <f>SUM(BV130:CB130)</f>
        <v>346500</v>
      </c>
    </row>
    <row r="131" spans="1:81" ht="15">
      <c r="A131" s="68" t="s">
        <v>113</v>
      </c>
      <c r="B131" s="69">
        <f>SUM(B123:B130)</f>
        <v>62457.5</v>
      </c>
      <c r="C131" s="69">
        <f t="shared" ref="C131:I131" si="314">SUM(C123:C130)</f>
        <v>78408.749999999985</v>
      </c>
      <c r="D131" s="69">
        <f t="shared" si="314"/>
        <v>0</v>
      </c>
      <c r="E131" s="69">
        <f t="shared" si="314"/>
        <v>0</v>
      </c>
      <c r="F131" s="69">
        <f t="shared" si="314"/>
        <v>0</v>
      </c>
      <c r="G131" s="69">
        <f t="shared" si="314"/>
        <v>0</v>
      </c>
      <c r="H131" s="69">
        <f t="shared" si="314"/>
        <v>0</v>
      </c>
      <c r="I131" s="69">
        <f t="shared" si="314"/>
        <v>140866.25</v>
      </c>
      <c r="J131" s="7"/>
      <c r="K131" s="69">
        <f>SUM(K123:K130)</f>
        <v>96317.9</v>
      </c>
      <c r="L131" s="69">
        <f t="shared" ref="L131:R131" si="315">SUM(L123:L130)</f>
        <v>162828.83749999997</v>
      </c>
      <c r="M131" s="69">
        <f t="shared" si="315"/>
        <v>0</v>
      </c>
      <c r="N131" s="69"/>
      <c r="O131" s="69">
        <f t="shared" si="315"/>
        <v>0</v>
      </c>
      <c r="P131" s="69">
        <f t="shared" si="315"/>
        <v>0</v>
      </c>
      <c r="Q131" s="69">
        <f t="shared" si="315"/>
        <v>0</v>
      </c>
      <c r="R131" s="69">
        <f t="shared" si="315"/>
        <v>259146.73749999996</v>
      </c>
      <c r="T131" s="69">
        <f>SUM(T123:T130)</f>
        <v>255646.99999999997</v>
      </c>
      <c r="U131" s="69">
        <f t="shared" ref="U131:AA131" si="316">SUM(U123:U130)</f>
        <v>221112.67499999999</v>
      </c>
      <c r="V131" s="69">
        <f t="shared" si="316"/>
        <v>0</v>
      </c>
      <c r="W131" s="69"/>
      <c r="X131" s="69">
        <f t="shared" si="316"/>
        <v>0</v>
      </c>
      <c r="Y131" s="69">
        <f t="shared" si="316"/>
        <v>0</v>
      </c>
      <c r="Z131" s="69">
        <f t="shared" si="316"/>
        <v>0</v>
      </c>
      <c r="AA131" s="69">
        <f t="shared" si="316"/>
        <v>476759.67499999999</v>
      </c>
      <c r="AC131" s="69">
        <f>SUM(AC123:AC130)</f>
        <v>216817.65</v>
      </c>
      <c r="AD131" s="69">
        <f t="shared" ref="AD131:AJ131" si="317">SUM(AD123:AD130)</f>
        <v>335798.54</v>
      </c>
      <c r="AE131" s="69">
        <f t="shared" si="317"/>
        <v>0</v>
      </c>
      <c r="AF131" s="69">
        <f t="shared" si="317"/>
        <v>0</v>
      </c>
      <c r="AG131" s="69">
        <f t="shared" si="317"/>
        <v>0</v>
      </c>
      <c r="AH131" s="69">
        <f t="shared" si="317"/>
        <v>0</v>
      </c>
      <c r="AI131" s="69">
        <f t="shared" si="317"/>
        <v>0</v>
      </c>
      <c r="AJ131" s="69">
        <f t="shared" si="317"/>
        <v>552616.18999999994</v>
      </c>
      <c r="AL131" s="69">
        <f>SUM(AL123:AL130)</f>
        <v>369600</v>
      </c>
      <c r="AM131" s="69">
        <f t="shared" ref="AM131:AS131" si="318">SUM(AM123:AM130)</f>
        <v>229580.81999999995</v>
      </c>
      <c r="AN131" s="69">
        <f t="shared" si="318"/>
        <v>0</v>
      </c>
      <c r="AO131" s="69">
        <f t="shared" si="318"/>
        <v>0</v>
      </c>
      <c r="AP131" s="69">
        <f t="shared" si="318"/>
        <v>0</v>
      </c>
      <c r="AQ131" s="69">
        <f t="shared" si="318"/>
        <v>0</v>
      </c>
      <c r="AR131" s="69">
        <f t="shared" si="318"/>
        <v>0</v>
      </c>
      <c r="AS131" s="69">
        <f t="shared" si="318"/>
        <v>599180.81999999995</v>
      </c>
      <c r="AU131" s="69">
        <f>SUM(AU123:AU130)</f>
        <v>0</v>
      </c>
      <c r="AV131" s="69">
        <f t="shared" ref="AV131:BB131" si="319">SUM(AV123:AV130)</f>
        <v>0</v>
      </c>
      <c r="AW131" s="69">
        <f t="shared" si="319"/>
        <v>0</v>
      </c>
      <c r="AX131" s="69">
        <f t="shared" si="319"/>
        <v>0</v>
      </c>
      <c r="AY131" s="69">
        <f t="shared" si="319"/>
        <v>0</v>
      </c>
      <c r="AZ131" s="69">
        <f t="shared" si="319"/>
        <v>0</v>
      </c>
      <c r="BA131" s="69">
        <f t="shared" si="319"/>
        <v>0</v>
      </c>
      <c r="BB131" s="69">
        <f t="shared" si="319"/>
        <v>0</v>
      </c>
      <c r="BD131" s="69">
        <f>SUM(BD123:BD130)</f>
        <v>0</v>
      </c>
      <c r="BE131" s="69">
        <f t="shared" ref="BE131:BK131" si="320">SUM(BE123:BE130)</f>
        <v>0</v>
      </c>
      <c r="BF131" s="69">
        <f t="shared" si="320"/>
        <v>0</v>
      </c>
      <c r="BG131" s="69">
        <f t="shared" si="320"/>
        <v>0</v>
      </c>
      <c r="BH131" s="69">
        <f t="shared" si="320"/>
        <v>0</v>
      </c>
      <c r="BI131" s="69">
        <f t="shared" si="320"/>
        <v>0</v>
      </c>
      <c r="BJ131" s="69">
        <f t="shared" si="320"/>
        <v>0</v>
      </c>
      <c r="BK131" s="69">
        <f t="shared" si="320"/>
        <v>0</v>
      </c>
      <c r="BM131" s="69">
        <f>SUM(BM123:BM130)</f>
        <v>0</v>
      </c>
      <c r="BN131" s="69">
        <f t="shared" ref="BN131:BT131" si="321">SUM(BN123:BN130)</f>
        <v>0</v>
      </c>
      <c r="BO131" s="69">
        <f t="shared" si="321"/>
        <v>0</v>
      </c>
      <c r="BP131" s="69">
        <f t="shared" si="321"/>
        <v>0</v>
      </c>
      <c r="BQ131" s="69">
        <f t="shared" si="321"/>
        <v>0</v>
      </c>
      <c r="BR131" s="69">
        <f t="shared" si="321"/>
        <v>0</v>
      </c>
      <c r="BS131" s="69">
        <f t="shared" si="321"/>
        <v>0</v>
      </c>
      <c r="BT131" s="69">
        <f t="shared" si="321"/>
        <v>0</v>
      </c>
      <c r="BV131" s="69">
        <f>SUM(BV123:BV130)</f>
        <v>1000840.0499999999</v>
      </c>
      <c r="BW131" s="69">
        <f t="shared" ref="BW131:CC131" si="322">SUM(BW123:BW130)</f>
        <v>1027729.6224999998</v>
      </c>
      <c r="BX131" s="69">
        <f t="shared" si="322"/>
        <v>0</v>
      </c>
      <c r="BY131" s="69">
        <f t="shared" si="322"/>
        <v>0</v>
      </c>
      <c r="BZ131" s="69">
        <f t="shared" si="322"/>
        <v>0</v>
      </c>
      <c r="CA131" s="69">
        <f t="shared" si="322"/>
        <v>0</v>
      </c>
      <c r="CB131" s="69">
        <f t="shared" si="322"/>
        <v>0</v>
      </c>
      <c r="CC131" s="69">
        <f t="shared" si="322"/>
        <v>2028569.6724999999</v>
      </c>
    </row>
    <row r="132" spans="1:81" ht="15">
      <c r="A132" s="70" t="s">
        <v>114</v>
      </c>
      <c r="B132" s="71">
        <f t="shared" ref="B132:H132" si="323">B121+B131</f>
        <v>3577060.8621999999</v>
      </c>
      <c r="C132" s="71">
        <f t="shared" si="323"/>
        <v>500048.75</v>
      </c>
      <c r="D132" s="71">
        <f t="shared" si="323"/>
        <v>63000</v>
      </c>
      <c r="E132" s="71">
        <f t="shared" si="323"/>
        <v>0</v>
      </c>
      <c r="F132" s="71">
        <f t="shared" si="323"/>
        <v>0</v>
      </c>
      <c r="G132" s="71">
        <f t="shared" si="323"/>
        <v>0</v>
      </c>
      <c r="H132" s="71">
        <f t="shared" si="323"/>
        <v>0</v>
      </c>
      <c r="I132" s="71">
        <f>I121+I131</f>
        <v>4140109.6121999999</v>
      </c>
      <c r="J132" s="7"/>
      <c r="K132" s="71">
        <f t="shared" ref="K132:Q132" si="324">K121+K131</f>
        <v>3922022.5524499998</v>
      </c>
      <c r="L132" s="71">
        <f t="shared" si="324"/>
        <v>516178.83749999997</v>
      </c>
      <c r="M132" s="71">
        <f t="shared" si="324"/>
        <v>69155.5</v>
      </c>
      <c r="N132" s="71"/>
      <c r="O132" s="71">
        <f t="shared" si="324"/>
        <v>0</v>
      </c>
      <c r="P132" s="71">
        <f t="shared" si="324"/>
        <v>0</v>
      </c>
      <c r="Q132" s="71">
        <f t="shared" si="324"/>
        <v>0</v>
      </c>
      <c r="R132" s="71">
        <f>R121+R131</f>
        <v>4507356.8899499997</v>
      </c>
      <c r="T132" s="71">
        <f t="shared" ref="T132:Z132" si="325">T121+T131</f>
        <v>4776955.8163999999</v>
      </c>
      <c r="U132" s="71">
        <f t="shared" si="325"/>
        <v>671912.67500000005</v>
      </c>
      <c r="V132" s="71">
        <f t="shared" si="325"/>
        <v>62640</v>
      </c>
      <c r="W132" s="71"/>
      <c r="X132" s="71">
        <f t="shared" si="325"/>
        <v>0</v>
      </c>
      <c r="Y132" s="71">
        <f t="shared" si="325"/>
        <v>0</v>
      </c>
      <c r="Z132" s="71">
        <f t="shared" si="325"/>
        <v>0</v>
      </c>
      <c r="AA132" s="71">
        <f>AA121+AA131</f>
        <v>5511508.4913999997</v>
      </c>
      <c r="AC132" s="71">
        <f t="shared" ref="AC132:AI132" si="326">AC121+AC131</f>
        <v>9228864.3600000013</v>
      </c>
      <c r="AD132" s="71">
        <f t="shared" si="326"/>
        <v>1572098.54</v>
      </c>
      <c r="AE132" s="71">
        <f t="shared" si="326"/>
        <v>164970</v>
      </c>
      <c r="AF132" s="71">
        <f t="shared" si="326"/>
        <v>0</v>
      </c>
      <c r="AG132" s="71">
        <f t="shared" si="326"/>
        <v>0</v>
      </c>
      <c r="AH132" s="71">
        <f t="shared" si="326"/>
        <v>0</v>
      </c>
      <c r="AI132" s="71">
        <f t="shared" si="326"/>
        <v>0</v>
      </c>
      <c r="AJ132" s="71">
        <f>AJ121+AJ131</f>
        <v>10965932.9</v>
      </c>
      <c r="AL132" s="71">
        <f t="shared" ref="AL132:AR132" si="327">AL121+AL131</f>
        <v>8463347.9003500007</v>
      </c>
      <c r="AM132" s="71">
        <f t="shared" si="327"/>
        <v>1335500.8199999998</v>
      </c>
      <c r="AN132" s="71">
        <f t="shared" si="327"/>
        <v>96210</v>
      </c>
      <c r="AO132" s="71">
        <f t="shared" si="327"/>
        <v>0</v>
      </c>
      <c r="AP132" s="71">
        <f t="shared" si="327"/>
        <v>0</v>
      </c>
      <c r="AQ132" s="71">
        <f t="shared" si="327"/>
        <v>0</v>
      </c>
      <c r="AR132" s="71">
        <f t="shared" si="327"/>
        <v>0</v>
      </c>
      <c r="AS132" s="71">
        <f>AS121+AS131</f>
        <v>9895058.720350001</v>
      </c>
      <c r="AU132" s="71">
        <f t="shared" ref="AU132:BA132" si="328">AU121+AU131</f>
        <v>146238.25</v>
      </c>
      <c r="AV132" s="71">
        <f t="shared" si="328"/>
        <v>110676.91624999999</v>
      </c>
      <c r="AW132" s="71">
        <f t="shared" si="328"/>
        <v>0</v>
      </c>
      <c r="AX132" s="71">
        <f t="shared" si="328"/>
        <v>0</v>
      </c>
      <c r="AY132" s="71">
        <f t="shared" si="328"/>
        <v>0</v>
      </c>
      <c r="AZ132" s="71">
        <f t="shared" si="328"/>
        <v>0</v>
      </c>
      <c r="BA132" s="71">
        <f t="shared" si="328"/>
        <v>0</v>
      </c>
      <c r="BB132" s="71">
        <f>BB121+BB131</f>
        <v>256915.16624999998</v>
      </c>
      <c r="BD132" s="71">
        <f t="shared" ref="BD132:BJ132" si="329">BD121+BD131</f>
        <v>1404680.5</v>
      </c>
      <c r="BE132" s="71">
        <f t="shared" si="329"/>
        <v>63000</v>
      </c>
      <c r="BF132" s="71">
        <f t="shared" si="329"/>
        <v>29160</v>
      </c>
      <c r="BG132" s="71">
        <f t="shared" si="329"/>
        <v>0</v>
      </c>
      <c r="BH132" s="71">
        <f t="shared" si="329"/>
        <v>0</v>
      </c>
      <c r="BI132" s="71">
        <f t="shared" si="329"/>
        <v>0</v>
      </c>
      <c r="BJ132" s="71">
        <f t="shared" si="329"/>
        <v>0</v>
      </c>
      <c r="BK132" s="71">
        <f>BK121+BK131</f>
        <v>1496840.5</v>
      </c>
      <c r="BM132" s="71">
        <f t="shared" ref="BM132:BS132" si="330">BM121+BM131</f>
        <v>284595.99999999994</v>
      </c>
      <c r="BN132" s="71">
        <f t="shared" si="330"/>
        <v>0</v>
      </c>
      <c r="BO132" s="71">
        <f t="shared" si="330"/>
        <v>18550</v>
      </c>
      <c r="BP132" s="71">
        <f t="shared" si="330"/>
        <v>0</v>
      </c>
      <c r="BQ132" s="71">
        <f t="shared" si="330"/>
        <v>0</v>
      </c>
      <c r="BR132" s="71">
        <f t="shared" si="330"/>
        <v>0</v>
      </c>
      <c r="BS132" s="71">
        <f t="shared" si="330"/>
        <v>0</v>
      </c>
      <c r="BT132" s="71">
        <f>BT121+BT131</f>
        <v>303145.99999999994</v>
      </c>
      <c r="BV132" s="71">
        <f t="shared" ref="BV132:CB132" si="331">BV121+BV131</f>
        <v>31803766.241400003</v>
      </c>
      <c r="BW132" s="71">
        <f t="shared" si="331"/>
        <v>4769416.5387499994</v>
      </c>
      <c r="BX132" s="71">
        <f t="shared" si="331"/>
        <v>503685.5</v>
      </c>
      <c r="BY132" s="71">
        <f t="shared" si="331"/>
        <v>0</v>
      </c>
      <c r="BZ132" s="71">
        <f t="shared" si="331"/>
        <v>0</v>
      </c>
      <c r="CA132" s="71">
        <f t="shared" si="331"/>
        <v>0</v>
      </c>
      <c r="CB132" s="71">
        <f t="shared" si="331"/>
        <v>0</v>
      </c>
      <c r="CC132" s="71">
        <f>CC121+CC131</f>
        <v>37076868.280150004</v>
      </c>
    </row>
    <row r="133" spans="1:81">
      <c r="A133" s="29" t="s">
        <v>115</v>
      </c>
      <c r="B133" s="52">
        <f>B132*0.335</f>
        <v>1198315.3888370001</v>
      </c>
      <c r="C133" s="52">
        <f t="shared" ref="C133:H133" si="332">C132*0.335</f>
        <v>167516.33125000002</v>
      </c>
      <c r="D133" s="52">
        <f t="shared" si="332"/>
        <v>21105</v>
      </c>
      <c r="E133" s="52">
        <f t="shared" si="332"/>
        <v>0</v>
      </c>
      <c r="F133" s="52">
        <f t="shared" si="332"/>
        <v>0</v>
      </c>
      <c r="G133" s="52">
        <f t="shared" si="332"/>
        <v>0</v>
      </c>
      <c r="H133" s="52">
        <f t="shared" si="332"/>
        <v>0</v>
      </c>
      <c r="I133" s="11">
        <f>SUM(B133:H133)</f>
        <v>1386936.7200870002</v>
      </c>
      <c r="J133" s="72"/>
      <c r="K133" s="52">
        <f>K132*0.335</f>
        <v>1313877.5550707499</v>
      </c>
      <c r="L133" s="52">
        <f t="shared" ref="L133:Q133" si="333">L132*0.335</f>
        <v>172919.91056250001</v>
      </c>
      <c r="M133" s="52">
        <f t="shared" si="333"/>
        <v>23167.092500000002</v>
      </c>
      <c r="N133" s="52"/>
      <c r="O133" s="52">
        <f t="shared" si="333"/>
        <v>0</v>
      </c>
      <c r="P133" s="52">
        <f t="shared" si="333"/>
        <v>0</v>
      </c>
      <c r="Q133" s="52">
        <f t="shared" si="333"/>
        <v>0</v>
      </c>
      <c r="R133" s="11">
        <f>SUM(K133:Q133)</f>
        <v>1509964.5581332499</v>
      </c>
      <c r="T133" s="52">
        <f>T132*0.335-(T107*0.335)+(T107*0.125)</f>
        <v>1554856.4414440002</v>
      </c>
      <c r="U133" s="52">
        <f t="shared" ref="U133:Z133" si="334">U132*0.335</f>
        <v>225090.74612500003</v>
      </c>
      <c r="V133" s="52">
        <f t="shared" si="334"/>
        <v>20984.400000000001</v>
      </c>
      <c r="W133" s="52">
        <f t="shared" si="334"/>
        <v>0</v>
      </c>
      <c r="X133" s="52">
        <f t="shared" si="334"/>
        <v>0</v>
      </c>
      <c r="Y133" s="52">
        <f t="shared" si="334"/>
        <v>0</v>
      </c>
      <c r="Z133" s="52">
        <f t="shared" si="334"/>
        <v>0</v>
      </c>
      <c r="AA133" s="11">
        <f>SUM(T133:Z133)</f>
        <v>1800931.5875690002</v>
      </c>
      <c r="AC133" s="52">
        <f>AC132*0.335</f>
        <v>3091669.5606000004</v>
      </c>
      <c r="AD133" s="52">
        <f t="shared" ref="AD133:AI133" si="335">AD132*0.335</f>
        <v>526653.01089999999</v>
      </c>
      <c r="AE133" s="52">
        <f t="shared" si="335"/>
        <v>55264.950000000004</v>
      </c>
      <c r="AF133" s="52"/>
      <c r="AG133" s="52">
        <f t="shared" si="335"/>
        <v>0</v>
      </c>
      <c r="AH133" s="52">
        <f t="shared" si="335"/>
        <v>0</v>
      </c>
      <c r="AI133" s="52">
        <f t="shared" si="335"/>
        <v>0</v>
      </c>
      <c r="AJ133" s="11">
        <f>SUM(AC133:AI133)</f>
        <v>3673587.5215000007</v>
      </c>
      <c r="AL133" s="52">
        <f>AL132*0.335</f>
        <v>2835221.5466172504</v>
      </c>
      <c r="AM133" s="52">
        <f t="shared" ref="AM133:AR133" si="336">AM132*0.335</f>
        <v>447392.77469999995</v>
      </c>
      <c r="AN133" s="52">
        <f t="shared" si="336"/>
        <v>32230.350000000002</v>
      </c>
      <c r="AO133" s="52"/>
      <c r="AP133" s="52">
        <f t="shared" si="336"/>
        <v>0</v>
      </c>
      <c r="AQ133" s="52">
        <f t="shared" si="336"/>
        <v>0</v>
      </c>
      <c r="AR133" s="52">
        <f t="shared" si="336"/>
        <v>0</v>
      </c>
      <c r="AS133" s="11">
        <f>SUM(AL133:AR133)</f>
        <v>3314844.6713172505</v>
      </c>
      <c r="AU133" s="52">
        <f>AU132*0.335</f>
        <v>48989.813750000001</v>
      </c>
      <c r="AV133" s="52">
        <f t="shared" ref="AV133:BA133" si="337">AV132*0.335</f>
        <v>37076.766943750001</v>
      </c>
      <c r="AW133" s="52">
        <f t="shared" si="337"/>
        <v>0</v>
      </c>
      <c r="AX133" s="52"/>
      <c r="AY133" s="52">
        <f t="shared" si="337"/>
        <v>0</v>
      </c>
      <c r="AZ133" s="52">
        <f t="shared" si="337"/>
        <v>0</v>
      </c>
      <c r="BA133" s="52">
        <f t="shared" si="337"/>
        <v>0</v>
      </c>
      <c r="BB133" s="11">
        <f>SUM(AU133:BA133)</f>
        <v>86066.580693750002</v>
      </c>
      <c r="BD133" s="52">
        <f>BD132*0.335</f>
        <v>470567.96750000003</v>
      </c>
      <c r="BE133" s="52">
        <f t="shared" ref="BE133:BJ133" si="338">BE132*0.335</f>
        <v>21105</v>
      </c>
      <c r="BF133" s="52">
        <f t="shared" si="338"/>
        <v>9768.6</v>
      </c>
      <c r="BG133" s="52">
        <f t="shared" si="338"/>
        <v>0</v>
      </c>
      <c r="BH133" s="52">
        <f>BH132*0.335</f>
        <v>0</v>
      </c>
      <c r="BI133" s="52">
        <f t="shared" si="338"/>
        <v>0</v>
      </c>
      <c r="BJ133" s="52">
        <f t="shared" si="338"/>
        <v>0</v>
      </c>
      <c r="BK133" s="11">
        <f>SUM(BD133:BJ133)</f>
        <v>501441.5675</v>
      </c>
      <c r="BM133" s="52">
        <f>BM132*0.335</f>
        <v>95339.659999999989</v>
      </c>
      <c r="BN133" s="52">
        <f t="shared" ref="BN133:BO133" si="339">BN132*0.335</f>
        <v>0</v>
      </c>
      <c r="BO133" s="52">
        <f t="shared" si="339"/>
        <v>6214.25</v>
      </c>
      <c r="BP133" s="52"/>
      <c r="BQ133" s="52">
        <f t="shared" ref="BQ133:BS133" si="340">BQ132*0.335</f>
        <v>0</v>
      </c>
      <c r="BR133" s="52">
        <f t="shared" si="340"/>
        <v>0</v>
      </c>
      <c r="BS133" s="52">
        <f t="shared" si="340"/>
        <v>0</v>
      </c>
      <c r="BT133" s="11">
        <f>SUM(BM133:BS133)</f>
        <v>101553.90999999999</v>
      </c>
      <c r="BV133" s="5">
        <f t="shared" ref="BV133:CA140" si="341">B133+K133+T133+AC133+AL133+AU133+BD133+BM133</f>
        <v>10608837.933819002</v>
      </c>
      <c r="BW133" s="5">
        <f t="shared" si="341"/>
        <v>1597754.54048125</v>
      </c>
      <c r="BX133" s="5">
        <f t="shared" si="341"/>
        <v>168734.64250000002</v>
      </c>
      <c r="BY133" s="5">
        <f t="shared" si="341"/>
        <v>0</v>
      </c>
      <c r="BZ133" s="5">
        <f t="shared" si="341"/>
        <v>0</v>
      </c>
      <c r="CA133" s="5">
        <f t="shared" si="341"/>
        <v>0</v>
      </c>
      <c r="CB133" s="52">
        <f t="shared" ref="CB133" si="342">CB132*0.335</f>
        <v>0</v>
      </c>
      <c r="CC133" s="11">
        <f>SUM(BV133:CB133)</f>
        <v>12375327.116800252</v>
      </c>
    </row>
    <row r="134" spans="1:81">
      <c r="A134" s="29" t="s">
        <v>116</v>
      </c>
      <c r="B134" s="11">
        <f>B132*0.15</f>
        <v>536559.12932999991</v>
      </c>
      <c r="C134" s="11">
        <f t="shared" ref="C134:G134" si="343">C132*0.15</f>
        <v>75007.3125</v>
      </c>
      <c r="D134" s="11">
        <f t="shared" si="343"/>
        <v>9450</v>
      </c>
      <c r="E134" s="11">
        <f t="shared" si="343"/>
        <v>0</v>
      </c>
      <c r="F134" s="11">
        <f t="shared" si="343"/>
        <v>0</v>
      </c>
      <c r="G134" s="11">
        <f t="shared" si="343"/>
        <v>0</v>
      </c>
      <c r="H134" s="11">
        <f t="shared" ref="H134" si="344">((6750*H65)*0.8)+((175*H65)*0.825)+((70*H65)*0.825)+(H132*0.015)+(H132*0.031)</f>
        <v>0</v>
      </c>
      <c r="I134" s="11">
        <f>SUM(B134:H134)</f>
        <v>621016.44182999991</v>
      </c>
      <c r="J134" s="72"/>
      <c r="K134" s="11">
        <f>K132*0.15</f>
        <v>588303.38286749995</v>
      </c>
      <c r="L134" s="11">
        <f t="shared" ref="L134:P134" si="345">L132*0.15</f>
        <v>77426.825624999998</v>
      </c>
      <c r="M134" s="11">
        <f t="shared" si="345"/>
        <v>10373.324999999999</v>
      </c>
      <c r="N134" s="11">
        <f t="shared" si="345"/>
        <v>0</v>
      </c>
      <c r="O134" s="11">
        <f t="shared" si="345"/>
        <v>0</v>
      </c>
      <c r="P134" s="11">
        <f t="shared" si="345"/>
        <v>0</v>
      </c>
      <c r="Q134" s="11">
        <f t="shared" ref="Q134" si="346">((6750*Q65)*0.8)+((175*Q65)*0.825)+((70*Q65)*0.825)+(Q132*0.015)+(Q132*0.031)</f>
        <v>0</v>
      </c>
      <c r="R134" s="11">
        <f>SUM(K134:Q134)</f>
        <v>676103.53349249996</v>
      </c>
      <c r="T134" s="11">
        <f>T132*0.15</f>
        <v>716543.37245999998</v>
      </c>
      <c r="U134" s="11">
        <f t="shared" ref="U134:Y134" si="347">U132*0.15</f>
        <v>100786.90125000001</v>
      </c>
      <c r="V134" s="11">
        <f t="shared" si="347"/>
        <v>9396</v>
      </c>
      <c r="W134" s="11">
        <f t="shared" si="347"/>
        <v>0</v>
      </c>
      <c r="X134" s="11">
        <f t="shared" si="347"/>
        <v>0</v>
      </c>
      <c r="Y134" s="11">
        <f t="shared" si="347"/>
        <v>0</v>
      </c>
      <c r="Z134" s="11">
        <f t="shared" ref="Z134" si="348">((6750*Z65)*0.8)+((175*Z65)*0.825)+((70*Z65)*0.825)+(Z132*0.015)+(Z132*0.031)</f>
        <v>0</v>
      </c>
      <c r="AA134" s="11">
        <f>SUM(T134:Z134)</f>
        <v>826726.27370999998</v>
      </c>
      <c r="AC134" s="11">
        <f>AC132*0.15</f>
        <v>1384329.6540000001</v>
      </c>
      <c r="AD134" s="11">
        <f t="shared" ref="AD134:AH134" si="349">AD132*0.15</f>
        <v>235814.78099999999</v>
      </c>
      <c r="AE134" s="11">
        <f t="shared" si="349"/>
        <v>24745.5</v>
      </c>
      <c r="AF134" s="11">
        <f t="shared" si="349"/>
        <v>0</v>
      </c>
      <c r="AG134" s="11">
        <f t="shared" si="349"/>
        <v>0</v>
      </c>
      <c r="AH134" s="11">
        <f t="shared" si="349"/>
        <v>0</v>
      </c>
      <c r="AI134" s="11">
        <f t="shared" ref="AI134" si="350">((6750*AI65)*0.8)+((175*AI65)*0.825)+((70*AI65)*0.825)+(AI132*0.015)+(AI132*0.031)</f>
        <v>0</v>
      </c>
      <c r="AJ134" s="11">
        <f>SUM(AC134:AI134)</f>
        <v>1644889.9350000001</v>
      </c>
      <c r="AL134" s="11">
        <f>AL132*0.15</f>
        <v>1269502.1850525001</v>
      </c>
      <c r="AM134" s="11">
        <f t="shared" ref="AM134:AQ134" si="351">AM132*0.15</f>
        <v>200325.12299999996</v>
      </c>
      <c r="AN134" s="11">
        <f t="shared" si="351"/>
        <v>14431.5</v>
      </c>
      <c r="AO134" s="11">
        <f t="shared" si="351"/>
        <v>0</v>
      </c>
      <c r="AP134" s="11">
        <f t="shared" si="351"/>
        <v>0</v>
      </c>
      <c r="AQ134" s="11">
        <f t="shared" si="351"/>
        <v>0</v>
      </c>
      <c r="AR134" s="11">
        <f t="shared" ref="AR134" si="352">((6750*AR65)*0.8)+((175*AR65)*0.825)+((70*AR65)*0.825)+(AR132*0.015)+(AR132*0.031)</f>
        <v>0</v>
      </c>
      <c r="AS134" s="11">
        <f>SUM(AL134:AR134)</f>
        <v>1484258.8080525</v>
      </c>
      <c r="AU134" s="11">
        <f>AU132*0.15</f>
        <v>21935.737499999999</v>
      </c>
      <c r="AV134" s="11">
        <f t="shared" ref="AV134:AZ134" si="353">AV132*0.15</f>
        <v>16601.537437499999</v>
      </c>
      <c r="AW134" s="11">
        <f t="shared" si="353"/>
        <v>0</v>
      </c>
      <c r="AX134" s="11">
        <f t="shared" si="353"/>
        <v>0</v>
      </c>
      <c r="AY134" s="11">
        <f t="shared" si="353"/>
        <v>0</v>
      </c>
      <c r="AZ134" s="11">
        <f t="shared" si="353"/>
        <v>0</v>
      </c>
      <c r="BA134" s="11">
        <f t="shared" ref="BA134" si="354">((6750*BA65)*0.85)+((175*BA65)*0.85)+((70*BA65)*0.85)+(BA132*0.015)+(BA132*0.031)</f>
        <v>0</v>
      </c>
      <c r="BB134" s="11">
        <f>SUM(AU134:BA134)</f>
        <v>38537.274937499998</v>
      </c>
      <c r="BD134" s="11">
        <f>BD132*0.15</f>
        <v>210702.07499999998</v>
      </c>
      <c r="BE134" s="11">
        <f t="shared" ref="BE134:BI134" si="355">BE132*0.15</f>
        <v>9450</v>
      </c>
      <c r="BF134" s="11">
        <f t="shared" si="355"/>
        <v>4374</v>
      </c>
      <c r="BG134" s="11">
        <f t="shared" si="355"/>
        <v>0</v>
      </c>
      <c r="BH134" s="11">
        <f t="shared" si="355"/>
        <v>0</v>
      </c>
      <c r="BI134" s="11">
        <f t="shared" si="355"/>
        <v>0</v>
      </c>
      <c r="BJ134" s="11">
        <f t="shared" ref="BJ134" si="356">((6750*BJ65)*0.8)+((175*BJ65)*0.825)+((70*BJ65)*0.825)+(BJ132*0.015)+(BJ132*0.031)</f>
        <v>0</v>
      </c>
      <c r="BK134" s="11">
        <f>SUM(BD134:BJ134)</f>
        <v>224526.07499999998</v>
      </c>
      <c r="BM134" s="11">
        <f>BM132*0.15</f>
        <v>42689.399999999987</v>
      </c>
      <c r="BN134" s="11">
        <f t="shared" ref="BN134:BR134" si="357">BN132*0.15</f>
        <v>0</v>
      </c>
      <c r="BO134" s="11">
        <f t="shared" si="357"/>
        <v>2782.5</v>
      </c>
      <c r="BP134" s="11">
        <f t="shared" si="357"/>
        <v>0</v>
      </c>
      <c r="BQ134" s="11">
        <f t="shared" si="357"/>
        <v>0</v>
      </c>
      <c r="BR134" s="11">
        <f t="shared" si="357"/>
        <v>0</v>
      </c>
      <c r="BS134" s="11">
        <f t="shared" ref="BS134" si="358">((6850*BS65)*0.85)+((175*BS65)*0.85)+((70*BS65)*0.85)+(BS132*0.015)+(BS132*0.031)</f>
        <v>0</v>
      </c>
      <c r="BT134" s="11">
        <f>SUM(BM134:BS134)</f>
        <v>45471.899999999987</v>
      </c>
      <c r="BV134" s="5">
        <f t="shared" si="341"/>
        <v>4770564.9362100009</v>
      </c>
      <c r="BW134" s="5">
        <f t="shared" si="341"/>
        <v>715412.4808125</v>
      </c>
      <c r="BX134" s="5">
        <f t="shared" si="341"/>
        <v>75552.824999999997</v>
      </c>
      <c r="BY134" s="5">
        <f t="shared" si="341"/>
        <v>0</v>
      </c>
      <c r="BZ134" s="5">
        <f t="shared" si="341"/>
        <v>0</v>
      </c>
      <c r="CA134" s="5">
        <f t="shared" si="341"/>
        <v>0</v>
      </c>
      <c r="CB134" s="11">
        <f t="shared" ref="CB134" si="359">((6850*CB65)*0.85)+((175*CB65)*0.85)+((70*CB65)*0.85)+(CB132*0.015)+(CB132*0.031)</f>
        <v>0</v>
      </c>
      <c r="CC134" s="11">
        <f>SUM(BV134:CB134)</f>
        <v>5561530.2420225013</v>
      </c>
    </row>
    <row r="135" spans="1:81">
      <c r="A135" s="29" t="s">
        <v>117</v>
      </c>
      <c r="B135" s="11">
        <f>((2500*B39)+(2000*B40)+(1750*B41)+(1750*B42)+(1750*B43)+(1750*B44)+(1750*B45)+(1100*B46)+(1000*B47)+(500*B48)+(500*B49)+(500*B50)+(500*B51)+(500*B52)+(500*B53)+(1100*B54)+(1000*B55)+(1100*B56)+(1100*B57)+(1100*B58)+(500*B59)+(500*B60)+(1100*B36))*0.99+5000</f>
        <v>68459</v>
      </c>
      <c r="C135" s="11">
        <f t="shared" ref="C135:D135" si="360">((2500*C39)+(2000*C40)+(1750*C41)+(1750*C42)+(1750*C43)+(1750*C44)+(1750*C45)+(1100*C46)+(1000*C47)+(500*C48)+(500*C49)+(500*C50)+(500*C51)+(500*C52)+(500*C53)+(1100*C54)+(1000*C55)+(1100*C56)+(1100*C57)+(1100*C58)+(500*C59)+(500*C60)+(1100*C36))*0.99</f>
        <v>8514</v>
      </c>
      <c r="D135" s="11">
        <f t="shared" si="360"/>
        <v>990</v>
      </c>
      <c r="E135" s="11">
        <f t="shared" ref="E135:H135" si="361">((2000*E39)+(1750*E40)+(1500*E41)+(1500*E42)+(1500*E43)+(1500*E44)+(1500*E45)+(1000*E46)+(1000*E47)+(500*E48)+(500*E49)+(500*E50)+(500*E51)+(500*E52)+(500*E53)+(1000*E54)+(1000*E55)+(1000*E56)+(1000*E57)+(1000*E58)+(500*E59)+(500*E60)+(1000*E36))*0.99</f>
        <v>0</v>
      </c>
      <c r="F135" s="11">
        <f t="shared" si="361"/>
        <v>0</v>
      </c>
      <c r="G135" s="11">
        <f t="shared" si="361"/>
        <v>0</v>
      </c>
      <c r="H135" s="11">
        <f t="shared" si="361"/>
        <v>0</v>
      </c>
      <c r="I135" s="11">
        <f t="shared" ref="I135:I140" si="362">SUM(B135:H135)</f>
        <v>77963</v>
      </c>
      <c r="K135" s="11">
        <f>((2500*K39)+(2000*K40)+(1750*K41)+(1750*K42)+(1750*K43)+(1750*K44)+(1750*K45)+(1100*K46)+(1000*K47)+(500*K48)+(500*K49)+(500*K50)+(500*K51)+(500*K52)+(500*K53)+(1100*K54)+(1000*K55)+(1100*K56)+(1100*K57)+(1100*K58)+(500*K59)+(500*K60)+(1100*K36))*0.99+5000</f>
        <v>73805</v>
      </c>
      <c r="L135" s="11">
        <f t="shared" ref="L135:M135" si="363">((2500*L39)+(2000*L40)+(1750*L41)+(1750*L42)+(1750*L43)+(1750*L44)+(1750*L45)+(1100*L46)+(1000*L47)+(500*L48)+(500*L49)+(500*L50)+(500*L51)+(500*L52)+(500*L53)+(1100*L54)+(1000*L55)+(1100*L56)+(1100*L57)+(1100*L58)+(500*L59)+(500*L60)+(1100*L36))*0.99</f>
        <v>8514</v>
      </c>
      <c r="M135" s="11">
        <f t="shared" si="363"/>
        <v>990</v>
      </c>
      <c r="N135" s="11">
        <f t="shared" ref="N135:Q135" si="364">((2000*N39)+(1750*N40)+(1500*N41)+(1500*N42)+(1500*N43)+(1500*N44)+(1500*N45)+(1000*N46)+(1000*N47)+(500*N48)+(500*N49)+(500*N50)+(500*N51)+(500*N52)+(500*N53)+(1000*N54)+(1000*N55)+(1000*N56)+(1000*N57)+(1000*N58)+(500*N59)+(500*N60)+(1000*N36))*0.99</f>
        <v>0</v>
      </c>
      <c r="O135" s="11">
        <f t="shared" si="364"/>
        <v>0</v>
      </c>
      <c r="P135" s="11">
        <f t="shared" si="364"/>
        <v>0</v>
      </c>
      <c r="Q135" s="11">
        <f t="shared" si="364"/>
        <v>0</v>
      </c>
      <c r="R135" s="11">
        <f t="shared" ref="R135:R140" si="365">SUM(K135:Q135)</f>
        <v>83309</v>
      </c>
      <c r="T135" s="11">
        <f>((2500*T39)+(2000*T40)+(1750*T41)+(1750*T42)+(1750*T43)+(1750*T44)+(1750*T45)+(1100*T46)+(1000*T47)+(500*T48)+(500*T49)+(500*T50)+(500*T51)+(500*T52)+(500*T53)+(1100*T54)+(1000*T55)+(1100*T56)+(1100*T57)+(1100*T58)+(500*T59)+(500*T60)+(1100*T36))*0.99+5000</f>
        <v>86873</v>
      </c>
      <c r="U135" s="11">
        <f t="shared" ref="U135:V135" si="366">((2500*U39)+(2000*U40)+(1750*U41)+(1750*U42)+(1750*U43)+(1750*U44)+(1750*U45)+(1100*U46)+(1000*U47)+(500*U48)+(500*U49)+(500*U50)+(500*U51)+(500*U52)+(500*U53)+(1100*U54)+(1000*U55)+(1100*U56)+(1100*U57)+(1100*U58)+(500*U59)+(500*U60)+(1100*U36))*0.99</f>
        <v>11447.37</v>
      </c>
      <c r="V135" s="11">
        <f t="shared" si="366"/>
        <v>990</v>
      </c>
      <c r="W135" s="11">
        <f t="shared" ref="W135:Z135" si="367">((2000*W39)+(1750*W40)+(1500*W41)+(1500*W42)+(1500*W43)+(1500*W44)+(1500*W45)+(1000*W46)+(1000*W47)+(500*W48)+(500*W49)+(500*W50)+(500*W51)+(500*W52)+(500*W53)+(1000*W54)+(1000*W55)+(1000*W56)+(1000*W57)+(1000*W58)+(500*W59)+(500*W60)+(1000*W36))</f>
        <v>0</v>
      </c>
      <c r="X135" s="11">
        <f t="shared" si="367"/>
        <v>0</v>
      </c>
      <c r="Y135" s="11">
        <f t="shared" si="367"/>
        <v>0</v>
      </c>
      <c r="Z135" s="11">
        <f t="shared" si="367"/>
        <v>0</v>
      </c>
      <c r="AA135" s="11">
        <f t="shared" ref="AA135:AA140" si="368">SUM(T135:Z135)</f>
        <v>99310.37</v>
      </c>
      <c r="AC135" s="11">
        <f>((2500*AC39)+(2000*AC40)+(1750*AC41)+(1750*AC42)+(1750*AC43)+(1750*AC44)+(1750*AC45)+(1100*AC46)+(1000*AC47)+(500*AC48)+(500*AC49)+(500*AC50)+(500*AC51)+(500*AC52)+(500*AC53)+(1100*AC54)+(1000*AC55)+(1100*AC56)+(1100*AC57)+(1100*AC58)+(500*AC59)+(500*AC60)+(1100*AC36))*0.99+10000</f>
        <v>163697.5</v>
      </c>
      <c r="AD135" s="11">
        <f t="shared" ref="AD135:AE135" si="369">((2500*AD39)+(2000*AD40)+(1750*AD41)+(1750*AD42)+(1750*AD43)+(1750*AD44)+(1750*AD45)+(1100*AD46)+(1000*AD47)+(500*AD48)+(500*AD49)+(500*AD50)+(500*AD51)+(500*AD52)+(500*AD53)+(1100*AD54)+(1000*AD55)+(1100*AD56)+(1100*AD57)+(1100*AD58)+(500*AD59)+(500*AD60)+(1100*AD36))*0.99</f>
        <v>24849</v>
      </c>
      <c r="AE135" s="11">
        <f t="shared" si="369"/>
        <v>2970</v>
      </c>
      <c r="AF135" s="11">
        <f t="shared" ref="AF135:AI135" si="370">((2000*AF39)+(1750*AF40)+(1500*AF41)+(1500*AF42)+(1500*AF43)+(1500*AF44)+(1500*AF45)+(1000*AF46)+(1000*AF47)+(500*AF48)+(500*AF49)+(500*AF50)+(500*AF51)+(500*AF52)+(500*AF53)+(1000*AF54)+(1000*AF55)+(1000*AF56)+(1000*AF57)+(1000*AF58)+(500*AF59)+(500*AF60)+(1000*AF36))*0.99</f>
        <v>0</v>
      </c>
      <c r="AG135" s="11">
        <f t="shared" si="370"/>
        <v>0</v>
      </c>
      <c r="AH135" s="11">
        <f t="shared" si="370"/>
        <v>0</v>
      </c>
      <c r="AI135" s="11">
        <f t="shared" si="370"/>
        <v>0</v>
      </c>
      <c r="AJ135" s="11">
        <f t="shared" ref="AJ135:AJ140" si="371">SUM(AC135:AI135)</f>
        <v>191516.5</v>
      </c>
      <c r="AL135" s="11">
        <f>((2500*AL39)+(2000*AL40)+(1750*AL41)+(1750*AL42)+(1750*AL43)+(1750*AL44)+(1750*AL45)+(1100*AL46)+(1000*AL47)+(500*AL48)+(500*AL49)+(500*AL50)+(500*AL51)+(500*AL52)+(500*AL53)+(1100*AL54)+(1000*AL55)+(1100*AL56)+(1100*AL57)+(1100*AL58)+(500*AL59)+(500*AL60)+(1100*AL36))*0.99</f>
        <v>145332</v>
      </c>
      <c r="AM135" s="11">
        <f t="shared" ref="AM135:AN135" si="372">((2500*AM39)+(2000*AM40)+(1750*AM41)+(1750*AM42)+(1750*AM43)+(1750*AM44)+(1750*AM45)+(1100*AM46)+(1000*AM47)+(500*AM48)+(500*AM49)+(500*AM50)+(500*AM51)+(500*AM52)+(500*AM53)+(1100*AM54)+(1000*AM55)+(1100*AM56)+(1100*AM57)+(1100*AM58)+(500*AM59)+(500*AM60)+(1100*AM36))*0.99</f>
        <v>21730.5</v>
      </c>
      <c r="AN135" s="11">
        <f t="shared" si="372"/>
        <v>1980</v>
      </c>
      <c r="AO135" s="11">
        <f t="shared" ref="AO135:AR135" si="373">((2000*AO39)+(1750*AO40)+(1500*AO41)+(1500*AO42)+(1500*AO43)+(1500*AO44)+(1500*AO45)+(1000*AO46)+(1000*AO47)+(500*AO48)+(500*AO49)+(500*AO50)+(500*AO51)+(500*AO52)+(500*AO53)+(1000*AO54)+(1000*AO55)+(1000*AO56)+(1000*AO57)+(1000*AO58)+(500*AO59)+(500*AO60)+(1000*AO36))*0.99</f>
        <v>0</v>
      </c>
      <c r="AP135" s="11">
        <f t="shared" si="373"/>
        <v>0</v>
      </c>
      <c r="AQ135" s="11">
        <f t="shared" si="373"/>
        <v>0</v>
      </c>
      <c r="AR135" s="11">
        <f t="shared" si="373"/>
        <v>0</v>
      </c>
      <c r="AS135" s="11">
        <f t="shared" ref="AS135:AS140" si="374">SUM(AL135:AR135)</f>
        <v>169042.5</v>
      </c>
      <c r="AU135" s="11">
        <f>((2500*AU39)+(2000*AU40)+(1750*AU41)+(1750*AU42)+(1750*AU43)+(1750*AU44)+(1750*AU45)+(1100*AU46)+(1000*AU47)+(500*AU48)+(500*AU49)+(500*AU50)+(500*AU51)+(500*AU52)+(500*AU53)+(1100*AU54)+(1000*AU55)+(1100*AU56)+(1100*AU57)+(1100*AU58)+(500*AU59)+(500*AU60)+(1100*AU36))*0.99</f>
        <v>2722.5</v>
      </c>
      <c r="AV135" s="11">
        <f t="shared" ref="AV135:AW135" si="375">((2500*AV39)+(2000*AV40)+(1750*AV41)+(1750*AV42)+(1750*AV43)+(1750*AV44)+(1750*AV45)+(1100*AV46)+(1000*AV47)+(500*AV48)+(500*AV49)+(500*AV50)+(500*AV51)+(500*AV52)+(500*AV53)+(1100*AV54)+(1000*AV55)+(1100*AV56)+(1100*AV57)+(1100*AV58)+(500*AV59)+(500*AV60)+(1100*AV36))*0.99</f>
        <v>1584</v>
      </c>
      <c r="AW135" s="11">
        <f t="shared" si="375"/>
        <v>0</v>
      </c>
      <c r="AX135" s="11">
        <f t="shared" ref="AX135:AY135" si="376">((2000*AX39)+(1750*AX40)+(1500*AX41)+(1500*AX42)+(1500*AX43)+(1500*AX44)+(1500*AX45)+(1000*AX46)+(1000*AX47)+(500*AX48)+(500*AX49)+(500*AX50)+(500*AX51)+(500*AX52)+(500*AX53)+(1000*AX54)+(1000*AX55)+(1000*AX56)+(1000*AX57)+(1000*AX58)+(500*AX59)+(500*AX60)+(1000*AX36))</f>
        <v>0</v>
      </c>
      <c r="AY135" s="11">
        <f t="shared" si="376"/>
        <v>0</v>
      </c>
      <c r="AZ135" s="11">
        <f t="shared" ref="AZ135:BA135" si="377">((2000*AZ39)+(1750*AZ40)+(1500*AZ41)+(1500*AZ42)+(1500*AZ43)+(1500*AZ44)+(1500*AZ45)+(1000*AZ46)+(1000*AZ47)+(500*AZ48)+(500*AZ49)+(500*AZ50)+(500*AZ51)+(500*AZ52)+(500*AZ53)+(1000*AZ54)+(1000*AZ55)+(1000*AZ56)+(1000*AZ57)+(1000*AZ58)+(500*AZ59)+(500*AZ60)+(1000*AZ36))*0.99</f>
        <v>0</v>
      </c>
      <c r="BA135" s="11">
        <f t="shared" si="377"/>
        <v>0</v>
      </c>
      <c r="BB135" s="11">
        <f t="shared" ref="BB135:BB140" si="378">SUM(AU135:BA135)</f>
        <v>4306.5</v>
      </c>
      <c r="BD135" s="11">
        <f>((2500*BD39)+(2000*BD40)+(1750*BD41)+(1750*BD42)+(1750*BD43)+(1750*BD44)+(1750*BD45)+(1100*BD46)+(1000*BD47)+(500*BD48)+(500*BD49)+(500*BD50)+(500*BD51)+(500*BD52)+(500*BD53)+(1100*BD54)+(1000*BD55)+(1100*BD56)+(1100*BD57)+(1100*BD58)+(500*BD59)+(500*BD60)+(1100*BD36))*0.8</f>
        <v>21560</v>
      </c>
      <c r="BE135" s="11">
        <f>((2500*BE39)+(2000*BE40)+(1750*BE41)+(1750*BE42)+(1750*BE43)+(1750*BE44)+(1750*BE45)+(1100*BE46)+(1000*BE47)+(500*BE48)+(500*BE49)+(500*BE50)+(500*BE51)+(500*BE52)+(500*BE53)+(1100*BE54)+(1000*BE55)+(1100*BE56)+(1100*BE57)+(1100*BE58)+(500*BE59)+(500*BE60)+(1100*BE36))</f>
        <v>1100</v>
      </c>
      <c r="BF135" s="11">
        <f t="shared" ref="BF135" si="379">((2500*BF39)+(2000*BF40)+(1750*BF41)+(1750*BF42)+(1750*BF43)+(1750*BF44)+(1750*BF45)+(1100*BF46)+(1000*BF47)+(500*BF48)+(500*BF49)+(500*BF50)+(500*BF51)+(500*BF52)+(500*BF53)+(1100*BF54)+(1000*BF55)+(1100*BF56)+(1100*BF57)+(1100*BF58)+(500*BF59)+(500*BF60)+(1100*BF36))*0.99</f>
        <v>495</v>
      </c>
      <c r="BG135" s="11">
        <v>0</v>
      </c>
      <c r="BH135" s="11"/>
      <c r="BI135" s="11">
        <f t="shared" ref="BI135" si="380">((2000*BI39)+(1750*BI40)+(1500*BI41)+(1500*BI42)+(1500*BI43)+(1500*BI44)+(1500*BI45)+(1000*BI46)+(1000*BI47)+(500*BI48)+(500*BI49)+(500*BI50)+(500*BI51)+(500*BI52)+(500*BI53)+(1000*BI54)+(1000*BI55)+(1000*BI56)+(1000*BI57)+(1000*BI58)+(500*BI59)+(500*BI60)+(1000*BI36))*0.33</f>
        <v>0</v>
      </c>
      <c r="BJ135" s="11">
        <f t="shared" ref="BJ135" si="381">((2000*BJ39)+(1750*BJ40)+(1500*BJ41)+(1500*BJ42)+(1500*BJ43)+(1500*BJ44)+(1500*BJ45)+(1000*BJ46)+(1000*BJ47)+(500*BJ48)+(500*BJ49)+(500*BJ50)+(500*BJ51)+(500*BJ52)+(500*BJ53)+(1000*BJ54)+(1000*BJ55)+(1000*BJ56)+(1000*BJ57)+(1000*BJ58)+(500*BJ59)+(500*BJ60)+(1000*BJ36))*0.99</f>
        <v>0</v>
      </c>
      <c r="BK135" s="11">
        <f t="shared" ref="BK135:BK140" si="382">SUM(BD135:BJ135)</f>
        <v>23155</v>
      </c>
      <c r="BM135" s="11">
        <f>((2000*BM39)+(1750*BM40)+(1500*BM41)+(1500*BM42)+(1500*BM43)+(1500*BM44)+(1500*BM45)+(1000*BM46)+(1000*BM47)+(500*BM48)+(500*BM49)+(500*BM50)+(500*BM51)+(500*BM52)+(500*BM53)+(1000*BM54)+(1000*BM55)+(1000*BM56)+(1000*BM57)+(1000*BM58)+(500*BM59)+(500*BM60)+(1000*BM36))</f>
        <v>3750</v>
      </c>
      <c r="BN135" s="11">
        <f t="shared" ref="BN135:BS135" si="383">((2000*BN39)+(1750*BN40)+(1500*BN41)+(1500*BN42)+(1500*BN43)+(1500*BN44)+(1500*BN45)+(1000*BN46)+(1000*BN47)+(500*BN48)+(500*BN49)+(500*BN50)+(500*BN51)+(500*BN52)+(500*BN53)+(1000*BN54)+(1000*BN55)+(1000*BN56)+(1000*BN57)+(1000*BN58)+(500*BN59)+(500*BN60)+(1000*BN36))*0.99</f>
        <v>0</v>
      </c>
      <c r="BO135" s="11">
        <f>((2000*BO39)+(1750*BO40)+(1500*BO41)+(1500*BO42)+(1500*BO43)+(1500*BO44)+(1500*BO45)+(1000*BO46)+(1000*BO47)+(500*BO48)+(500*BO49)+(500*BO50)+(500*BO51)+(500*BO52)+(500*BO53)+(1000*BO54)+(1000*BO55)+(1000*BO56)+(1000*BO57)+(1000*BO58)+(500*BO59)+(500*BO60)+(1000*BO36))</f>
        <v>250</v>
      </c>
      <c r="BP135" s="11">
        <f t="shared" si="383"/>
        <v>0</v>
      </c>
      <c r="BQ135" s="11">
        <f t="shared" si="383"/>
        <v>0</v>
      </c>
      <c r="BR135" s="11">
        <f t="shared" si="383"/>
        <v>0</v>
      </c>
      <c r="BS135" s="11">
        <f t="shared" si="383"/>
        <v>0</v>
      </c>
      <c r="BT135" s="11">
        <f t="shared" ref="BT135:BT140" si="384">SUM(BM135:BS135)</f>
        <v>4000</v>
      </c>
      <c r="BV135" s="5">
        <f t="shared" si="341"/>
        <v>566199</v>
      </c>
      <c r="BW135" s="5">
        <f t="shared" si="341"/>
        <v>77738.87</v>
      </c>
      <c r="BX135" s="5">
        <f t="shared" si="341"/>
        <v>8665</v>
      </c>
      <c r="BY135" s="5">
        <f t="shared" si="341"/>
        <v>0</v>
      </c>
      <c r="BZ135" s="5">
        <f t="shared" si="341"/>
        <v>0</v>
      </c>
      <c r="CA135" s="5">
        <f t="shared" si="341"/>
        <v>0</v>
      </c>
      <c r="CB135" s="11">
        <f t="shared" ref="CB135" si="385">((2000*CB39)+(1750*CB40)+(1500*CB41)+(1500*CB42)+(1500*CB43)+(1500*CB44)+(1500*CB45)+(1000*CB46)+(1000*CB47)+(500*CB48)+(500*CB49)+(500*CB50)+(500*CB51)+(500*CB52)+(500*CB53)+(1000*CB54)+(1000*CB55)+(1000*CB56)+(1000*CB57)+(1000*CB58)+(500*CB59)+(500*CB60)+(1000*CB36))*0.99</f>
        <v>0</v>
      </c>
      <c r="CC135" s="11">
        <f t="shared" ref="CC135:CC140" si="386">SUM(BV135:CB135)</f>
        <v>652602.87</v>
      </c>
    </row>
    <row r="136" spans="1:81">
      <c r="A136" s="29" t="s">
        <v>118</v>
      </c>
      <c r="B136" s="11">
        <f>150*B65+(150*25)</f>
        <v>12675</v>
      </c>
      <c r="C136" s="11">
        <f>150*C65</f>
        <v>1500</v>
      </c>
      <c r="D136" s="11">
        <f>150*D65</f>
        <v>300</v>
      </c>
      <c r="E136" s="11"/>
      <c r="F136" s="11"/>
      <c r="G136" s="11">
        <f>125*G65</f>
        <v>0</v>
      </c>
      <c r="H136" s="11">
        <f>125*H65</f>
        <v>0</v>
      </c>
      <c r="I136" s="11">
        <f t="shared" si="362"/>
        <v>14475</v>
      </c>
      <c r="K136" s="11">
        <f>150*K65+(150*25)</f>
        <v>13650</v>
      </c>
      <c r="L136" s="11">
        <f>150*L65</f>
        <v>1500</v>
      </c>
      <c r="M136" s="11">
        <f>150*M65</f>
        <v>300</v>
      </c>
      <c r="N136" s="11"/>
      <c r="O136" s="11">
        <f>125*O65</f>
        <v>0</v>
      </c>
      <c r="P136" s="11">
        <f>125*P65</f>
        <v>0</v>
      </c>
      <c r="Q136" s="11">
        <f>125*Q65</f>
        <v>0</v>
      </c>
      <c r="R136" s="11">
        <f t="shared" si="365"/>
        <v>15450</v>
      </c>
      <c r="T136" s="11">
        <f>150*T65+(150*25)</f>
        <v>15450</v>
      </c>
      <c r="U136" s="11">
        <f>150*U65</f>
        <v>1999.5</v>
      </c>
      <c r="V136" s="11">
        <f>150*V65</f>
        <v>300</v>
      </c>
      <c r="W136" s="11">
        <f t="shared" ref="W136:Z136" si="387">125*W65</f>
        <v>0</v>
      </c>
      <c r="X136" s="11">
        <f t="shared" si="387"/>
        <v>0</v>
      </c>
      <c r="Y136" s="11">
        <f t="shared" si="387"/>
        <v>0</v>
      </c>
      <c r="Z136" s="11">
        <f t="shared" si="387"/>
        <v>0</v>
      </c>
      <c r="AA136" s="11">
        <f t="shared" si="368"/>
        <v>17749.5</v>
      </c>
      <c r="AC136" s="11">
        <f>150*AC65+(150*35)</f>
        <v>27300</v>
      </c>
      <c r="AD136" s="11">
        <f>150*AD65</f>
        <v>4500</v>
      </c>
      <c r="AE136" s="11">
        <f>150*AE65</f>
        <v>900</v>
      </c>
      <c r="AF136" s="11"/>
      <c r="AG136" s="11">
        <f>125*AG65</f>
        <v>0</v>
      </c>
      <c r="AH136" s="11">
        <f>125*AH65</f>
        <v>0</v>
      </c>
      <c r="AI136" s="11">
        <f>125*AI65</f>
        <v>0</v>
      </c>
      <c r="AJ136" s="11">
        <f t="shared" si="371"/>
        <v>32700</v>
      </c>
      <c r="AL136" s="11">
        <f>150*AL65+(150*25)</f>
        <v>24450</v>
      </c>
      <c r="AM136" s="11">
        <f>150*AM65</f>
        <v>3975</v>
      </c>
      <c r="AN136" s="11">
        <f>150*AN65</f>
        <v>600</v>
      </c>
      <c r="AO136" s="11"/>
      <c r="AP136" s="11">
        <f>125*AP65</f>
        <v>0</v>
      </c>
      <c r="AQ136" s="11">
        <f>125*AQ65</f>
        <v>0</v>
      </c>
      <c r="AR136" s="11">
        <f>125*AR65</f>
        <v>0</v>
      </c>
      <c r="AS136" s="11">
        <f t="shared" si="374"/>
        <v>29025</v>
      </c>
      <c r="AU136" s="11">
        <f>150*AU65+(150*5)</f>
        <v>1200</v>
      </c>
      <c r="AV136" s="11">
        <f>150*AV65</f>
        <v>300</v>
      </c>
      <c r="AW136" s="11">
        <f>150*AW65</f>
        <v>0</v>
      </c>
      <c r="AX136" s="11"/>
      <c r="AY136" s="11">
        <f>125*AY65</f>
        <v>0</v>
      </c>
      <c r="AZ136" s="11">
        <f>125*AZ65</f>
        <v>0</v>
      </c>
      <c r="BA136" s="11">
        <f>125*BA65</f>
        <v>0</v>
      </c>
      <c r="BB136" s="11">
        <f t="shared" si="378"/>
        <v>1500</v>
      </c>
      <c r="BD136" s="11">
        <f>150*BD65+(150*8)</f>
        <v>4800</v>
      </c>
      <c r="BE136" s="11">
        <f>150*BE65</f>
        <v>150</v>
      </c>
      <c r="BF136" s="11">
        <f>150*BF65</f>
        <v>150</v>
      </c>
      <c r="BG136" s="11"/>
      <c r="BH136" s="11"/>
      <c r="BI136" s="11">
        <f>125*BI65</f>
        <v>0</v>
      </c>
      <c r="BJ136" s="11">
        <f>125*BJ65</f>
        <v>0</v>
      </c>
      <c r="BK136" s="11">
        <f t="shared" si="382"/>
        <v>5100</v>
      </c>
      <c r="BM136" s="11">
        <f>150*BM65+(150*25)</f>
        <v>4275</v>
      </c>
      <c r="BN136" s="11">
        <f>125*BN65</f>
        <v>0</v>
      </c>
      <c r="BO136" s="11">
        <f>150*BO65</f>
        <v>75</v>
      </c>
      <c r="BP136" s="11"/>
      <c r="BQ136" s="11">
        <f>125*BQ65</f>
        <v>0</v>
      </c>
      <c r="BR136" s="11">
        <f>125*BR65</f>
        <v>0</v>
      </c>
      <c r="BS136" s="11">
        <f>125*BS65</f>
        <v>0</v>
      </c>
      <c r="BT136" s="11">
        <f t="shared" si="384"/>
        <v>4350</v>
      </c>
      <c r="BV136" s="5">
        <f t="shared" si="341"/>
        <v>103800</v>
      </c>
      <c r="BW136" s="5">
        <f t="shared" si="341"/>
        <v>13924.5</v>
      </c>
      <c r="BX136" s="5">
        <f t="shared" si="341"/>
        <v>2625</v>
      </c>
      <c r="BY136" s="5">
        <f t="shared" si="341"/>
        <v>0</v>
      </c>
      <c r="BZ136" s="5">
        <f t="shared" si="341"/>
        <v>0</v>
      </c>
      <c r="CA136" s="5">
        <f t="shared" si="341"/>
        <v>0</v>
      </c>
      <c r="CB136" s="11">
        <f>125*CB65</f>
        <v>0</v>
      </c>
      <c r="CC136" s="11">
        <f t="shared" si="386"/>
        <v>120349.5</v>
      </c>
    </row>
    <row r="137" spans="1:81">
      <c r="A137" s="29" t="s">
        <v>119</v>
      </c>
      <c r="B137" s="11">
        <v>2500</v>
      </c>
      <c r="C137" s="11"/>
      <c r="D137" s="11"/>
      <c r="E137" s="11"/>
      <c r="F137" s="11"/>
      <c r="G137" s="11"/>
      <c r="H137" s="11"/>
      <c r="I137" s="11">
        <f t="shared" si="362"/>
        <v>2500</v>
      </c>
      <c r="K137" s="11">
        <v>2500</v>
      </c>
      <c r="L137" s="11"/>
      <c r="M137" s="11"/>
      <c r="N137" s="11"/>
      <c r="O137" s="11">
        <v>0</v>
      </c>
      <c r="P137" s="11"/>
      <c r="Q137" s="11"/>
      <c r="R137" s="11">
        <f t="shared" si="365"/>
        <v>2500</v>
      </c>
      <c r="T137" s="11">
        <v>10000</v>
      </c>
      <c r="U137" s="11"/>
      <c r="V137" s="11"/>
      <c r="W137" s="11"/>
      <c r="X137" s="11">
        <v>0</v>
      </c>
      <c r="Y137" s="11"/>
      <c r="Z137" s="11"/>
      <c r="AA137" s="11">
        <f t="shared" si="368"/>
        <v>10000</v>
      </c>
      <c r="AC137" s="11">
        <v>2500</v>
      </c>
      <c r="AD137" s="11"/>
      <c r="AE137" s="11"/>
      <c r="AF137" s="11"/>
      <c r="AG137" s="11">
        <v>0</v>
      </c>
      <c r="AH137" s="11"/>
      <c r="AI137" s="11"/>
      <c r="AJ137" s="11">
        <f t="shared" si="371"/>
        <v>2500</v>
      </c>
      <c r="AL137" s="11">
        <v>2500</v>
      </c>
      <c r="AM137" s="11"/>
      <c r="AN137" s="11"/>
      <c r="AO137" s="11"/>
      <c r="AP137" s="11">
        <v>0</v>
      </c>
      <c r="AQ137" s="11"/>
      <c r="AR137" s="11"/>
      <c r="AS137" s="11">
        <f t="shared" si="374"/>
        <v>2500</v>
      </c>
      <c r="AU137" s="11">
        <f>(115*(AU17+10)*12)+6000+15000+7000</f>
        <v>235000</v>
      </c>
      <c r="AV137" s="11">
        <v>17500</v>
      </c>
      <c r="AW137" s="11"/>
      <c r="AX137" s="11"/>
      <c r="AY137" s="11">
        <v>0</v>
      </c>
      <c r="AZ137" s="11"/>
      <c r="BA137" s="11"/>
      <c r="BB137" s="11">
        <f t="shared" si="378"/>
        <v>252500</v>
      </c>
      <c r="BD137" s="11">
        <v>0</v>
      </c>
      <c r="BE137" s="11"/>
      <c r="BF137" s="11"/>
      <c r="BG137" s="11"/>
      <c r="BH137" s="11">
        <v>0</v>
      </c>
      <c r="BI137" s="11"/>
      <c r="BJ137" s="11"/>
      <c r="BK137" s="11">
        <f t="shared" si="382"/>
        <v>0</v>
      </c>
      <c r="BM137" s="11">
        <v>0</v>
      </c>
      <c r="BN137" s="11"/>
      <c r="BO137" s="11"/>
      <c r="BP137" s="11"/>
      <c r="BQ137" s="11">
        <v>0</v>
      </c>
      <c r="BR137" s="11"/>
      <c r="BS137" s="11"/>
      <c r="BT137" s="11">
        <f t="shared" si="384"/>
        <v>0</v>
      </c>
      <c r="BV137" s="5">
        <f t="shared" si="341"/>
        <v>255000</v>
      </c>
      <c r="BW137" s="5">
        <f t="shared" si="341"/>
        <v>17500</v>
      </c>
      <c r="BX137" s="5">
        <f t="shared" si="341"/>
        <v>0</v>
      </c>
      <c r="BY137" s="5">
        <f t="shared" si="341"/>
        <v>0</v>
      </c>
      <c r="BZ137" s="5">
        <f t="shared" si="341"/>
        <v>0</v>
      </c>
      <c r="CA137" s="5">
        <f t="shared" si="341"/>
        <v>0</v>
      </c>
      <c r="CB137" s="11"/>
      <c r="CC137" s="11">
        <f t="shared" si="386"/>
        <v>272500</v>
      </c>
    </row>
    <row r="138" spans="1:81">
      <c r="A138" s="29" t="s">
        <v>120</v>
      </c>
      <c r="B138" s="11">
        <v>0</v>
      </c>
      <c r="C138" s="11">
        <v>0</v>
      </c>
      <c r="D138" s="11">
        <v>0</v>
      </c>
      <c r="E138" s="11"/>
      <c r="F138" s="11"/>
      <c r="G138" s="11"/>
      <c r="H138" s="11"/>
      <c r="I138" s="11">
        <f t="shared" si="362"/>
        <v>0</v>
      </c>
      <c r="K138" s="11">
        <v>0</v>
      </c>
      <c r="L138" s="11">
        <v>0</v>
      </c>
      <c r="M138" s="11">
        <v>0</v>
      </c>
      <c r="N138" s="11"/>
      <c r="O138" s="11"/>
      <c r="P138" s="11"/>
      <c r="Q138" s="11"/>
      <c r="R138" s="11">
        <f t="shared" si="365"/>
        <v>0</v>
      </c>
      <c r="T138" s="11">
        <v>0</v>
      </c>
      <c r="U138" s="11">
        <v>0</v>
      </c>
      <c r="V138" s="11">
        <v>0</v>
      </c>
      <c r="W138" s="11"/>
      <c r="X138" s="11"/>
      <c r="Y138" s="11"/>
      <c r="Z138" s="11"/>
      <c r="AA138" s="11">
        <f t="shared" si="368"/>
        <v>0</v>
      </c>
      <c r="AC138" s="11">
        <v>0</v>
      </c>
      <c r="AD138" s="11">
        <v>0</v>
      </c>
      <c r="AE138" s="11">
        <v>0</v>
      </c>
      <c r="AF138" s="11"/>
      <c r="AG138" s="11"/>
      <c r="AH138" s="11"/>
      <c r="AI138" s="11"/>
      <c r="AJ138" s="11">
        <f t="shared" si="371"/>
        <v>0</v>
      </c>
      <c r="AL138" s="11">
        <v>0</v>
      </c>
      <c r="AM138" s="11">
        <v>0</v>
      </c>
      <c r="AN138" s="11">
        <v>0</v>
      </c>
      <c r="AO138" s="11"/>
      <c r="AP138" s="11"/>
      <c r="AQ138" s="11"/>
      <c r="AR138" s="11"/>
      <c r="AS138" s="11">
        <f t="shared" si="374"/>
        <v>0</v>
      </c>
      <c r="AU138" s="11">
        <v>0</v>
      </c>
      <c r="AV138" s="11">
        <v>0</v>
      </c>
      <c r="AW138" s="11">
        <v>0</v>
      </c>
      <c r="AX138" s="11"/>
      <c r="AY138" s="11"/>
      <c r="AZ138" s="11"/>
      <c r="BA138" s="11"/>
      <c r="BB138" s="11">
        <f t="shared" si="378"/>
        <v>0</v>
      </c>
      <c r="BD138" s="11">
        <v>0</v>
      </c>
      <c r="BE138" s="11">
        <v>0</v>
      </c>
      <c r="BF138" s="11">
        <v>0</v>
      </c>
      <c r="BG138" s="11"/>
      <c r="BH138" s="11"/>
      <c r="BI138" s="11"/>
      <c r="BJ138" s="11"/>
      <c r="BK138" s="11">
        <f t="shared" si="382"/>
        <v>0</v>
      </c>
      <c r="BM138" s="11">
        <v>0</v>
      </c>
      <c r="BN138" s="11">
        <v>0</v>
      </c>
      <c r="BO138" s="11">
        <v>0</v>
      </c>
      <c r="BP138" s="11"/>
      <c r="BQ138" s="11"/>
      <c r="BR138" s="11"/>
      <c r="BS138" s="11"/>
      <c r="BT138" s="11">
        <f t="shared" si="384"/>
        <v>0</v>
      </c>
      <c r="BV138" s="5">
        <f t="shared" si="341"/>
        <v>0</v>
      </c>
      <c r="BW138" s="5">
        <f t="shared" si="341"/>
        <v>0</v>
      </c>
      <c r="BX138" s="5">
        <f t="shared" si="341"/>
        <v>0</v>
      </c>
      <c r="BY138" s="5">
        <f t="shared" si="341"/>
        <v>0</v>
      </c>
      <c r="BZ138" s="5">
        <f t="shared" si="341"/>
        <v>0</v>
      </c>
      <c r="CA138" s="5">
        <f t="shared" si="341"/>
        <v>0</v>
      </c>
      <c r="CB138" s="11"/>
      <c r="CC138" s="11">
        <f t="shared" si="386"/>
        <v>0</v>
      </c>
    </row>
    <row r="139" spans="1:81">
      <c r="A139" s="29" t="s">
        <v>121</v>
      </c>
      <c r="B139" s="11">
        <v>10000</v>
      </c>
      <c r="C139" s="11"/>
      <c r="D139" s="11"/>
      <c r="E139" s="11"/>
      <c r="F139" s="11"/>
      <c r="G139" s="11"/>
      <c r="H139" s="11"/>
      <c r="I139" s="5">
        <f t="shared" si="362"/>
        <v>10000</v>
      </c>
      <c r="K139" s="11">
        <v>10000</v>
      </c>
      <c r="L139" s="11"/>
      <c r="M139" s="11"/>
      <c r="N139" s="11"/>
      <c r="O139" s="11"/>
      <c r="P139" s="11"/>
      <c r="Q139" s="11"/>
      <c r="R139" s="5">
        <f t="shared" si="365"/>
        <v>10000</v>
      </c>
      <c r="T139" s="11">
        <v>12000</v>
      </c>
      <c r="U139" s="11"/>
      <c r="V139" s="11"/>
      <c r="W139" s="11"/>
      <c r="X139" s="11"/>
      <c r="Y139" s="11"/>
      <c r="Z139" s="11"/>
      <c r="AA139" s="5">
        <f t="shared" si="368"/>
        <v>12000</v>
      </c>
      <c r="AC139" s="11">
        <v>15000</v>
      </c>
      <c r="AD139" s="11"/>
      <c r="AE139" s="11"/>
      <c r="AF139" s="11"/>
      <c r="AG139" s="11"/>
      <c r="AH139" s="11"/>
      <c r="AI139" s="11"/>
      <c r="AJ139" s="5">
        <f t="shared" si="371"/>
        <v>15000</v>
      </c>
      <c r="AL139" s="11">
        <v>15000</v>
      </c>
      <c r="AM139" s="11"/>
      <c r="AN139" s="11"/>
      <c r="AO139" s="11"/>
      <c r="AP139" s="11"/>
      <c r="AQ139" s="11"/>
      <c r="AR139" s="11"/>
      <c r="AS139" s="5">
        <f t="shared" si="374"/>
        <v>15000</v>
      </c>
      <c r="AU139" s="11">
        <v>2500</v>
      </c>
      <c r="AV139" s="11"/>
      <c r="AW139" s="11"/>
      <c r="AX139" s="11"/>
      <c r="AY139" s="11"/>
      <c r="AZ139" s="11"/>
      <c r="BA139" s="11"/>
      <c r="BB139" s="5">
        <f t="shared" si="378"/>
        <v>2500</v>
      </c>
      <c r="BD139" s="11">
        <v>2500</v>
      </c>
      <c r="BE139" s="11"/>
      <c r="BF139" s="11"/>
      <c r="BG139" s="11"/>
      <c r="BH139" s="11"/>
      <c r="BI139" s="11"/>
      <c r="BJ139" s="11"/>
      <c r="BK139" s="5">
        <f t="shared" si="382"/>
        <v>2500</v>
      </c>
      <c r="BM139" s="11">
        <v>0</v>
      </c>
      <c r="BN139" s="11"/>
      <c r="BO139" s="11"/>
      <c r="BP139" s="11"/>
      <c r="BQ139" s="11"/>
      <c r="BR139" s="11"/>
      <c r="BS139" s="11"/>
      <c r="BT139" s="5">
        <f t="shared" si="384"/>
        <v>0</v>
      </c>
      <c r="BV139" s="5">
        <f t="shared" si="341"/>
        <v>67000</v>
      </c>
      <c r="BW139" s="5">
        <f t="shared" si="341"/>
        <v>0</v>
      </c>
      <c r="BX139" s="5">
        <f t="shared" si="341"/>
        <v>0</v>
      </c>
      <c r="BY139" s="5">
        <f t="shared" si="341"/>
        <v>0</v>
      </c>
      <c r="BZ139" s="5">
        <f t="shared" si="341"/>
        <v>0</v>
      </c>
      <c r="CA139" s="5">
        <f t="shared" si="341"/>
        <v>0</v>
      </c>
      <c r="CB139" s="11"/>
      <c r="CC139" s="5">
        <f t="shared" si="386"/>
        <v>67000</v>
      </c>
    </row>
    <row r="140" spans="1:81">
      <c r="A140" s="29" t="s">
        <v>122</v>
      </c>
      <c r="B140" s="35">
        <f>(190*11*(B36))-B130</f>
        <v>55235</v>
      </c>
      <c r="C140" s="35">
        <f t="shared" ref="C140:G140" si="388">(190*11*(C36))-C130</f>
        <v>10450</v>
      </c>
      <c r="D140" s="35">
        <f t="shared" si="388"/>
        <v>0</v>
      </c>
      <c r="E140" s="35">
        <f t="shared" si="388"/>
        <v>0</v>
      </c>
      <c r="F140" s="35">
        <f t="shared" si="388"/>
        <v>0</v>
      </c>
      <c r="G140" s="35">
        <f t="shared" si="388"/>
        <v>0</v>
      </c>
      <c r="H140" s="35">
        <f t="shared" ref="H140" si="389">(175*11*(H36))-H130</f>
        <v>0</v>
      </c>
      <c r="I140" s="5">
        <f t="shared" si="362"/>
        <v>65685</v>
      </c>
      <c r="K140" s="35">
        <f>(190*11*(K36))-K130</f>
        <v>60460</v>
      </c>
      <c r="L140" s="35">
        <f t="shared" ref="L140:P140" si="390">(190*11*(L36))-L130</f>
        <v>8360</v>
      </c>
      <c r="M140" s="35">
        <f t="shared" si="390"/>
        <v>0</v>
      </c>
      <c r="N140" s="35">
        <f t="shared" si="390"/>
        <v>0</v>
      </c>
      <c r="O140" s="35">
        <f t="shared" si="390"/>
        <v>0</v>
      </c>
      <c r="P140" s="35">
        <f t="shared" si="390"/>
        <v>0</v>
      </c>
      <c r="Q140" s="35">
        <f t="shared" ref="Q140" si="391">(175*11*(Q36))-Q130</f>
        <v>0</v>
      </c>
      <c r="R140" s="5">
        <f t="shared" si="365"/>
        <v>68820</v>
      </c>
      <c r="T140" s="35">
        <f>(190*11*(T36))-T130</f>
        <v>54040</v>
      </c>
      <c r="U140" s="35">
        <f t="shared" ref="U140:Z140" si="392">(190*11*(U36))-U130</f>
        <v>10450</v>
      </c>
      <c r="V140" s="35">
        <f t="shared" si="392"/>
        <v>0</v>
      </c>
      <c r="W140" s="35">
        <f t="shared" si="392"/>
        <v>0</v>
      </c>
      <c r="X140" s="35">
        <f t="shared" si="392"/>
        <v>0</v>
      </c>
      <c r="Y140" s="35">
        <f t="shared" si="392"/>
        <v>0</v>
      </c>
      <c r="Z140" s="35">
        <f t="shared" si="392"/>
        <v>0</v>
      </c>
      <c r="AA140" s="5">
        <f t="shared" si="368"/>
        <v>64490</v>
      </c>
      <c r="AC140" s="35">
        <f>(190*11*(AC36))-AC130</f>
        <v>110320</v>
      </c>
      <c r="AD140" s="35">
        <f t="shared" ref="AD140:AH140" si="393">(190*11*(AD36))-AD130</f>
        <v>27170</v>
      </c>
      <c r="AE140" s="35">
        <f t="shared" si="393"/>
        <v>0</v>
      </c>
      <c r="AF140" s="35">
        <f t="shared" si="393"/>
        <v>0</v>
      </c>
      <c r="AG140" s="35">
        <f t="shared" si="393"/>
        <v>0</v>
      </c>
      <c r="AH140" s="35">
        <f t="shared" si="393"/>
        <v>0</v>
      </c>
      <c r="AI140" s="35">
        <f t="shared" ref="AI140" si="394">(175*11*(AI36))-AI130</f>
        <v>0</v>
      </c>
      <c r="AJ140" s="5">
        <f t="shared" si="371"/>
        <v>137490</v>
      </c>
      <c r="AL140" s="35">
        <f>(190*11*(AL36))-AL130</f>
        <v>74640</v>
      </c>
      <c r="AM140" s="35">
        <f>(190*11*(AM36))-AM130</f>
        <v>25080</v>
      </c>
      <c r="AN140" s="35">
        <f t="shared" ref="AN140:AO140" si="395">(185*11*(AN36))-AN130</f>
        <v>0</v>
      </c>
      <c r="AO140" s="35">
        <f t="shared" si="395"/>
        <v>0</v>
      </c>
      <c r="AP140" s="35">
        <f t="shared" ref="AP140:AR140" si="396">(175*11*(AP36))-AP130</f>
        <v>0</v>
      </c>
      <c r="AQ140" s="35">
        <f t="shared" si="396"/>
        <v>0</v>
      </c>
      <c r="AR140" s="35">
        <f t="shared" si="396"/>
        <v>0</v>
      </c>
      <c r="AS140" s="5">
        <f t="shared" si="374"/>
        <v>99720</v>
      </c>
      <c r="AU140" s="35">
        <f>(190*11*(AU36))-AU130</f>
        <v>0</v>
      </c>
      <c r="AV140" s="35">
        <f t="shared" ref="AV140:AZ140" si="397">(190*11*(AV36))-AV130</f>
        <v>2090</v>
      </c>
      <c r="AW140" s="35">
        <f t="shared" si="397"/>
        <v>0</v>
      </c>
      <c r="AX140" s="35">
        <f t="shared" si="397"/>
        <v>0</v>
      </c>
      <c r="AY140" s="35">
        <f t="shared" si="397"/>
        <v>0</v>
      </c>
      <c r="AZ140" s="35">
        <f t="shared" si="397"/>
        <v>0</v>
      </c>
      <c r="BA140" s="35">
        <f t="shared" ref="BA140" si="398">(175*11*(BA36))-BA130</f>
        <v>0</v>
      </c>
      <c r="BB140" s="5">
        <f t="shared" si="378"/>
        <v>2090</v>
      </c>
      <c r="BD140" s="35">
        <f>(190*11*(BD36))-BD130</f>
        <v>33440</v>
      </c>
      <c r="BE140" s="35">
        <f t="shared" ref="BE140:BI140" si="399">(190*11*(BE36))-BE130</f>
        <v>2090</v>
      </c>
      <c r="BF140" s="35">
        <f t="shared" si="399"/>
        <v>0</v>
      </c>
      <c r="BG140" s="35">
        <f t="shared" si="399"/>
        <v>0</v>
      </c>
      <c r="BH140" s="35">
        <f t="shared" si="399"/>
        <v>0</v>
      </c>
      <c r="BI140" s="35">
        <f t="shared" si="399"/>
        <v>0</v>
      </c>
      <c r="BJ140" s="35">
        <f t="shared" ref="BJ140" si="400">(175*11*(BJ36))-BJ130</f>
        <v>0</v>
      </c>
      <c r="BK140" s="5">
        <f t="shared" si="382"/>
        <v>35530</v>
      </c>
      <c r="BM140" s="35">
        <v>0</v>
      </c>
      <c r="BN140" s="35">
        <f t="shared" ref="BN140:BP140" si="401">(185*11*(BN36))-BN130</f>
        <v>0</v>
      </c>
      <c r="BO140" s="35">
        <f t="shared" si="401"/>
        <v>0</v>
      </c>
      <c r="BP140" s="35">
        <f t="shared" si="401"/>
        <v>0</v>
      </c>
      <c r="BQ140" s="35">
        <f t="shared" ref="BQ140:BS140" si="402">(175*11*(BQ36))-BQ130</f>
        <v>0</v>
      </c>
      <c r="BR140" s="35">
        <f t="shared" si="402"/>
        <v>0</v>
      </c>
      <c r="BS140" s="35">
        <f t="shared" si="402"/>
        <v>0</v>
      </c>
      <c r="BT140" s="5">
        <f t="shared" si="384"/>
        <v>0</v>
      </c>
      <c r="BV140" s="5">
        <f t="shared" si="341"/>
        <v>388135</v>
      </c>
      <c r="BW140" s="5">
        <f t="shared" si="341"/>
        <v>85690</v>
      </c>
      <c r="BX140" s="5">
        <f t="shared" si="341"/>
        <v>0</v>
      </c>
      <c r="BY140" s="5">
        <f t="shared" si="341"/>
        <v>0</v>
      </c>
      <c r="BZ140" s="5">
        <f t="shared" si="341"/>
        <v>0</v>
      </c>
      <c r="CA140" s="5">
        <f t="shared" si="341"/>
        <v>0</v>
      </c>
      <c r="CB140" s="35">
        <f t="shared" ref="CB140" si="403">(175*11*(CB36))-CB130</f>
        <v>0</v>
      </c>
      <c r="CC140" s="5">
        <f t="shared" si="386"/>
        <v>473825</v>
      </c>
    </row>
    <row r="141" spans="1:81" ht="15">
      <c r="A141" s="73" t="s">
        <v>123</v>
      </c>
      <c r="B141" s="74">
        <f>SUM(B133:B140)</f>
        <v>1883743.518167</v>
      </c>
      <c r="C141" s="74">
        <f t="shared" ref="C141:H141" si="404">SUM(C133:C140)</f>
        <v>262987.64375000005</v>
      </c>
      <c r="D141" s="74">
        <f t="shared" si="404"/>
        <v>31845</v>
      </c>
      <c r="E141" s="74">
        <f t="shared" si="404"/>
        <v>0</v>
      </c>
      <c r="F141" s="74">
        <f t="shared" si="404"/>
        <v>0</v>
      </c>
      <c r="G141" s="74">
        <f t="shared" si="404"/>
        <v>0</v>
      </c>
      <c r="H141" s="74">
        <f t="shared" si="404"/>
        <v>0</v>
      </c>
      <c r="I141" s="74">
        <f>SUM(I133:I140)</f>
        <v>2178576.1619170001</v>
      </c>
      <c r="J141" s="7"/>
      <c r="K141" s="74">
        <f>SUM(K133:K140)</f>
        <v>2062595.9379382499</v>
      </c>
      <c r="L141" s="74">
        <f t="shared" ref="L141:Q141" si="405">SUM(L133:L140)</f>
        <v>268720.73618750001</v>
      </c>
      <c r="M141" s="74">
        <f t="shared" si="405"/>
        <v>34830.417500000003</v>
      </c>
      <c r="N141" s="74"/>
      <c r="O141" s="74">
        <f t="shared" si="405"/>
        <v>0</v>
      </c>
      <c r="P141" s="74">
        <f t="shared" si="405"/>
        <v>0</v>
      </c>
      <c r="Q141" s="74">
        <f t="shared" si="405"/>
        <v>0</v>
      </c>
      <c r="R141" s="74">
        <f>SUM(R133:R140)</f>
        <v>2366147.0916257501</v>
      </c>
      <c r="T141" s="74">
        <f>SUM(T133:T140)</f>
        <v>2449762.8139040004</v>
      </c>
      <c r="U141" s="74">
        <f t="shared" ref="U141:Z141" si="406">SUM(U133:U140)</f>
        <v>349774.51737500005</v>
      </c>
      <c r="V141" s="74">
        <f t="shared" si="406"/>
        <v>31670.400000000001</v>
      </c>
      <c r="W141" s="74"/>
      <c r="X141" s="74">
        <f t="shared" si="406"/>
        <v>0</v>
      </c>
      <c r="Y141" s="74">
        <f t="shared" si="406"/>
        <v>0</v>
      </c>
      <c r="Z141" s="74">
        <f t="shared" si="406"/>
        <v>0</v>
      </c>
      <c r="AA141" s="74">
        <f>SUM(AA133:AA140)</f>
        <v>2831207.7312790002</v>
      </c>
      <c r="AC141" s="74">
        <f>SUM(AC133:AC140)</f>
        <v>4794816.7146000005</v>
      </c>
      <c r="AD141" s="74">
        <f t="shared" ref="AD141:AI141" si="407">SUM(AD133:AD140)</f>
        <v>818986.79189999995</v>
      </c>
      <c r="AE141" s="74">
        <f t="shared" si="407"/>
        <v>83880.450000000012</v>
      </c>
      <c r="AF141" s="74">
        <f t="shared" si="407"/>
        <v>0</v>
      </c>
      <c r="AG141" s="74">
        <f t="shared" si="407"/>
        <v>0</v>
      </c>
      <c r="AH141" s="74">
        <f t="shared" si="407"/>
        <v>0</v>
      </c>
      <c r="AI141" s="74">
        <f t="shared" si="407"/>
        <v>0</v>
      </c>
      <c r="AJ141" s="74">
        <f>SUM(AJ133:AJ140)</f>
        <v>5697683.9565000013</v>
      </c>
      <c r="AL141" s="74">
        <f>SUM(AL133:AL140)</f>
        <v>4366645.7316697501</v>
      </c>
      <c r="AM141" s="74">
        <f t="shared" ref="AM141:AR141" si="408">SUM(AM133:AM140)</f>
        <v>698503.39769999986</v>
      </c>
      <c r="AN141" s="74">
        <f t="shared" si="408"/>
        <v>49241.850000000006</v>
      </c>
      <c r="AO141" s="74">
        <f t="shared" si="408"/>
        <v>0</v>
      </c>
      <c r="AP141" s="74">
        <f t="shared" si="408"/>
        <v>0</v>
      </c>
      <c r="AQ141" s="74">
        <f t="shared" si="408"/>
        <v>0</v>
      </c>
      <c r="AR141" s="74">
        <f t="shared" si="408"/>
        <v>0</v>
      </c>
      <c r="AS141" s="74">
        <f>SUM(AS133:AS140)</f>
        <v>5114390.9793697502</v>
      </c>
      <c r="AU141" s="74">
        <f>SUM(AU133:AU140)</f>
        <v>312348.05125000002</v>
      </c>
      <c r="AV141" s="74">
        <f t="shared" ref="AV141:BA141" si="409">SUM(AV133:AV140)</f>
        <v>75152.304381249996</v>
      </c>
      <c r="AW141" s="74">
        <f t="shared" si="409"/>
        <v>0</v>
      </c>
      <c r="AX141" s="74">
        <f t="shared" si="409"/>
        <v>0</v>
      </c>
      <c r="AY141" s="74">
        <f t="shared" si="409"/>
        <v>0</v>
      </c>
      <c r="AZ141" s="74">
        <f t="shared" si="409"/>
        <v>0</v>
      </c>
      <c r="BA141" s="74">
        <f t="shared" si="409"/>
        <v>0</v>
      </c>
      <c r="BB141" s="74">
        <f>SUM(BB133:BB140)</f>
        <v>387500.35563125001</v>
      </c>
      <c r="BD141" s="74">
        <f>SUM(BD133:BD140)</f>
        <v>743570.04249999998</v>
      </c>
      <c r="BE141" s="74">
        <f t="shared" ref="BE141:BJ141" si="410">SUM(BE133:BE140)</f>
        <v>33895</v>
      </c>
      <c r="BF141" s="74">
        <f t="shared" si="410"/>
        <v>14787.6</v>
      </c>
      <c r="BG141" s="74">
        <f t="shared" si="410"/>
        <v>0</v>
      </c>
      <c r="BH141" s="74">
        <f t="shared" si="410"/>
        <v>0</v>
      </c>
      <c r="BI141" s="74">
        <f t="shared" si="410"/>
        <v>0</v>
      </c>
      <c r="BJ141" s="74">
        <f t="shared" si="410"/>
        <v>0</v>
      </c>
      <c r="BK141" s="74">
        <f>SUM(BK133:BK140)</f>
        <v>792252.64249999996</v>
      </c>
      <c r="BM141" s="74">
        <f>SUM(BM133:BM140)</f>
        <v>146054.05999999997</v>
      </c>
      <c r="BN141" s="74">
        <f t="shared" ref="BN141:BS141" si="411">SUM(BN133:BN140)</f>
        <v>0</v>
      </c>
      <c r="BO141" s="74">
        <f t="shared" si="411"/>
        <v>9321.75</v>
      </c>
      <c r="BP141" s="74">
        <f t="shared" si="411"/>
        <v>0</v>
      </c>
      <c r="BQ141" s="74">
        <f t="shared" si="411"/>
        <v>0</v>
      </c>
      <c r="BR141" s="74">
        <f t="shared" si="411"/>
        <v>0</v>
      </c>
      <c r="BS141" s="74">
        <f t="shared" si="411"/>
        <v>0</v>
      </c>
      <c r="BT141" s="74">
        <f>SUM(BT133:BT140)</f>
        <v>155375.80999999997</v>
      </c>
      <c r="BV141" s="74">
        <f>SUM(BV133:BV140)</f>
        <v>16759536.870029002</v>
      </c>
      <c r="BW141" s="74">
        <f t="shared" ref="BW141:CB141" si="412">SUM(BW133:BW140)</f>
        <v>2508020.3912937501</v>
      </c>
      <c r="BX141" s="74">
        <f t="shared" si="412"/>
        <v>255577.46750000003</v>
      </c>
      <c r="BY141" s="74">
        <f t="shared" si="412"/>
        <v>0</v>
      </c>
      <c r="BZ141" s="74">
        <f t="shared" si="412"/>
        <v>0</v>
      </c>
      <c r="CA141" s="74">
        <f t="shared" si="412"/>
        <v>0</v>
      </c>
      <c r="CB141" s="74">
        <f t="shared" si="412"/>
        <v>0</v>
      </c>
      <c r="CC141" s="74">
        <f>SUM(CC133:CC140)</f>
        <v>19523134.728822757</v>
      </c>
    </row>
    <row r="142" spans="1:81" ht="15">
      <c r="A142" s="70" t="s">
        <v>124</v>
      </c>
      <c r="B142" s="71">
        <f t="shared" ref="B142:I142" si="413">B132+B141</f>
        <v>5460804.3803669997</v>
      </c>
      <c r="C142" s="71">
        <f t="shared" si="413"/>
        <v>763036.39375000005</v>
      </c>
      <c r="D142" s="71">
        <f t="shared" si="413"/>
        <v>94845</v>
      </c>
      <c r="E142" s="71">
        <f t="shared" si="413"/>
        <v>0</v>
      </c>
      <c r="F142" s="71">
        <f t="shared" si="413"/>
        <v>0</v>
      </c>
      <c r="G142" s="71">
        <f t="shared" si="413"/>
        <v>0</v>
      </c>
      <c r="H142" s="71">
        <f t="shared" si="413"/>
        <v>0</v>
      </c>
      <c r="I142" s="71">
        <f t="shared" si="413"/>
        <v>6318685.7741170004</v>
      </c>
      <c r="J142" s="7"/>
      <c r="K142" s="71">
        <f t="shared" ref="K142:R142" si="414">K132+K141</f>
        <v>5984618.49038825</v>
      </c>
      <c r="L142" s="71">
        <f t="shared" si="414"/>
        <v>784899.57368749997</v>
      </c>
      <c r="M142" s="71">
        <f t="shared" si="414"/>
        <v>103985.91750000001</v>
      </c>
      <c r="N142" s="71"/>
      <c r="O142" s="71">
        <f t="shared" si="414"/>
        <v>0</v>
      </c>
      <c r="P142" s="71">
        <f t="shared" si="414"/>
        <v>0</v>
      </c>
      <c r="Q142" s="71">
        <f t="shared" si="414"/>
        <v>0</v>
      </c>
      <c r="R142" s="71">
        <f t="shared" si="414"/>
        <v>6873503.9815757498</v>
      </c>
      <c r="T142" s="71">
        <f t="shared" ref="T142:AA142" si="415">T132+T141</f>
        <v>7226718.6303040003</v>
      </c>
      <c r="U142" s="71">
        <f t="shared" si="415"/>
        <v>1021687.1923750001</v>
      </c>
      <c r="V142" s="71">
        <f t="shared" si="415"/>
        <v>94310.399999999994</v>
      </c>
      <c r="W142" s="71"/>
      <c r="X142" s="71">
        <f t="shared" si="415"/>
        <v>0</v>
      </c>
      <c r="Y142" s="71">
        <f t="shared" si="415"/>
        <v>0</v>
      </c>
      <c r="Z142" s="71">
        <f t="shared" si="415"/>
        <v>0</v>
      </c>
      <c r="AA142" s="71">
        <f t="shared" si="415"/>
        <v>8342716.2226790003</v>
      </c>
      <c r="AC142" s="71">
        <f t="shared" ref="AC142:AJ142" si="416">AC132+AC141</f>
        <v>14023681.074600002</v>
      </c>
      <c r="AD142" s="71">
        <f t="shared" si="416"/>
        <v>2391085.3319000001</v>
      </c>
      <c r="AE142" s="71">
        <f t="shared" si="416"/>
        <v>248850.45</v>
      </c>
      <c r="AF142" s="71">
        <f t="shared" si="416"/>
        <v>0</v>
      </c>
      <c r="AG142" s="71">
        <f t="shared" si="416"/>
        <v>0</v>
      </c>
      <c r="AH142" s="71">
        <f t="shared" si="416"/>
        <v>0</v>
      </c>
      <c r="AI142" s="71">
        <f t="shared" si="416"/>
        <v>0</v>
      </c>
      <c r="AJ142" s="71">
        <f t="shared" si="416"/>
        <v>16663616.856500002</v>
      </c>
      <c r="AL142" s="71">
        <f t="shared" ref="AL142:AS142" si="417">AL132+AL141</f>
        <v>12829993.632019751</v>
      </c>
      <c r="AM142" s="71">
        <f t="shared" si="417"/>
        <v>2034004.2176999997</v>
      </c>
      <c r="AN142" s="71">
        <f t="shared" si="417"/>
        <v>145451.85</v>
      </c>
      <c r="AO142" s="71">
        <f t="shared" si="417"/>
        <v>0</v>
      </c>
      <c r="AP142" s="71">
        <f t="shared" si="417"/>
        <v>0</v>
      </c>
      <c r="AQ142" s="71">
        <f t="shared" si="417"/>
        <v>0</v>
      </c>
      <c r="AR142" s="71">
        <f t="shared" si="417"/>
        <v>0</v>
      </c>
      <c r="AS142" s="71">
        <f t="shared" si="417"/>
        <v>15009449.699719751</v>
      </c>
      <c r="AU142" s="71">
        <f t="shared" ref="AU142:BB142" si="418">AU132+AU141</f>
        <v>458586.30125000002</v>
      </c>
      <c r="AV142" s="71">
        <f t="shared" si="418"/>
        <v>185829.22063125001</v>
      </c>
      <c r="AW142" s="71">
        <f t="shared" si="418"/>
        <v>0</v>
      </c>
      <c r="AX142" s="71">
        <f t="shared" si="418"/>
        <v>0</v>
      </c>
      <c r="AY142" s="71">
        <f t="shared" si="418"/>
        <v>0</v>
      </c>
      <c r="AZ142" s="71">
        <f t="shared" si="418"/>
        <v>0</v>
      </c>
      <c r="BA142" s="71">
        <f t="shared" si="418"/>
        <v>0</v>
      </c>
      <c r="BB142" s="71">
        <f t="shared" si="418"/>
        <v>644415.52188124997</v>
      </c>
      <c r="BD142" s="71">
        <f t="shared" ref="BD142:BK142" si="419">BD132+BD141</f>
        <v>2148250.5425</v>
      </c>
      <c r="BE142" s="71">
        <f t="shared" si="419"/>
        <v>96895</v>
      </c>
      <c r="BF142" s="71">
        <f t="shared" si="419"/>
        <v>43947.6</v>
      </c>
      <c r="BG142" s="71">
        <f t="shared" si="419"/>
        <v>0</v>
      </c>
      <c r="BH142" s="71">
        <f t="shared" si="419"/>
        <v>0</v>
      </c>
      <c r="BI142" s="71">
        <f t="shared" si="419"/>
        <v>0</v>
      </c>
      <c r="BJ142" s="71">
        <f t="shared" si="419"/>
        <v>0</v>
      </c>
      <c r="BK142" s="71">
        <f t="shared" si="419"/>
        <v>2289093.1425000001</v>
      </c>
      <c r="BM142" s="71">
        <f t="shared" ref="BM142:BT142" si="420">BM132+BM141</f>
        <v>430650.05999999994</v>
      </c>
      <c r="BN142" s="71">
        <f t="shared" si="420"/>
        <v>0</v>
      </c>
      <c r="BO142" s="71">
        <f t="shared" si="420"/>
        <v>27871.75</v>
      </c>
      <c r="BP142" s="71">
        <f t="shared" si="420"/>
        <v>0</v>
      </c>
      <c r="BQ142" s="71">
        <f t="shared" si="420"/>
        <v>0</v>
      </c>
      <c r="BR142" s="71">
        <f t="shared" si="420"/>
        <v>0</v>
      </c>
      <c r="BS142" s="71">
        <f t="shared" si="420"/>
        <v>0</v>
      </c>
      <c r="BT142" s="71">
        <f t="shared" si="420"/>
        <v>458521.80999999994</v>
      </c>
      <c r="BV142" s="71">
        <f t="shared" ref="BV142:CC142" si="421">BV132+BV141</f>
        <v>48563303.111429006</v>
      </c>
      <c r="BW142" s="71">
        <f t="shared" si="421"/>
        <v>7277436.9300437495</v>
      </c>
      <c r="BX142" s="71">
        <f t="shared" si="421"/>
        <v>759262.96750000003</v>
      </c>
      <c r="BY142" s="71">
        <f t="shared" si="421"/>
        <v>0</v>
      </c>
      <c r="BZ142" s="71">
        <f t="shared" si="421"/>
        <v>0</v>
      </c>
      <c r="CA142" s="71">
        <f t="shared" si="421"/>
        <v>0</v>
      </c>
      <c r="CB142" s="71">
        <f t="shared" si="421"/>
        <v>0</v>
      </c>
      <c r="CC142" s="71">
        <f t="shared" si="421"/>
        <v>56600003.008972764</v>
      </c>
    </row>
    <row r="143" spans="1:81" ht="15">
      <c r="A143" s="75" t="s">
        <v>125</v>
      </c>
      <c r="B143" s="18" t="str">
        <f t="shared" ref="B143:I143" si="422">B1</f>
        <v>Operating</v>
      </c>
      <c r="C143" s="18" t="str">
        <f t="shared" si="422"/>
        <v>SPED</v>
      </c>
      <c r="D143" s="18" t="str">
        <f t="shared" si="422"/>
        <v>NSLP</v>
      </c>
      <c r="E143" s="18" t="str">
        <f t="shared" si="422"/>
        <v>Other</v>
      </c>
      <c r="F143" s="18" t="str">
        <f t="shared" si="422"/>
        <v>Title I</v>
      </c>
      <c r="G143" s="18" t="str">
        <f t="shared" si="422"/>
        <v>SGF</v>
      </c>
      <c r="H143" s="18" t="str">
        <f t="shared" si="422"/>
        <v>Title III</v>
      </c>
      <c r="I143" s="18" t="str">
        <f t="shared" si="422"/>
        <v>Horizon</v>
      </c>
      <c r="J143" s="7"/>
      <c r="K143" s="18" t="str">
        <f t="shared" ref="K143:R143" si="423">K1</f>
        <v>Operating</v>
      </c>
      <c r="L143" s="18" t="str">
        <f t="shared" si="423"/>
        <v>SPED</v>
      </c>
      <c r="M143" s="18" t="str">
        <f t="shared" si="423"/>
        <v>NSLP</v>
      </c>
      <c r="N143" s="18" t="str">
        <f t="shared" si="423"/>
        <v>Other</v>
      </c>
      <c r="O143" s="18" t="str">
        <f t="shared" si="423"/>
        <v>Title I</v>
      </c>
      <c r="P143" s="18" t="str">
        <f t="shared" si="423"/>
        <v>SGF</v>
      </c>
      <c r="Q143" s="18" t="str">
        <f t="shared" si="423"/>
        <v>Title III</v>
      </c>
      <c r="R143" s="18" t="str">
        <f t="shared" si="423"/>
        <v>St. Rose</v>
      </c>
      <c r="T143" s="18" t="str">
        <f t="shared" ref="T143:AA143" si="424">T1</f>
        <v>Operating</v>
      </c>
      <c r="U143" s="18" t="str">
        <f t="shared" si="424"/>
        <v>SPED</v>
      </c>
      <c r="V143" s="18" t="str">
        <f t="shared" si="424"/>
        <v>NSLP</v>
      </c>
      <c r="W143" s="18" t="str">
        <f t="shared" si="424"/>
        <v>Other</v>
      </c>
      <c r="X143" s="18" t="str">
        <f t="shared" si="424"/>
        <v>Title I</v>
      </c>
      <c r="Y143" s="18" t="str">
        <f t="shared" si="424"/>
        <v>SGF</v>
      </c>
      <c r="Z143" s="18" t="str">
        <f t="shared" si="424"/>
        <v>Title III</v>
      </c>
      <c r="AA143" s="18" t="str">
        <f t="shared" si="424"/>
        <v>Inspirada</v>
      </c>
      <c r="AC143" s="18" t="str">
        <f t="shared" ref="AC143:AJ143" si="425">AC1</f>
        <v>Operating</v>
      </c>
      <c r="AD143" s="18" t="str">
        <f t="shared" si="425"/>
        <v>SPED</v>
      </c>
      <c r="AE143" s="18" t="str">
        <f t="shared" si="425"/>
        <v>NSLP</v>
      </c>
      <c r="AF143" s="18" t="str">
        <f t="shared" si="425"/>
        <v>Other</v>
      </c>
      <c r="AG143" s="18" t="str">
        <f t="shared" si="425"/>
        <v>Title I</v>
      </c>
      <c r="AH143" s="18" t="str">
        <f t="shared" si="425"/>
        <v>SGF</v>
      </c>
      <c r="AI143" s="18" t="str">
        <f t="shared" si="425"/>
        <v>Title III</v>
      </c>
      <c r="AJ143" s="18" t="str">
        <f t="shared" si="425"/>
        <v>Cadence</v>
      </c>
      <c r="AL143" s="18" t="str">
        <f t="shared" ref="AL143:AS143" si="426">AL1</f>
        <v>Operating</v>
      </c>
      <c r="AM143" s="18" t="str">
        <f t="shared" si="426"/>
        <v>SPED</v>
      </c>
      <c r="AN143" s="18" t="str">
        <f t="shared" si="426"/>
        <v>NSLP</v>
      </c>
      <c r="AO143" s="18" t="str">
        <f t="shared" si="426"/>
        <v>Other</v>
      </c>
      <c r="AP143" s="18" t="str">
        <f t="shared" si="426"/>
        <v>Title I</v>
      </c>
      <c r="AQ143" s="18" t="str">
        <f t="shared" si="426"/>
        <v>SGF</v>
      </c>
      <c r="AR143" s="18" t="str">
        <f t="shared" si="426"/>
        <v>Title III</v>
      </c>
      <c r="AS143" s="18" t="str">
        <f t="shared" si="426"/>
        <v>Sloan</v>
      </c>
      <c r="AU143" s="18" t="str">
        <f t="shared" ref="AU143:BB143" si="427">AU1</f>
        <v>Operating</v>
      </c>
      <c r="AV143" s="18" t="str">
        <f t="shared" si="427"/>
        <v>SPED</v>
      </c>
      <c r="AW143" s="18" t="str">
        <f t="shared" si="427"/>
        <v>NSLP</v>
      </c>
      <c r="AX143" s="18" t="str">
        <f t="shared" si="427"/>
        <v>Other</v>
      </c>
      <c r="AY143" s="18" t="str">
        <f t="shared" si="427"/>
        <v>Title I</v>
      </c>
      <c r="AZ143" s="18" t="str">
        <f t="shared" si="427"/>
        <v>SGF</v>
      </c>
      <c r="BA143" s="18" t="str">
        <f t="shared" si="427"/>
        <v>Title III</v>
      </c>
      <c r="BB143" s="18" t="str">
        <f t="shared" si="427"/>
        <v>Virtual</v>
      </c>
      <c r="BD143" s="18" t="str">
        <f t="shared" ref="BD143:BK143" si="428">BD1</f>
        <v>Operating</v>
      </c>
      <c r="BE143" s="18" t="str">
        <f t="shared" si="428"/>
        <v>SPED</v>
      </c>
      <c r="BF143" s="18" t="str">
        <f t="shared" si="428"/>
        <v>NSLP</v>
      </c>
      <c r="BG143" s="18" t="str">
        <f t="shared" si="428"/>
        <v>Other</v>
      </c>
      <c r="BH143" s="18" t="str">
        <f t="shared" si="428"/>
        <v>Title I</v>
      </c>
      <c r="BI143" s="18" t="str">
        <f t="shared" si="428"/>
        <v>SGF</v>
      </c>
      <c r="BJ143" s="18" t="str">
        <f t="shared" si="428"/>
        <v>Title III</v>
      </c>
      <c r="BK143" s="18" t="str">
        <f t="shared" si="428"/>
        <v>Springs</v>
      </c>
      <c r="BM143" s="18" t="str">
        <f t="shared" ref="BM143:BT143" si="429">BM1</f>
        <v>Operating</v>
      </c>
      <c r="BN143" s="18" t="str">
        <f t="shared" si="429"/>
        <v>SPED</v>
      </c>
      <c r="BO143" s="18" t="str">
        <f t="shared" si="429"/>
        <v>NSLP</v>
      </c>
      <c r="BP143" s="18" t="str">
        <f t="shared" si="429"/>
        <v>Other</v>
      </c>
      <c r="BQ143" s="18" t="str">
        <f t="shared" si="429"/>
        <v>Title I</v>
      </c>
      <c r="BR143" s="18" t="str">
        <f t="shared" si="429"/>
        <v>SGF</v>
      </c>
      <c r="BS143" s="18" t="str">
        <f t="shared" si="429"/>
        <v>Title III</v>
      </c>
      <c r="BT143" s="18" t="str">
        <f t="shared" si="429"/>
        <v>Exec. Office</v>
      </c>
      <c r="BV143" s="18" t="str">
        <f t="shared" ref="BV143:CC143" si="430">BV1</f>
        <v>Operating</v>
      </c>
      <c r="BW143" s="18" t="str">
        <f t="shared" si="430"/>
        <v>SPED</v>
      </c>
      <c r="BX143" s="18" t="str">
        <f t="shared" si="430"/>
        <v>NSLP</v>
      </c>
      <c r="BY143" s="18" t="str">
        <f t="shared" si="430"/>
        <v>Other</v>
      </c>
      <c r="BZ143" s="18" t="str">
        <f t="shared" si="430"/>
        <v>Title I</v>
      </c>
      <c r="CA143" s="18" t="str">
        <f t="shared" si="430"/>
        <v>SGF</v>
      </c>
      <c r="CB143" s="18" t="str">
        <f t="shared" si="430"/>
        <v>Title III</v>
      </c>
      <c r="CC143" s="18" t="str">
        <f t="shared" si="430"/>
        <v>Systemwide</v>
      </c>
    </row>
    <row r="144" spans="1:81">
      <c r="A144" s="76" t="s">
        <v>126</v>
      </c>
      <c r="B144" s="5">
        <f>210*B17</f>
        <v>190890</v>
      </c>
      <c r="C144" s="11"/>
      <c r="D144" s="11"/>
      <c r="E144" s="11"/>
      <c r="F144" s="11"/>
      <c r="G144" s="11"/>
      <c r="H144" s="11"/>
      <c r="I144" s="5">
        <f t="shared" ref="I144:I152" si="431">SUM(B144:H144)</f>
        <v>190890</v>
      </c>
      <c r="K144" s="5">
        <f>210*K17</f>
        <v>216720</v>
      </c>
      <c r="L144" s="11"/>
      <c r="M144" s="11"/>
      <c r="N144" s="11"/>
      <c r="O144" s="11"/>
      <c r="P144" s="11"/>
      <c r="Q144" s="11"/>
      <c r="R144" s="5">
        <f t="shared" ref="R144:R152" si="432">SUM(K144:Q144)</f>
        <v>216720</v>
      </c>
      <c r="T144" s="5">
        <f>210*T17</f>
        <v>261450</v>
      </c>
      <c r="U144" s="11"/>
      <c r="V144" s="11"/>
      <c r="W144" s="11"/>
      <c r="X144" s="11"/>
      <c r="Y144" s="11"/>
      <c r="Z144" s="11"/>
      <c r="AA144" s="5">
        <f t="shared" ref="AA144:AA152" si="433">SUM(T144:Z144)</f>
        <v>261450</v>
      </c>
      <c r="AC144" s="5">
        <f>210*AC17</f>
        <v>512400</v>
      </c>
      <c r="AD144" s="11"/>
      <c r="AE144" s="11"/>
      <c r="AF144" s="11"/>
      <c r="AG144" s="11"/>
      <c r="AH144" s="11"/>
      <c r="AI144" s="11"/>
      <c r="AJ144" s="5">
        <f t="shared" ref="AJ144:AJ152" si="434">SUM(AC144:AI144)</f>
        <v>512400</v>
      </c>
      <c r="AL144" s="5">
        <f>210*AL17</f>
        <v>484890</v>
      </c>
      <c r="AM144" s="11"/>
      <c r="AN144" s="11"/>
      <c r="AO144" s="11"/>
      <c r="AP144" s="11"/>
      <c r="AQ144" s="11"/>
      <c r="AR144" s="11"/>
      <c r="AS144" s="5">
        <f t="shared" ref="AS144:AS152" si="435">SUM(AL144:AR144)</f>
        <v>484890</v>
      </c>
      <c r="AU144" s="5">
        <f>210*AU17</f>
        <v>29400</v>
      </c>
      <c r="AV144" s="11"/>
      <c r="AW144" s="11"/>
      <c r="AX144" s="11"/>
      <c r="AY144" s="11"/>
      <c r="AZ144" s="11"/>
      <c r="BA144" s="11"/>
      <c r="BB144" s="5">
        <f t="shared" ref="BB144:BB152" si="436">SUM(AU144:BA144)</f>
        <v>29400</v>
      </c>
      <c r="BD144" s="5">
        <f>210*BD17</f>
        <v>72660</v>
      </c>
      <c r="BE144" s="11"/>
      <c r="BF144" s="11"/>
      <c r="BG144" s="11"/>
      <c r="BH144" s="11"/>
      <c r="BI144" s="11"/>
      <c r="BJ144" s="11"/>
      <c r="BK144" s="5">
        <f t="shared" ref="BK144:BK152" si="437">SUM(BD144:BJ144)</f>
        <v>72660</v>
      </c>
      <c r="BM144" s="5">
        <f>(150*BM17)</f>
        <v>0</v>
      </c>
      <c r="BN144" s="11"/>
      <c r="BO144" s="11"/>
      <c r="BP144" s="11"/>
      <c r="BQ144" s="11"/>
      <c r="BR144" s="11"/>
      <c r="BS144" s="11"/>
      <c r="BT144" s="5">
        <f t="shared" ref="BT144:BT152" si="438">SUM(BM144:BS144)</f>
        <v>0</v>
      </c>
      <c r="BV144" s="5">
        <f t="shared" ref="BV144:CA153" si="439">B144+K144+T144+AC144+AL144+AU144+BD144+BM144</f>
        <v>1768410</v>
      </c>
      <c r="BW144" s="5">
        <f t="shared" si="439"/>
        <v>0</v>
      </c>
      <c r="BX144" s="5">
        <f t="shared" si="439"/>
        <v>0</v>
      </c>
      <c r="BY144" s="5">
        <f t="shared" si="439"/>
        <v>0</v>
      </c>
      <c r="BZ144" s="5">
        <f t="shared" si="439"/>
        <v>0</v>
      </c>
      <c r="CA144" s="5">
        <f t="shared" si="439"/>
        <v>0</v>
      </c>
      <c r="CB144" s="11"/>
      <c r="CC144" s="5">
        <f t="shared" ref="CC144:CC152" si="440">SUM(BV144:CB144)</f>
        <v>1768410</v>
      </c>
    </row>
    <row r="145" spans="1:81">
      <c r="A145" s="77" t="s">
        <v>127</v>
      </c>
      <c r="B145" s="5">
        <v>0</v>
      </c>
      <c r="C145" s="11"/>
      <c r="D145" s="11"/>
      <c r="E145" s="11"/>
      <c r="F145" s="11"/>
      <c r="G145" s="11"/>
      <c r="H145" s="11"/>
      <c r="I145" s="5">
        <f t="shared" si="431"/>
        <v>0</v>
      </c>
      <c r="K145" s="5">
        <v>0</v>
      </c>
      <c r="L145" s="11"/>
      <c r="M145" s="11"/>
      <c r="N145" s="11"/>
      <c r="O145" s="11"/>
      <c r="P145" s="11"/>
      <c r="Q145" s="11"/>
      <c r="R145" s="5">
        <f t="shared" si="432"/>
        <v>0</v>
      </c>
      <c r="T145" s="5">
        <v>0</v>
      </c>
      <c r="U145" s="11"/>
      <c r="V145" s="11"/>
      <c r="W145" s="11"/>
      <c r="X145" s="11"/>
      <c r="Y145" s="11"/>
      <c r="Z145" s="11"/>
      <c r="AA145" s="5">
        <f t="shared" si="433"/>
        <v>0</v>
      </c>
      <c r="AC145" s="99">
        <f>175000+AC94</f>
        <v>175000</v>
      </c>
      <c r="AD145" s="11"/>
      <c r="AE145" s="11"/>
      <c r="AF145" s="11"/>
      <c r="AG145" s="11"/>
      <c r="AH145" s="11"/>
      <c r="AI145" s="11"/>
      <c r="AJ145" s="5">
        <f t="shared" si="434"/>
        <v>175000</v>
      </c>
      <c r="AL145" s="11">
        <v>185000</v>
      </c>
      <c r="AM145" s="11"/>
      <c r="AN145" s="11"/>
      <c r="AO145" s="11"/>
      <c r="AP145" s="11"/>
      <c r="AQ145" s="11"/>
      <c r="AR145" s="11"/>
      <c r="AS145" s="5">
        <f t="shared" si="435"/>
        <v>185000</v>
      </c>
      <c r="AU145" s="11">
        <f>5*400*8</f>
        <v>16000</v>
      </c>
      <c r="AV145" s="11"/>
      <c r="AW145" s="11"/>
      <c r="AX145" s="11"/>
      <c r="AY145" s="11"/>
      <c r="AZ145" s="11"/>
      <c r="BA145" s="11"/>
      <c r="BB145" s="5">
        <f t="shared" si="436"/>
        <v>16000</v>
      </c>
      <c r="BD145" s="5">
        <v>0</v>
      </c>
      <c r="BE145" s="11"/>
      <c r="BF145" s="11"/>
      <c r="BG145" s="11"/>
      <c r="BH145" s="11"/>
      <c r="BI145" s="11"/>
      <c r="BJ145" s="11"/>
      <c r="BK145" s="5">
        <f t="shared" si="437"/>
        <v>0</v>
      </c>
      <c r="BM145" s="5">
        <v>0</v>
      </c>
      <c r="BN145" s="11"/>
      <c r="BO145" s="11"/>
      <c r="BP145" s="11"/>
      <c r="BQ145" s="11"/>
      <c r="BR145" s="11"/>
      <c r="BS145" s="11"/>
      <c r="BT145" s="5">
        <f t="shared" si="438"/>
        <v>0</v>
      </c>
      <c r="BV145" s="5">
        <f t="shared" si="439"/>
        <v>376000</v>
      </c>
      <c r="BW145" s="5">
        <f t="shared" si="439"/>
        <v>0</v>
      </c>
      <c r="BX145" s="5">
        <f t="shared" si="439"/>
        <v>0</v>
      </c>
      <c r="BY145" s="5">
        <f t="shared" si="439"/>
        <v>0</v>
      </c>
      <c r="BZ145" s="5">
        <f t="shared" si="439"/>
        <v>0</v>
      </c>
      <c r="CA145" s="5">
        <f t="shared" si="439"/>
        <v>0</v>
      </c>
      <c r="CB145" s="11"/>
      <c r="CC145" s="5">
        <f t="shared" si="440"/>
        <v>376000</v>
      </c>
    </row>
    <row r="146" spans="1:81">
      <c r="A146" s="29" t="s">
        <v>128</v>
      </c>
      <c r="B146" s="11"/>
      <c r="C146" s="11"/>
      <c r="D146" s="11"/>
      <c r="E146" s="11">
        <v>0</v>
      </c>
      <c r="F146" s="11"/>
      <c r="G146" s="11"/>
      <c r="H146" s="11"/>
      <c r="I146" s="5">
        <f t="shared" si="431"/>
        <v>0</v>
      </c>
      <c r="K146" s="11"/>
      <c r="L146" s="11"/>
      <c r="M146" s="11"/>
      <c r="N146" s="11"/>
      <c r="O146" s="11"/>
      <c r="P146" s="11"/>
      <c r="Q146" s="11"/>
      <c r="R146" s="5">
        <f t="shared" si="432"/>
        <v>0</v>
      </c>
      <c r="T146" s="11">
        <v>0</v>
      </c>
      <c r="U146" s="11"/>
      <c r="V146" s="11"/>
      <c r="W146" s="11"/>
      <c r="X146" s="11"/>
      <c r="Y146" s="11"/>
      <c r="Z146" s="11"/>
      <c r="AA146" s="5">
        <f t="shared" si="433"/>
        <v>0</v>
      </c>
      <c r="AC146" s="11">
        <f>1400*100</f>
        <v>140000</v>
      </c>
      <c r="AD146" s="11"/>
      <c r="AE146" s="11"/>
      <c r="AF146" s="11"/>
      <c r="AG146" s="11"/>
      <c r="AH146" s="11"/>
      <c r="AI146" s="11"/>
      <c r="AJ146" s="5">
        <f t="shared" si="434"/>
        <v>140000</v>
      </c>
      <c r="AL146" s="11">
        <f>(1250*120)</f>
        <v>150000</v>
      </c>
      <c r="AM146" s="11"/>
      <c r="AN146" s="11"/>
      <c r="AO146" s="11"/>
      <c r="AP146" s="11"/>
      <c r="AQ146" s="11"/>
      <c r="AR146" s="11"/>
      <c r="AS146" s="5">
        <f t="shared" si="435"/>
        <v>150000</v>
      </c>
      <c r="AU146" s="11">
        <v>0</v>
      </c>
      <c r="AV146" s="11"/>
      <c r="AW146" s="11"/>
      <c r="AX146" s="11">
        <v>0</v>
      </c>
      <c r="AY146" s="11"/>
      <c r="AZ146" s="11"/>
      <c r="BA146" s="11"/>
      <c r="BB146" s="5">
        <f t="shared" si="436"/>
        <v>0</v>
      </c>
      <c r="BD146" s="11">
        <f>100*1300</f>
        <v>130000</v>
      </c>
      <c r="BE146" s="11"/>
      <c r="BF146" s="11"/>
      <c r="BG146" s="11">
        <v>0</v>
      </c>
      <c r="BH146" s="11"/>
      <c r="BI146" s="11"/>
      <c r="BJ146" s="11"/>
      <c r="BK146" s="5">
        <f t="shared" si="437"/>
        <v>130000</v>
      </c>
      <c r="BM146" s="11">
        <f>20*BM17</f>
        <v>0</v>
      </c>
      <c r="BN146" s="11"/>
      <c r="BO146" s="11"/>
      <c r="BP146" s="11">
        <v>0</v>
      </c>
      <c r="BQ146" s="11"/>
      <c r="BR146" s="11"/>
      <c r="BS146" s="11"/>
      <c r="BT146" s="5">
        <f t="shared" si="438"/>
        <v>0</v>
      </c>
      <c r="BV146" s="5">
        <f t="shared" si="439"/>
        <v>420000</v>
      </c>
      <c r="BW146" s="5">
        <f t="shared" si="439"/>
        <v>0</v>
      </c>
      <c r="BX146" s="5">
        <f t="shared" si="439"/>
        <v>0</v>
      </c>
      <c r="BY146" s="5">
        <f t="shared" si="439"/>
        <v>0</v>
      </c>
      <c r="BZ146" s="5">
        <f t="shared" si="439"/>
        <v>0</v>
      </c>
      <c r="CA146" s="5">
        <f t="shared" si="439"/>
        <v>0</v>
      </c>
      <c r="CB146" s="11"/>
      <c r="CC146" s="5">
        <f t="shared" si="440"/>
        <v>420000</v>
      </c>
    </row>
    <row r="147" spans="1:81">
      <c r="A147" s="29" t="s">
        <v>129</v>
      </c>
      <c r="B147" s="5">
        <f>25*B17</f>
        <v>22725</v>
      </c>
      <c r="C147" s="11"/>
      <c r="D147" s="11">
        <v>3500</v>
      </c>
      <c r="E147" s="11"/>
      <c r="F147" s="11"/>
      <c r="G147" s="11"/>
      <c r="H147" s="11"/>
      <c r="I147" s="5">
        <f t="shared" si="431"/>
        <v>26225</v>
      </c>
      <c r="K147" s="5">
        <f>25*K17</f>
        <v>25800</v>
      </c>
      <c r="L147" s="11"/>
      <c r="M147" s="11">
        <v>2500</v>
      </c>
      <c r="N147" s="11"/>
      <c r="O147" s="11"/>
      <c r="P147" s="11"/>
      <c r="Q147" s="11"/>
      <c r="R147" s="5">
        <f t="shared" si="432"/>
        <v>28300</v>
      </c>
      <c r="T147" s="5">
        <f>25*T17</f>
        <v>31125</v>
      </c>
      <c r="U147" s="11"/>
      <c r="V147" s="11"/>
      <c r="W147" s="11"/>
      <c r="X147" s="11"/>
      <c r="Y147" s="11"/>
      <c r="Z147" s="11"/>
      <c r="AA147" s="5">
        <f t="shared" si="433"/>
        <v>31125</v>
      </c>
      <c r="AC147" s="5">
        <f>25*AC17</f>
        <v>61000</v>
      </c>
      <c r="AD147" s="11"/>
      <c r="AE147" s="11">
        <v>3500</v>
      </c>
      <c r="AF147" s="11"/>
      <c r="AG147" s="11"/>
      <c r="AH147" s="11"/>
      <c r="AI147" s="11"/>
      <c r="AJ147" s="5">
        <f t="shared" si="434"/>
        <v>64500</v>
      </c>
      <c r="AL147" s="5">
        <f>25*AL17</f>
        <v>57725</v>
      </c>
      <c r="AM147" s="11"/>
      <c r="AN147" s="11">
        <v>3500</v>
      </c>
      <c r="AO147" s="11"/>
      <c r="AP147" s="11"/>
      <c r="AQ147" s="11"/>
      <c r="AR147" s="11"/>
      <c r="AS147" s="5">
        <f t="shared" si="435"/>
        <v>61225</v>
      </c>
      <c r="AU147" s="11">
        <f>25*AU17</f>
        <v>3500</v>
      </c>
      <c r="AV147" s="11"/>
      <c r="AW147" s="11">
        <v>0</v>
      </c>
      <c r="AX147" s="11"/>
      <c r="AY147" s="11"/>
      <c r="AZ147" s="11"/>
      <c r="BA147" s="11"/>
      <c r="BB147" s="5">
        <f t="shared" si="436"/>
        <v>3500</v>
      </c>
      <c r="BD147" s="5">
        <f>25*BD17</f>
        <v>8650</v>
      </c>
      <c r="BE147" s="11"/>
      <c r="BF147" s="11">
        <v>2500</v>
      </c>
      <c r="BG147" s="11"/>
      <c r="BH147" s="11"/>
      <c r="BI147" s="11"/>
      <c r="BJ147" s="11"/>
      <c r="BK147" s="5">
        <f t="shared" si="437"/>
        <v>11150</v>
      </c>
      <c r="BM147" s="5">
        <f>25*BM17</f>
        <v>0</v>
      </c>
      <c r="BN147" s="11"/>
      <c r="BO147" s="11">
        <v>0</v>
      </c>
      <c r="BP147" s="11"/>
      <c r="BQ147" s="11"/>
      <c r="BR147" s="11"/>
      <c r="BS147" s="11"/>
      <c r="BT147" s="5">
        <f t="shared" si="438"/>
        <v>0</v>
      </c>
      <c r="BV147" s="5">
        <f t="shared" si="439"/>
        <v>210525</v>
      </c>
      <c r="BW147" s="5">
        <f t="shared" si="439"/>
        <v>0</v>
      </c>
      <c r="BX147" s="5">
        <f t="shared" si="439"/>
        <v>15500</v>
      </c>
      <c r="BY147" s="5">
        <f t="shared" si="439"/>
        <v>0</v>
      </c>
      <c r="BZ147" s="5">
        <f t="shared" si="439"/>
        <v>0</v>
      </c>
      <c r="CA147" s="5">
        <f t="shared" si="439"/>
        <v>0</v>
      </c>
      <c r="CB147" s="11"/>
      <c r="CC147" s="5">
        <f t="shared" si="440"/>
        <v>226025</v>
      </c>
    </row>
    <row r="148" spans="1:81">
      <c r="A148" s="29" t="s">
        <v>130</v>
      </c>
      <c r="B148" s="5">
        <f>40*B17</f>
        <v>36360</v>
      </c>
      <c r="C148" s="11"/>
      <c r="D148" s="11"/>
      <c r="E148" s="11"/>
      <c r="F148" s="11"/>
      <c r="G148" s="11"/>
      <c r="H148" s="11"/>
      <c r="I148" s="5">
        <f t="shared" si="431"/>
        <v>36360</v>
      </c>
      <c r="K148" s="5">
        <f>40*K17</f>
        <v>41280</v>
      </c>
      <c r="L148" s="11"/>
      <c r="M148" s="11"/>
      <c r="N148" s="11"/>
      <c r="O148" s="11"/>
      <c r="P148" s="11"/>
      <c r="Q148" s="11"/>
      <c r="R148" s="5">
        <f t="shared" si="432"/>
        <v>41280</v>
      </c>
      <c r="T148" s="5">
        <f>40*T17</f>
        <v>49800</v>
      </c>
      <c r="U148" s="11"/>
      <c r="V148" s="11"/>
      <c r="W148" s="11"/>
      <c r="X148" s="11"/>
      <c r="Y148" s="11"/>
      <c r="Z148" s="11"/>
      <c r="AA148" s="5">
        <f t="shared" si="433"/>
        <v>49800</v>
      </c>
      <c r="AC148" s="5">
        <f>40*AC17</f>
        <v>97600</v>
      </c>
      <c r="AD148" s="11"/>
      <c r="AE148" s="11"/>
      <c r="AF148" s="11"/>
      <c r="AG148" s="11"/>
      <c r="AH148" s="11"/>
      <c r="AI148" s="11"/>
      <c r="AJ148" s="5">
        <f t="shared" si="434"/>
        <v>97600</v>
      </c>
      <c r="AL148" s="5">
        <f>40*AL17</f>
        <v>92360</v>
      </c>
      <c r="AM148" s="11"/>
      <c r="AN148" s="11"/>
      <c r="AO148" s="11"/>
      <c r="AP148" s="11"/>
      <c r="AQ148" s="11"/>
      <c r="AR148" s="11"/>
      <c r="AS148" s="5">
        <f t="shared" si="435"/>
        <v>92360</v>
      </c>
      <c r="AU148" s="5">
        <f>20*AU17</f>
        <v>2800</v>
      </c>
      <c r="AV148" s="11"/>
      <c r="AW148" s="11"/>
      <c r="AX148" s="11"/>
      <c r="AY148" s="11"/>
      <c r="AZ148" s="11"/>
      <c r="BA148" s="11"/>
      <c r="BB148" s="5">
        <f t="shared" si="436"/>
        <v>2800</v>
      </c>
      <c r="BD148" s="5">
        <f>40*BD17</f>
        <v>13840</v>
      </c>
      <c r="BE148" s="11"/>
      <c r="BF148" s="11"/>
      <c r="BG148" s="11"/>
      <c r="BH148" s="11">
        <v>0</v>
      </c>
      <c r="BI148" s="11"/>
      <c r="BJ148" s="11"/>
      <c r="BK148" s="5">
        <f t="shared" si="437"/>
        <v>13840</v>
      </c>
      <c r="BM148" s="5">
        <f>40*BM17</f>
        <v>0</v>
      </c>
      <c r="BN148" s="11"/>
      <c r="BO148" s="11"/>
      <c r="BP148" s="11"/>
      <c r="BQ148" s="11"/>
      <c r="BR148" s="11"/>
      <c r="BS148" s="11"/>
      <c r="BT148" s="5">
        <f t="shared" si="438"/>
        <v>0</v>
      </c>
      <c r="BV148" s="5">
        <f t="shared" si="439"/>
        <v>334040</v>
      </c>
      <c r="BW148" s="5">
        <f t="shared" si="439"/>
        <v>0</v>
      </c>
      <c r="BX148" s="5">
        <f t="shared" si="439"/>
        <v>0</v>
      </c>
      <c r="BY148" s="5">
        <f t="shared" si="439"/>
        <v>0</v>
      </c>
      <c r="BZ148" s="5">
        <f t="shared" si="439"/>
        <v>0</v>
      </c>
      <c r="CA148" s="5">
        <f t="shared" si="439"/>
        <v>0</v>
      </c>
      <c r="CB148" s="11"/>
      <c r="CC148" s="5">
        <f t="shared" si="440"/>
        <v>334040</v>
      </c>
    </row>
    <row r="149" spans="1:81">
      <c r="A149" s="29" t="s">
        <v>131</v>
      </c>
      <c r="B149" s="5">
        <f>15*B17</f>
        <v>13635</v>
      </c>
      <c r="C149" s="11"/>
      <c r="D149" s="11"/>
      <c r="E149" s="11"/>
      <c r="F149" s="11"/>
      <c r="G149" s="11"/>
      <c r="H149" s="11"/>
      <c r="I149" s="5">
        <f t="shared" si="431"/>
        <v>13635</v>
      </c>
      <c r="K149" s="5">
        <f>15*K17</f>
        <v>15480</v>
      </c>
      <c r="L149" s="11"/>
      <c r="M149" s="11"/>
      <c r="N149" s="11"/>
      <c r="O149" s="11"/>
      <c r="P149" s="11"/>
      <c r="Q149" s="11"/>
      <c r="R149" s="5">
        <f t="shared" si="432"/>
        <v>15480</v>
      </c>
      <c r="T149" s="5">
        <f>15*T17</f>
        <v>18675</v>
      </c>
      <c r="U149" s="11"/>
      <c r="V149" s="11"/>
      <c r="W149" s="11"/>
      <c r="X149" s="11"/>
      <c r="Y149" s="11"/>
      <c r="Z149" s="11"/>
      <c r="AA149" s="5">
        <f t="shared" si="433"/>
        <v>18675</v>
      </c>
      <c r="AC149" s="5">
        <f>15*AC17</f>
        <v>36600</v>
      </c>
      <c r="AD149" s="11"/>
      <c r="AE149" s="11"/>
      <c r="AF149" s="11"/>
      <c r="AG149" s="11"/>
      <c r="AH149" s="11"/>
      <c r="AI149" s="11"/>
      <c r="AJ149" s="5">
        <f t="shared" si="434"/>
        <v>36600</v>
      </c>
      <c r="AL149" s="5">
        <f>15*AL17</f>
        <v>34635</v>
      </c>
      <c r="AM149" s="11"/>
      <c r="AN149" s="11"/>
      <c r="AO149" s="11"/>
      <c r="AP149" s="11"/>
      <c r="AQ149" s="11"/>
      <c r="AR149" s="11"/>
      <c r="AS149" s="5">
        <f t="shared" si="435"/>
        <v>34635</v>
      </c>
      <c r="AU149" s="5">
        <f>15*AU17</f>
        <v>2100</v>
      </c>
      <c r="AV149" s="11"/>
      <c r="AW149" s="11"/>
      <c r="AX149" s="11"/>
      <c r="AY149" s="11"/>
      <c r="AZ149" s="11"/>
      <c r="BA149" s="11"/>
      <c r="BB149" s="5">
        <f t="shared" si="436"/>
        <v>2100</v>
      </c>
      <c r="BD149" s="5">
        <f>15*BD17</f>
        <v>5190</v>
      </c>
      <c r="BE149" s="11"/>
      <c r="BF149" s="11"/>
      <c r="BG149" s="11"/>
      <c r="BH149" s="11"/>
      <c r="BI149" s="11"/>
      <c r="BJ149" s="11"/>
      <c r="BK149" s="5">
        <f t="shared" si="437"/>
        <v>5190</v>
      </c>
      <c r="BM149" s="5">
        <f>15*BM17</f>
        <v>0</v>
      </c>
      <c r="BN149" s="11"/>
      <c r="BO149" s="11"/>
      <c r="BP149" s="11"/>
      <c r="BQ149" s="11"/>
      <c r="BR149" s="11"/>
      <c r="BS149" s="11"/>
      <c r="BT149" s="5">
        <f t="shared" si="438"/>
        <v>0</v>
      </c>
      <c r="BV149" s="5">
        <f t="shared" si="439"/>
        <v>126315</v>
      </c>
      <c r="BW149" s="5">
        <f t="shared" si="439"/>
        <v>0</v>
      </c>
      <c r="BX149" s="5">
        <f t="shared" si="439"/>
        <v>0</v>
      </c>
      <c r="BY149" s="5">
        <f t="shared" si="439"/>
        <v>0</v>
      </c>
      <c r="BZ149" s="5">
        <f t="shared" si="439"/>
        <v>0</v>
      </c>
      <c r="CA149" s="5">
        <f t="shared" si="439"/>
        <v>0</v>
      </c>
      <c r="CB149" s="11"/>
      <c r="CC149" s="5">
        <f t="shared" si="440"/>
        <v>126315</v>
      </c>
    </row>
    <row r="150" spans="1:81">
      <c r="A150" s="29" t="s">
        <v>132</v>
      </c>
      <c r="B150" s="5">
        <f>8*B17</f>
        <v>7272</v>
      </c>
      <c r="C150" s="11"/>
      <c r="D150" s="11"/>
      <c r="E150" s="11"/>
      <c r="F150" s="11"/>
      <c r="G150" s="11"/>
      <c r="H150" s="11"/>
      <c r="I150" s="5">
        <f t="shared" si="431"/>
        <v>7272</v>
      </c>
      <c r="K150" s="5">
        <f>8*K17</f>
        <v>8256</v>
      </c>
      <c r="L150" s="11"/>
      <c r="M150" s="11"/>
      <c r="N150" s="11"/>
      <c r="O150" s="11"/>
      <c r="P150" s="11"/>
      <c r="Q150" s="11"/>
      <c r="R150" s="5">
        <f t="shared" si="432"/>
        <v>8256</v>
      </c>
      <c r="T150" s="5">
        <f>8*T17</f>
        <v>9960</v>
      </c>
      <c r="U150" s="11"/>
      <c r="V150" s="11"/>
      <c r="W150" s="11"/>
      <c r="X150" s="11"/>
      <c r="Y150" s="11"/>
      <c r="Z150" s="11"/>
      <c r="AA150" s="5">
        <f t="shared" si="433"/>
        <v>9960</v>
      </c>
      <c r="AC150" s="5">
        <f>8*AC17</f>
        <v>19520</v>
      </c>
      <c r="AD150" s="11"/>
      <c r="AE150" s="11"/>
      <c r="AF150" s="11"/>
      <c r="AG150" s="11"/>
      <c r="AH150" s="11"/>
      <c r="AI150" s="11"/>
      <c r="AJ150" s="5">
        <f t="shared" si="434"/>
        <v>19520</v>
      </c>
      <c r="AL150" s="5">
        <f>8*AL17</f>
        <v>18472</v>
      </c>
      <c r="AM150" s="11"/>
      <c r="AN150" s="11"/>
      <c r="AO150" s="11"/>
      <c r="AP150" s="11"/>
      <c r="AQ150" s="11"/>
      <c r="AR150" s="11"/>
      <c r="AS150" s="5">
        <f t="shared" si="435"/>
        <v>18472</v>
      </c>
      <c r="AU150" s="5">
        <v>0</v>
      </c>
      <c r="AV150" s="11"/>
      <c r="AW150" s="11"/>
      <c r="AX150" s="11"/>
      <c r="AY150" s="11"/>
      <c r="AZ150" s="11"/>
      <c r="BA150" s="11"/>
      <c r="BB150" s="5">
        <f t="shared" si="436"/>
        <v>0</v>
      </c>
      <c r="BD150" s="5">
        <f>8*BD17</f>
        <v>2768</v>
      </c>
      <c r="BE150" s="11"/>
      <c r="BF150" s="11"/>
      <c r="BG150" s="11"/>
      <c r="BH150" s="11"/>
      <c r="BI150" s="11"/>
      <c r="BJ150" s="11"/>
      <c r="BK150" s="5">
        <f t="shared" si="437"/>
        <v>2768</v>
      </c>
      <c r="BM150" s="5">
        <f>8*BM17</f>
        <v>0</v>
      </c>
      <c r="BN150" s="11"/>
      <c r="BO150" s="11"/>
      <c r="BP150" s="11"/>
      <c r="BQ150" s="11"/>
      <c r="BR150" s="11"/>
      <c r="BS150" s="11"/>
      <c r="BT150" s="5">
        <f t="shared" si="438"/>
        <v>0</v>
      </c>
      <c r="BV150" s="5">
        <f t="shared" si="439"/>
        <v>66248</v>
      </c>
      <c r="BW150" s="5">
        <f t="shared" si="439"/>
        <v>0</v>
      </c>
      <c r="BX150" s="5">
        <f t="shared" si="439"/>
        <v>0</v>
      </c>
      <c r="BY150" s="5">
        <f t="shared" si="439"/>
        <v>0</v>
      </c>
      <c r="BZ150" s="5">
        <f t="shared" si="439"/>
        <v>0</v>
      </c>
      <c r="CA150" s="5">
        <f t="shared" si="439"/>
        <v>0</v>
      </c>
      <c r="CB150" s="11"/>
      <c r="CC150" s="5">
        <f t="shared" si="440"/>
        <v>66248</v>
      </c>
    </row>
    <row r="151" spans="1:81">
      <c r="A151" s="29" t="s">
        <v>133</v>
      </c>
      <c r="B151" s="5">
        <f>129*B20</f>
        <v>0</v>
      </c>
      <c r="C151" s="11">
        <f>150*(C20)</f>
        <v>18230.220994475141</v>
      </c>
      <c r="D151" s="11"/>
      <c r="E151" s="11"/>
      <c r="F151" s="11"/>
      <c r="G151" s="11"/>
      <c r="H151" s="11"/>
      <c r="I151" s="5">
        <f t="shared" si="431"/>
        <v>18230.220994475141</v>
      </c>
      <c r="K151" s="5">
        <f>129*K20</f>
        <v>0</v>
      </c>
      <c r="L151" s="11">
        <f>150*(L20)</f>
        <v>11057.142857142857</v>
      </c>
      <c r="M151" s="11"/>
      <c r="N151" s="11"/>
      <c r="O151" s="11"/>
      <c r="P151" s="11"/>
      <c r="Q151" s="11"/>
      <c r="R151" s="5">
        <f t="shared" si="432"/>
        <v>11057.142857142857</v>
      </c>
      <c r="T151" s="5">
        <f>129*T20</f>
        <v>0</v>
      </c>
      <c r="U151" s="11">
        <f>150*(U20)</f>
        <v>16906.119027661356</v>
      </c>
      <c r="V151" s="11"/>
      <c r="W151" s="11"/>
      <c r="X151" s="11"/>
      <c r="Y151" s="11"/>
      <c r="Z151" s="11"/>
      <c r="AA151" s="5">
        <f t="shared" si="433"/>
        <v>16906.119027661356</v>
      </c>
      <c r="AC151" s="5">
        <f>129*AC20</f>
        <v>0</v>
      </c>
      <c r="AD151" s="11">
        <f>150*(AD20)</f>
        <v>43519.247219846016</v>
      </c>
      <c r="AE151" s="11"/>
      <c r="AF151" s="11"/>
      <c r="AG151" s="11"/>
      <c r="AH151" s="11"/>
      <c r="AI151" s="11"/>
      <c r="AJ151" s="5">
        <f t="shared" si="434"/>
        <v>43519.247219846016</v>
      </c>
      <c r="AL151" s="5">
        <f>129*AL20</f>
        <v>0</v>
      </c>
      <c r="AM151" s="11">
        <f>150*(AM20)</f>
        <v>32484.610303830916</v>
      </c>
      <c r="AN151" s="11"/>
      <c r="AO151" s="11"/>
      <c r="AP151" s="11"/>
      <c r="AQ151" s="11"/>
      <c r="AR151" s="11"/>
      <c r="AS151" s="5">
        <f t="shared" si="435"/>
        <v>32484.610303830916</v>
      </c>
      <c r="AU151" s="5"/>
      <c r="AV151" s="11">
        <f>150*(AV20)</f>
        <v>2800</v>
      </c>
      <c r="AW151" s="11"/>
      <c r="AX151" s="11"/>
      <c r="AY151" s="11"/>
      <c r="AZ151" s="11"/>
      <c r="BA151" s="11"/>
      <c r="BB151" s="5">
        <f t="shared" si="436"/>
        <v>2800</v>
      </c>
      <c r="BD151" s="5">
        <f>129*BD20</f>
        <v>0</v>
      </c>
      <c r="BE151" s="11">
        <f>150*(BE20)</f>
        <v>3316.9172932330825</v>
      </c>
      <c r="BF151" s="11"/>
      <c r="BG151" s="11"/>
      <c r="BH151" s="11"/>
      <c r="BI151" s="11"/>
      <c r="BJ151" s="11"/>
      <c r="BK151" s="5">
        <f t="shared" si="437"/>
        <v>3316.9172932330825</v>
      </c>
      <c r="BM151" s="5">
        <f>129*BM20</f>
        <v>0</v>
      </c>
      <c r="BN151" s="11">
        <f>150*(BN20)</f>
        <v>0</v>
      </c>
      <c r="BO151" s="11"/>
      <c r="BP151" s="11"/>
      <c r="BQ151" s="11"/>
      <c r="BR151" s="11"/>
      <c r="BS151" s="11"/>
      <c r="BT151" s="5">
        <f t="shared" si="438"/>
        <v>0</v>
      </c>
      <c r="BV151" s="5">
        <f t="shared" si="439"/>
        <v>0</v>
      </c>
      <c r="BW151" s="5">
        <f t="shared" si="439"/>
        <v>128314.25769618938</v>
      </c>
      <c r="BX151" s="5">
        <f t="shared" si="439"/>
        <v>0</v>
      </c>
      <c r="BY151" s="5">
        <f t="shared" si="439"/>
        <v>0</v>
      </c>
      <c r="BZ151" s="5">
        <f t="shared" si="439"/>
        <v>0</v>
      </c>
      <c r="CA151" s="5">
        <f t="shared" si="439"/>
        <v>0</v>
      </c>
      <c r="CB151" s="11"/>
      <c r="CC151" s="5">
        <f t="shared" si="440"/>
        <v>128314.25769618938</v>
      </c>
    </row>
    <row r="152" spans="1:81">
      <c r="A152" s="29" t="s">
        <v>134</v>
      </c>
      <c r="B152" s="5">
        <v>0</v>
      </c>
      <c r="C152" s="5"/>
      <c r="D152" s="5"/>
      <c r="E152" s="5"/>
      <c r="F152" s="5"/>
      <c r="G152" s="5"/>
      <c r="H152" s="5"/>
      <c r="I152" s="5">
        <f t="shared" si="431"/>
        <v>0</v>
      </c>
      <c r="K152" s="5">
        <v>0</v>
      </c>
      <c r="L152" s="5"/>
      <c r="M152" s="5"/>
      <c r="N152" s="5"/>
      <c r="O152" s="5"/>
      <c r="P152" s="5"/>
      <c r="Q152" s="5"/>
      <c r="R152" s="5">
        <f t="shared" si="432"/>
        <v>0</v>
      </c>
      <c r="T152" s="5">
        <v>0</v>
      </c>
      <c r="U152" s="5"/>
      <c r="V152" s="5"/>
      <c r="W152" s="5"/>
      <c r="X152" s="5"/>
      <c r="Y152" s="5"/>
      <c r="Z152" s="5"/>
      <c r="AA152" s="5">
        <f t="shared" si="433"/>
        <v>0</v>
      </c>
      <c r="AC152" s="5">
        <v>100000</v>
      </c>
      <c r="AD152" s="5"/>
      <c r="AE152" s="5"/>
      <c r="AF152" s="5"/>
      <c r="AG152" s="5"/>
      <c r="AH152" s="5"/>
      <c r="AI152" s="5"/>
      <c r="AJ152" s="5">
        <f t="shared" si="434"/>
        <v>100000</v>
      </c>
      <c r="AL152" s="5">
        <v>110000</v>
      </c>
      <c r="AM152" s="5"/>
      <c r="AN152" s="5"/>
      <c r="AO152" s="5"/>
      <c r="AP152" s="5"/>
      <c r="AQ152" s="5"/>
      <c r="AR152" s="5"/>
      <c r="AS152" s="5">
        <f t="shared" si="435"/>
        <v>110000</v>
      </c>
      <c r="AU152" s="5">
        <v>0</v>
      </c>
      <c r="AV152" s="5"/>
      <c r="AW152" s="5"/>
      <c r="AX152" s="5"/>
      <c r="AY152" s="5"/>
      <c r="AZ152" s="5"/>
      <c r="BA152" s="5"/>
      <c r="BB152" s="5">
        <f t="shared" si="436"/>
        <v>0</v>
      </c>
      <c r="BD152" s="5">
        <v>0</v>
      </c>
      <c r="BE152" s="5"/>
      <c r="BF152" s="5"/>
      <c r="BG152" s="5"/>
      <c r="BH152" s="5"/>
      <c r="BI152" s="5"/>
      <c r="BJ152" s="5"/>
      <c r="BK152" s="5">
        <f t="shared" si="437"/>
        <v>0</v>
      </c>
      <c r="BM152" s="5">
        <v>0</v>
      </c>
      <c r="BN152" s="5"/>
      <c r="BO152" s="5"/>
      <c r="BP152" s="5"/>
      <c r="BQ152" s="5"/>
      <c r="BR152" s="5"/>
      <c r="BS152" s="5"/>
      <c r="BT152" s="5">
        <f t="shared" si="438"/>
        <v>0</v>
      </c>
      <c r="BV152" s="5">
        <f t="shared" si="439"/>
        <v>210000</v>
      </c>
      <c r="BW152" s="5">
        <f t="shared" si="439"/>
        <v>0</v>
      </c>
      <c r="BX152" s="5">
        <f t="shared" si="439"/>
        <v>0</v>
      </c>
      <c r="BY152" s="5">
        <f t="shared" si="439"/>
        <v>0</v>
      </c>
      <c r="BZ152" s="5">
        <f t="shared" si="439"/>
        <v>0</v>
      </c>
      <c r="CA152" s="5">
        <f t="shared" si="439"/>
        <v>0</v>
      </c>
      <c r="CB152" s="5"/>
      <c r="CC152" s="5">
        <f t="shared" si="440"/>
        <v>210000</v>
      </c>
    </row>
    <row r="153" spans="1:81">
      <c r="A153" s="78" t="s">
        <v>135</v>
      </c>
      <c r="B153" s="79">
        <f>50*B17</f>
        <v>45450</v>
      </c>
      <c r="C153" s="5"/>
      <c r="D153" s="5"/>
      <c r="E153" s="5"/>
      <c r="F153" s="5"/>
      <c r="G153" s="5"/>
      <c r="H153" s="5"/>
      <c r="I153" s="5">
        <f>SUM(B153:H153)</f>
        <v>45450</v>
      </c>
      <c r="K153" s="79">
        <f>50*K17</f>
        <v>51600</v>
      </c>
      <c r="L153" s="5"/>
      <c r="M153" s="5"/>
      <c r="N153" s="5"/>
      <c r="O153" s="5"/>
      <c r="P153" s="5"/>
      <c r="Q153" s="5"/>
      <c r="R153" s="5">
        <f>SUM(K153:Q153)</f>
        <v>51600</v>
      </c>
      <c r="T153" s="79">
        <f>45*T17</f>
        <v>56025</v>
      </c>
      <c r="U153" s="5"/>
      <c r="V153" s="5"/>
      <c r="W153" s="5"/>
      <c r="X153" s="5"/>
      <c r="Y153" s="5"/>
      <c r="Z153" s="5"/>
      <c r="AA153" s="5">
        <f>SUM(T153:Z153)</f>
        <v>56025</v>
      </c>
      <c r="AC153" s="79">
        <f>45*AC17</f>
        <v>109800</v>
      </c>
      <c r="AD153" s="5"/>
      <c r="AE153" s="5"/>
      <c r="AF153" s="5"/>
      <c r="AG153" s="5"/>
      <c r="AH153" s="5"/>
      <c r="AI153" s="5"/>
      <c r="AJ153" s="5">
        <f>SUM(AC153:AI153)</f>
        <v>109800</v>
      </c>
      <c r="AL153" s="79">
        <f>45*AL17</f>
        <v>103905</v>
      </c>
      <c r="AM153" s="5"/>
      <c r="AN153" s="5"/>
      <c r="AO153" s="5"/>
      <c r="AP153" s="5"/>
      <c r="AQ153" s="5"/>
      <c r="AR153" s="5"/>
      <c r="AS153" s="5">
        <f>SUM(AL153:AR153)</f>
        <v>103905</v>
      </c>
      <c r="AU153" s="79">
        <v>0</v>
      </c>
      <c r="AV153" s="5"/>
      <c r="AW153" s="5"/>
      <c r="AX153" s="5"/>
      <c r="AY153" s="5"/>
      <c r="AZ153" s="5"/>
      <c r="BA153" s="5"/>
      <c r="BB153" s="5">
        <f>SUM(AU153:BA153)</f>
        <v>0</v>
      </c>
      <c r="BD153" s="79">
        <f>45*BD17</f>
        <v>15570</v>
      </c>
      <c r="BE153" s="5"/>
      <c r="BF153" s="5"/>
      <c r="BG153" s="5"/>
      <c r="BH153" s="5"/>
      <c r="BI153" s="5"/>
      <c r="BJ153" s="5"/>
      <c r="BK153" s="5">
        <f>SUM(BD153:BJ153)</f>
        <v>15570</v>
      </c>
      <c r="BM153" s="79">
        <f>45*BM17</f>
        <v>0</v>
      </c>
      <c r="BN153" s="5"/>
      <c r="BO153" s="5"/>
      <c r="BP153" s="5"/>
      <c r="BQ153" s="5"/>
      <c r="BR153" s="5"/>
      <c r="BS153" s="5"/>
      <c r="BT153" s="5">
        <f>SUM(BM153:BS153)</f>
        <v>0</v>
      </c>
      <c r="BV153" s="5">
        <f t="shared" si="439"/>
        <v>382350</v>
      </c>
      <c r="BW153" s="5">
        <f t="shared" si="439"/>
        <v>0</v>
      </c>
      <c r="BX153" s="5">
        <f t="shared" si="439"/>
        <v>0</v>
      </c>
      <c r="BY153" s="5">
        <f t="shared" si="439"/>
        <v>0</v>
      </c>
      <c r="BZ153" s="5">
        <f t="shared" si="439"/>
        <v>0</v>
      </c>
      <c r="CA153" s="5">
        <f t="shared" si="439"/>
        <v>0</v>
      </c>
      <c r="CB153" s="5"/>
      <c r="CC153" s="5">
        <f>SUM(BV153:CB153)</f>
        <v>382350</v>
      </c>
    </row>
    <row r="154" spans="1:81" ht="15">
      <c r="A154" s="70" t="s">
        <v>136</v>
      </c>
      <c r="B154" s="71">
        <f>SUM(B144:B153)</f>
        <v>316332</v>
      </c>
      <c r="C154" s="71">
        <f t="shared" ref="C154:I154" si="441">SUM(C144:C153)</f>
        <v>18230.220994475141</v>
      </c>
      <c r="D154" s="71">
        <f t="shared" si="441"/>
        <v>3500</v>
      </c>
      <c r="E154" s="71">
        <f t="shared" si="441"/>
        <v>0</v>
      </c>
      <c r="F154" s="71">
        <f t="shared" si="441"/>
        <v>0</v>
      </c>
      <c r="G154" s="71">
        <f t="shared" si="441"/>
        <v>0</v>
      </c>
      <c r="H154" s="71">
        <f t="shared" si="441"/>
        <v>0</v>
      </c>
      <c r="I154" s="71">
        <f t="shared" si="441"/>
        <v>338062.22099447512</v>
      </c>
      <c r="J154" s="7"/>
      <c r="K154" s="71">
        <f>SUM(K144:K153)</f>
        <v>359136</v>
      </c>
      <c r="L154" s="71">
        <f t="shared" ref="L154:R154" si="442">SUM(L144:L153)</f>
        <v>11057.142857142857</v>
      </c>
      <c r="M154" s="71">
        <f t="shared" si="442"/>
        <v>2500</v>
      </c>
      <c r="N154" s="71"/>
      <c r="O154" s="71">
        <f t="shared" si="442"/>
        <v>0</v>
      </c>
      <c r="P154" s="71">
        <f t="shared" si="442"/>
        <v>0</v>
      </c>
      <c r="Q154" s="71">
        <f t="shared" si="442"/>
        <v>0</v>
      </c>
      <c r="R154" s="71">
        <f t="shared" si="442"/>
        <v>372693.14285714284</v>
      </c>
      <c r="T154" s="71">
        <f>SUM(T144:T153)</f>
        <v>427035</v>
      </c>
      <c r="U154" s="71">
        <f t="shared" ref="U154:AA154" si="443">SUM(U144:U153)</f>
        <v>16906.119027661356</v>
      </c>
      <c r="V154" s="71">
        <f t="shared" si="443"/>
        <v>0</v>
      </c>
      <c r="W154" s="71"/>
      <c r="X154" s="71">
        <f t="shared" si="443"/>
        <v>0</v>
      </c>
      <c r="Y154" s="71">
        <f t="shared" si="443"/>
        <v>0</v>
      </c>
      <c r="Z154" s="71">
        <f t="shared" si="443"/>
        <v>0</v>
      </c>
      <c r="AA154" s="71">
        <f t="shared" si="443"/>
        <v>443941.11902766133</v>
      </c>
      <c r="AC154" s="71">
        <f>SUM(AC144:AC153)</f>
        <v>1251920</v>
      </c>
      <c r="AD154" s="71">
        <f t="shared" ref="AD154:AJ154" si="444">SUM(AD144:AD153)</f>
        <v>43519.247219846016</v>
      </c>
      <c r="AE154" s="71">
        <f t="shared" si="444"/>
        <v>3500</v>
      </c>
      <c r="AF154" s="71">
        <f t="shared" si="444"/>
        <v>0</v>
      </c>
      <c r="AG154" s="71">
        <f t="shared" si="444"/>
        <v>0</v>
      </c>
      <c r="AH154" s="71">
        <f t="shared" si="444"/>
        <v>0</v>
      </c>
      <c r="AI154" s="71">
        <f t="shared" si="444"/>
        <v>0</v>
      </c>
      <c r="AJ154" s="71">
        <f t="shared" si="444"/>
        <v>1298939.2472198461</v>
      </c>
      <c r="AL154" s="71">
        <f>SUM(AL144:AL153)</f>
        <v>1236987</v>
      </c>
      <c r="AM154" s="71">
        <f t="shared" ref="AM154:AS154" si="445">SUM(AM144:AM153)</f>
        <v>32484.610303830916</v>
      </c>
      <c r="AN154" s="71">
        <f t="shared" si="445"/>
        <v>3500</v>
      </c>
      <c r="AO154" s="71"/>
      <c r="AP154" s="71">
        <f t="shared" si="445"/>
        <v>0</v>
      </c>
      <c r="AQ154" s="71">
        <f t="shared" si="445"/>
        <v>0</v>
      </c>
      <c r="AR154" s="71">
        <f t="shared" si="445"/>
        <v>0</v>
      </c>
      <c r="AS154" s="71">
        <f t="shared" si="445"/>
        <v>1272971.6103038308</v>
      </c>
      <c r="AU154" s="71">
        <f>SUM(AU144:AU153)</f>
        <v>53800</v>
      </c>
      <c r="AV154" s="71">
        <f t="shared" ref="AV154:BB154" si="446">SUM(AV144:AV153)</f>
        <v>2800</v>
      </c>
      <c r="AW154" s="71">
        <f t="shared" si="446"/>
        <v>0</v>
      </c>
      <c r="AX154" s="71">
        <f t="shared" si="446"/>
        <v>0</v>
      </c>
      <c r="AY154" s="71">
        <f t="shared" si="446"/>
        <v>0</v>
      </c>
      <c r="AZ154" s="71">
        <f t="shared" si="446"/>
        <v>0</v>
      </c>
      <c r="BA154" s="71">
        <f t="shared" si="446"/>
        <v>0</v>
      </c>
      <c r="BB154" s="71">
        <f t="shared" si="446"/>
        <v>56600</v>
      </c>
      <c r="BD154" s="71">
        <f>SUM(BD144:BD153)</f>
        <v>248678</v>
      </c>
      <c r="BE154" s="71">
        <f t="shared" ref="BE154:BK154" si="447">SUM(BE144:BE153)</f>
        <v>3316.9172932330825</v>
      </c>
      <c r="BF154" s="71">
        <f t="shared" si="447"/>
        <v>2500</v>
      </c>
      <c r="BG154" s="71">
        <f t="shared" si="447"/>
        <v>0</v>
      </c>
      <c r="BH154" s="71">
        <f t="shared" si="447"/>
        <v>0</v>
      </c>
      <c r="BI154" s="71">
        <f t="shared" si="447"/>
        <v>0</v>
      </c>
      <c r="BJ154" s="71">
        <f t="shared" si="447"/>
        <v>0</v>
      </c>
      <c r="BK154" s="71">
        <f t="shared" si="447"/>
        <v>254494.91729323307</v>
      </c>
      <c r="BM154" s="71">
        <f>SUM(BM144:BM153)</f>
        <v>0</v>
      </c>
      <c r="BN154" s="71">
        <f t="shared" ref="BN154:BT154" si="448">SUM(BN144:BN153)</f>
        <v>0</v>
      </c>
      <c r="BO154" s="71">
        <f t="shared" si="448"/>
        <v>0</v>
      </c>
      <c r="BP154" s="71">
        <f t="shared" si="448"/>
        <v>0</v>
      </c>
      <c r="BQ154" s="71">
        <f t="shared" si="448"/>
        <v>0</v>
      </c>
      <c r="BR154" s="71">
        <f t="shared" si="448"/>
        <v>0</v>
      </c>
      <c r="BS154" s="71">
        <f t="shared" si="448"/>
        <v>0</v>
      </c>
      <c r="BT154" s="71">
        <f t="shared" si="448"/>
        <v>0</v>
      </c>
      <c r="BV154" s="71">
        <f>SUM(BV144:BV153)</f>
        <v>3893888</v>
      </c>
      <c r="BW154" s="71">
        <f t="shared" ref="BW154:CC154" si="449">SUM(BW144:BW153)</f>
        <v>128314.25769618938</v>
      </c>
      <c r="BX154" s="71">
        <f t="shared" si="449"/>
        <v>15500</v>
      </c>
      <c r="BY154" s="71">
        <f t="shared" si="449"/>
        <v>0</v>
      </c>
      <c r="BZ154" s="71">
        <f t="shared" si="449"/>
        <v>0</v>
      </c>
      <c r="CA154" s="71">
        <f t="shared" si="449"/>
        <v>0</v>
      </c>
      <c r="CB154" s="71">
        <f t="shared" si="449"/>
        <v>0</v>
      </c>
      <c r="CC154" s="71">
        <f t="shared" si="449"/>
        <v>4037702.2576961895</v>
      </c>
    </row>
    <row r="155" spans="1:81" ht="15">
      <c r="A155" s="75" t="s">
        <v>137</v>
      </c>
      <c r="B155" s="18" t="str">
        <f t="shared" ref="B155:I155" si="450">B1</f>
        <v>Operating</v>
      </c>
      <c r="C155" s="18" t="str">
        <f t="shared" si="450"/>
        <v>SPED</v>
      </c>
      <c r="D155" s="18" t="str">
        <f t="shared" si="450"/>
        <v>NSLP</v>
      </c>
      <c r="E155" s="18" t="str">
        <f t="shared" si="450"/>
        <v>Other</v>
      </c>
      <c r="F155" s="18" t="str">
        <f t="shared" si="450"/>
        <v>Title I</v>
      </c>
      <c r="G155" s="18" t="str">
        <f t="shared" si="450"/>
        <v>SGF</v>
      </c>
      <c r="H155" s="18" t="str">
        <f t="shared" si="450"/>
        <v>Title III</v>
      </c>
      <c r="I155" s="18" t="str">
        <f t="shared" si="450"/>
        <v>Horizon</v>
      </c>
      <c r="J155" s="7"/>
      <c r="K155" s="18" t="str">
        <f t="shared" ref="K155:R155" si="451">K1</f>
        <v>Operating</v>
      </c>
      <c r="L155" s="18" t="str">
        <f t="shared" si="451"/>
        <v>SPED</v>
      </c>
      <c r="M155" s="18" t="str">
        <f t="shared" si="451"/>
        <v>NSLP</v>
      </c>
      <c r="N155" s="18" t="str">
        <f t="shared" si="451"/>
        <v>Other</v>
      </c>
      <c r="O155" s="18" t="str">
        <f t="shared" si="451"/>
        <v>Title I</v>
      </c>
      <c r="P155" s="18" t="str">
        <f t="shared" si="451"/>
        <v>SGF</v>
      </c>
      <c r="Q155" s="18" t="str">
        <f t="shared" si="451"/>
        <v>Title III</v>
      </c>
      <c r="R155" s="18" t="str">
        <f t="shared" si="451"/>
        <v>St. Rose</v>
      </c>
      <c r="T155" s="18" t="str">
        <f t="shared" ref="T155:AA155" si="452">T1</f>
        <v>Operating</v>
      </c>
      <c r="U155" s="18" t="str">
        <f t="shared" si="452"/>
        <v>SPED</v>
      </c>
      <c r="V155" s="18" t="str">
        <f t="shared" si="452"/>
        <v>NSLP</v>
      </c>
      <c r="W155" s="18" t="str">
        <f t="shared" si="452"/>
        <v>Other</v>
      </c>
      <c r="X155" s="18" t="str">
        <f t="shared" si="452"/>
        <v>Title I</v>
      </c>
      <c r="Y155" s="18" t="str">
        <f t="shared" si="452"/>
        <v>SGF</v>
      </c>
      <c r="Z155" s="18" t="str">
        <f t="shared" si="452"/>
        <v>Title III</v>
      </c>
      <c r="AA155" s="18" t="str">
        <f t="shared" si="452"/>
        <v>Inspirada</v>
      </c>
      <c r="AC155" s="18" t="str">
        <f t="shared" ref="AC155:AJ155" si="453">AC1</f>
        <v>Operating</v>
      </c>
      <c r="AD155" s="18" t="str">
        <f t="shared" si="453"/>
        <v>SPED</v>
      </c>
      <c r="AE155" s="18" t="str">
        <f t="shared" si="453"/>
        <v>NSLP</v>
      </c>
      <c r="AF155" s="18" t="str">
        <f t="shared" si="453"/>
        <v>Other</v>
      </c>
      <c r="AG155" s="18" t="str">
        <f t="shared" si="453"/>
        <v>Title I</v>
      </c>
      <c r="AH155" s="18" t="str">
        <f t="shared" si="453"/>
        <v>SGF</v>
      </c>
      <c r="AI155" s="18" t="str">
        <f t="shared" si="453"/>
        <v>Title III</v>
      </c>
      <c r="AJ155" s="18" t="str">
        <f t="shared" si="453"/>
        <v>Cadence</v>
      </c>
      <c r="AL155" s="18" t="str">
        <f t="shared" ref="AL155:AS155" si="454">AL1</f>
        <v>Operating</v>
      </c>
      <c r="AM155" s="18" t="str">
        <f t="shared" si="454"/>
        <v>SPED</v>
      </c>
      <c r="AN155" s="18" t="str">
        <f t="shared" si="454"/>
        <v>NSLP</v>
      </c>
      <c r="AO155" s="18" t="str">
        <f t="shared" si="454"/>
        <v>Other</v>
      </c>
      <c r="AP155" s="18" t="str">
        <f t="shared" si="454"/>
        <v>Title I</v>
      </c>
      <c r="AQ155" s="18" t="str">
        <f t="shared" si="454"/>
        <v>SGF</v>
      </c>
      <c r="AR155" s="18" t="str">
        <f t="shared" si="454"/>
        <v>Title III</v>
      </c>
      <c r="AS155" s="18" t="str">
        <f t="shared" si="454"/>
        <v>Sloan</v>
      </c>
      <c r="AU155" s="18" t="str">
        <f t="shared" ref="AU155:BB155" si="455">AU1</f>
        <v>Operating</v>
      </c>
      <c r="AV155" s="18" t="str">
        <f t="shared" si="455"/>
        <v>SPED</v>
      </c>
      <c r="AW155" s="18" t="str">
        <f t="shared" si="455"/>
        <v>NSLP</v>
      </c>
      <c r="AX155" s="18" t="str">
        <f t="shared" si="455"/>
        <v>Other</v>
      </c>
      <c r="AY155" s="18" t="str">
        <f t="shared" si="455"/>
        <v>Title I</v>
      </c>
      <c r="AZ155" s="18" t="str">
        <f t="shared" si="455"/>
        <v>SGF</v>
      </c>
      <c r="BA155" s="18" t="str">
        <f t="shared" si="455"/>
        <v>Title III</v>
      </c>
      <c r="BB155" s="18" t="str">
        <f t="shared" si="455"/>
        <v>Virtual</v>
      </c>
      <c r="BD155" s="18" t="str">
        <f t="shared" ref="BD155:BK155" si="456">BD1</f>
        <v>Operating</v>
      </c>
      <c r="BE155" s="18" t="str">
        <f t="shared" si="456"/>
        <v>SPED</v>
      </c>
      <c r="BF155" s="18" t="str">
        <f t="shared" si="456"/>
        <v>NSLP</v>
      </c>
      <c r="BG155" s="18" t="str">
        <f t="shared" si="456"/>
        <v>Other</v>
      </c>
      <c r="BH155" s="18" t="str">
        <f t="shared" si="456"/>
        <v>Title I</v>
      </c>
      <c r="BI155" s="18" t="str">
        <f t="shared" si="456"/>
        <v>SGF</v>
      </c>
      <c r="BJ155" s="18" t="str">
        <f t="shared" si="456"/>
        <v>Title III</v>
      </c>
      <c r="BK155" s="18" t="str">
        <f t="shared" si="456"/>
        <v>Springs</v>
      </c>
      <c r="BM155" s="18" t="str">
        <f t="shared" ref="BM155:BT155" si="457">BM1</f>
        <v>Operating</v>
      </c>
      <c r="BN155" s="18" t="str">
        <f t="shared" si="457"/>
        <v>SPED</v>
      </c>
      <c r="BO155" s="18" t="str">
        <f t="shared" si="457"/>
        <v>NSLP</v>
      </c>
      <c r="BP155" s="18" t="str">
        <f t="shared" si="457"/>
        <v>Other</v>
      </c>
      <c r="BQ155" s="18" t="str">
        <f t="shared" si="457"/>
        <v>Title I</v>
      </c>
      <c r="BR155" s="18" t="str">
        <f t="shared" si="457"/>
        <v>SGF</v>
      </c>
      <c r="BS155" s="18" t="str">
        <f t="shared" si="457"/>
        <v>Title III</v>
      </c>
      <c r="BT155" s="18" t="str">
        <f t="shared" si="457"/>
        <v>Exec. Office</v>
      </c>
      <c r="BV155" s="18" t="str">
        <f t="shared" ref="BV155:CC155" si="458">BV1</f>
        <v>Operating</v>
      </c>
      <c r="BW155" s="18" t="str">
        <f t="shared" si="458"/>
        <v>SPED</v>
      </c>
      <c r="BX155" s="18" t="str">
        <f t="shared" si="458"/>
        <v>NSLP</v>
      </c>
      <c r="BY155" s="18" t="str">
        <f t="shared" si="458"/>
        <v>Other</v>
      </c>
      <c r="BZ155" s="18" t="str">
        <f t="shared" si="458"/>
        <v>Title I</v>
      </c>
      <c r="CA155" s="18" t="str">
        <f t="shared" si="458"/>
        <v>SGF</v>
      </c>
      <c r="CB155" s="18" t="str">
        <f t="shared" si="458"/>
        <v>Title III</v>
      </c>
      <c r="CC155" s="18" t="str">
        <f t="shared" si="458"/>
        <v>Systemwide</v>
      </c>
    </row>
    <row r="156" spans="1:81">
      <c r="A156" s="29" t="s">
        <v>138</v>
      </c>
      <c r="B156" s="62">
        <f>'24-25'!B156*1.05</f>
        <v>14910</v>
      </c>
      <c r="C156" s="11"/>
      <c r="D156" s="11"/>
      <c r="E156" s="11"/>
      <c r="F156" s="11"/>
      <c r="G156" s="11"/>
      <c r="H156" s="11"/>
      <c r="I156" s="5">
        <f t="shared" ref="I156:I169" si="459">SUM(B156:H156)</f>
        <v>14910</v>
      </c>
      <c r="K156" s="62">
        <f>'24-25'!K156*1.05</f>
        <v>24150</v>
      </c>
      <c r="L156" s="11"/>
      <c r="M156" s="11"/>
      <c r="N156" s="11"/>
      <c r="O156" s="11"/>
      <c r="P156" s="11"/>
      <c r="Q156" s="11"/>
      <c r="R156" s="5">
        <f t="shared" ref="R156:R169" si="460">SUM(K156:Q156)</f>
        <v>24150</v>
      </c>
      <c r="T156" s="62">
        <f>'24-25'!T156*1.05</f>
        <v>18900</v>
      </c>
      <c r="U156" s="11"/>
      <c r="V156" s="11"/>
      <c r="W156" s="11"/>
      <c r="X156" s="11"/>
      <c r="Y156" s="11"/>
      <c r="Z156" s="11"/>
      <c r="AA156" s="5">
        <f t="shared" ref="AA156:AA169" si="461">SUM(T156:Z156)</f>
        <v>18900</v>
      </c>
      <c r="AC156" s="62">
        <f>'24-25'!AC156*1.05</f>
        <v>36750</v>
      </c>
      <c r="AD156" s="11"/>
      <c r="AE156" s="11"/>
      <c r="AF156" s="11"/>
      <c r="AG156" s="11"/>
      <c r="AH156" s="11"/>
      <c r="AI156" s="11"/>
      <c r="AJ156" s="5">
        <f t="shared" ref="AJ156:AJ169" si="462">SUM(AC156:AI156)</f>
        <v>36750</v>
      </c>
      <c r="AL156" s="62">
        <f>'24-25'!AL156*1.05</f>
        <v>31500</v>
      </c>
      <c r="AM156" s="11"/>
      <c r="AN156" s="11"/>
      <c r="AO156" s="11"/>
      <c r="AP156" s="11"/>
      <c r="AQ156" s="11"/>
      <c r="AR156" s="11"/>
      <c r="AS156" s="5">
        <f t="shared" ref="AS156:AS169" si="463">SUM(AL156:AR156)</f>
        <v>31500</v>
      </c>
      <c r="AU156" s="62">
        <f>'24-25'!AU156*1.05</f>
        <v>9975</v>
      </c>
      <c r="AV156" s="11"/>
      <c r="AW156" s="11"/>
      <c r="AX156" s="11"/>
      <c r="AY156" s="11"/>
      <c r="AZ156" s="11"/>
      <c r="BA156" s="11"/>
      <c r="BB156" s="5">
        <f t="shared" ref="BB156:BB169" si="464">SUM(AU156:BA156)</f>
        <v>9975</v>
      </c>
      <c r="BD156" s="62">
        <f>'24-25'!BD156*1.05</f>
        <v>3150</v>
      </c>
      <c r="BE156" s="11"/>
      <c r="BF156" s="11"/>
      <c r="BG156" s="11"/>
      <c r="BH156" s="11"/>
      <c r="BI156" s="11"/>
      <c r="BJ156" s="11"/>
      <c r="BK156" s="5">
        <f t="shared" ref="BK156:BK169" si="465">SUM(BD156:BJ156)</f>
        <v>3150</v>
      </c>
      <c r="BM156" s="11">
        <v>0</v>
      </c>
      <c r="BN156" s="11"/>
      <c r="BO156" s="11"/>
      <c r="BP156" s="11"/>
      <c r="BQ156" s="11"/>
      <c r="BR156" s="11"/>
      <c r="BS156" s="11"/>
      <c r="BT156" s="5">
        <f t="shared" ref="BT156:BT169" si="466">SUM(BM156:BS156)</f>
        <v>0</v>
      </c>
      <c r="BV156" s="5">
        <f t="shared" ref="BV156:CA169" si="467">B156+K156+T156+AC156+AL156+AU156+BD156+BM156</f>
        <v>139335</v>
      </c>
      <c r="BW156" s="5">
        <f t="shared" si="467"/>
        <v>0</v>
      </c>
      <c r="BX156" s="5">
        <f t="shared" si="467"/>
        <v>0</v>
      </c>
      <c r="BY156" s="5">
        <f t="shared" si="467"/>
        <v>0</v>
      </c>
      <c r="BZ156" s="5">
        <f t="shared" si="467"/>
        <v>0</v>
      </c>
      <c r="CA156" s="5">
        <f t="shared" si="467"/>
        <v>0</v>
      </c>
      <c r="CB156" s="11"/>
      <c r="CC156" s="5">
        <f t="shared" ref="CC156:CC169" si="468">SUM(BV156:CB156)</f>
        <v>139335</v>
      </c>
    </row>
    <row r="157" spans="1:81">
      <c r="A157" s="29" t="s">
        <v>139</v>
      </c>
      <c r="B157" s="11">
        <v>0</v>
      </c>
      <c r="C157" s="11">
        <f>575*B17</f>
        <v>522675</v>
      </c>
      <c r="D157" s="5"/>
      <c r="E157" s="5"/>
      <c r="F157" s="5"/>
      <c r="G157" s="5"/>
      <c r="H157" s="5"/>
      <c r="I157" s="5">
        <f t="shared" si="459"/>
        <v>522675</v>
      </c>
      <c r="K157" s="11">
        <v>0</v>
      </c>
      <c r="L157" s="11">
        <f>160*K17</f>
        <v>165120</v>
      </c>
      <c r="M157" s="5"/>
      <c r="N157" s="5"/>
      <c r="O157" s="5"/>
      <c r="P157" s="5"/>
      <c r="Q157" s="5"/>
      <c r="R157" s="5">
        <f t="shared" si="460"/>
        <v>165120</v>
      </c>
      <c r="T157" s="11">
        <v>0</v>
      </c>
      <c r="U157" s="11">
        <f>80*T17</f>
        <v>99600</v>
      </c>
      <c r="V157" s="5"/>
      <c r="W157" s="5"/>
      <c r="X157" s="5"/>
      <c r="Y157" s="5"/>
      <c r="Z157" s="5"/>
      <c r="AA157" s="5">
        <f t="shared" si="461"/>
        <v>99600</v>
      </c>
      <c r="AC157" s="11">
        <v>0</v>
      </c>
      <c r="AD157" s="11">
        <f>140*AC17</f>
        <v>341600</v>
      </c>
      <c r="AE157" s="5"/>
      <c r="AF157" s="5"/>
      <c r="AG157" s="5"/>
      <c r="AH157" s="5"/>
      <c r="AI157" s="5"/>
      <c r="AJ157" s="5">
        <f t="shared" si="462"/>
        <v>341600</v>
      </c>
      <c r="AL157" s="11">
        <v>0</v>
      </c>
      <c r="AM157" s="11">
        <f>225*AL17</f>
        <v>519525</v>
      </c>
      <c r="AN157" s="5"/>
      <c r="AO157" s="5"/>
      <c r="AP157" s="5"/>
      <c r="AQ157" s="5"/>
      <c r="AR157" s="5"/>
      <c r="AS157" s="5">
        <f t="shared" si="463"/>
        <v>519525</v>
      </c>
      <c r="AU157" s="11">
        <v>0</v>
      </c>
      <c r="AV157" s="11">
        <f>200*AU17</f>
        <v>28000</v>
      </c>
      <c r="AW157" s="5"/>
      <c r="AX157" s="5"/>
      <c r="AY157" s="5"/>
      <c r="AZ157" s="5"/>
      <c r="BA157" s="5"/>
      <c r="BB157" s="5">
        <f t="shared" si="464"/>
        <v>28000</v>
      </c>
      <c r="BD157" s="11">
        <v>0</v>
      </c>
      <c r="BE157" s="11">
        <f>750*BD17+60000</f>
        <v>319500</v>
      </c>
      <c r="BF157" s="5"/>
      <c r="BG157" s="5"/>
      <c r="BH157" s="5"/>
      <c r="BI157" s="5"/>
      <c r="BJ157" s="5"/>
      <c r="BK157" s="5">
        <f t="shared" si="465"/>
        <v>319500</v>
      </c>
      <c r="BM157" s="11">
        <v>0</v>
      </c>
      <c r="BN157" s="5">
        <f>375*BM17</f>
        <v>0</v>
      </c>
      <c r="BO157" s="5"/>
      <c r="BP157" s="5"/>
      <c r="BQ157" s="5"/>
      <c r="BR157" s="5"/>
      <c r="BS157" s="5"/>
      <c r="BT157" s="5">
        <f t="shared" si="466"/>
        <v>0</v>
      </c>
      <c r="BV157" s="5">
        <f t="shared" si="467"/>
        <v>0</v>
      </c>
      <c r="BW157" s="5">
        <f t="shared" si="467"/>
        <v>1996020</v>
      </c>
      <c r="BX157" s="5">
        <f t="shared" si="467"/>
        <v>0</v>
      </c>
      <c r="BY157" s="5">
        <f t="shared" si="467"/>
        <v>0</v>
      </c>
      <c r="BZ157" s="5">
        <f t="shared" si="467"/>
        <v>0</v>
      </c>
      <c r="CA157" s="5">
        <f t="shared" si="467"/>
        <v>0</v>
      </c>
      <c r="CB157" s="5"/>
      <c r="CC157" s="5">
        <f t="shared" si="468"/>
        <v>1996020</v>
      </c>
    </row>
    <row r="158" spans="1:81">
      <c r="A158" s="29" t="s">
        <v>279</v>
      </c>
      <c r="B158" s="11">
        <v>0</v>
      </c>
      <c r="C158" s="5"/>
      <c r="D158" s="5"/>
      <c r="E158" s="5"/>
      <c r="F158" s="5"/>
      <c r="G158" s="5"/>
      <c r="H158" s="5"/>
      <c r="I158" s="5">
        <f t="shared" si="459"/>
        <v>0</v>
      </c>
      <c r="K158" s="11">
        <f>(1705*10*2)*1.03</f>
        <v>35123</v>
      </c>
      <c r="L158" s="5"/>
      <c r="M158" s="5"/>
      <c r="N158" s="5"/>
      <c r="O158" s="5"/>
      <c r="P158" s="5"/>
      <c r="Q158" s="5"/>
      <c r="R158" s="5">
        <f t="shared" si="460"/>
        <v>35123</v>
      </c>
      <c r="T158" s="11">
        <v>0</v>
      </c>
      <c r="U158" s="5"/>
      <c r="V158" s="5"/>
      <c r="W158" s="5"/>
      <c r="X158" s="5"/>
      <c r="Y158" s="5"/>
      <c r="Z158" s="5"/>
      <c r="AA158" s="5">
        <f t="shared" si="461"/>
        <v>0</v>
      </c>
      <c r="AC158" s="11">
        <v>0</v>
      </c>
      <c r="AD158" s="5"/>
      <c r="AE158" s="5"/>
      <c r="AF158" s="5"/>
      <c r="AG158" s="5"/>
      <c r="AH158" s="5"/>
      <c r="AI158" s="5"/>
      <c r="AJ158" s="5">
        <f t="shared" si="462"/>
        <v>0</v>
      </c>
      <c r="AL158" s="11">
        <v>0</v>
      </c>
      <c r="AM158" s="5"/>
      <c r="AN158" s="5"/>
      <c r="AO158" s="5"/>
      <c r="AP158" s="5"/>
      <c r="AQ158" s="5"/>
      <c r="AR158" s="5"/>
      <c r="AS158" s="5">
        <f t="shared" si="463"/>
        <v>0</v>
      </c>
      <c r="AU158" s="105">
        <f>(100*12)*AU17</f>
        <v>168000</v>
      </c>
      <c r="AV158" s="11"/>
      <c r="AW158" s="5"/>
      <c r="AX158" s="5"/>
      <c r="AY158" s="5"/>
      <c r="AZ158" s="5"/>
      <c r="BA158" s="5"/>
      <c r="BB158" s="5">
        <f t="shared" si="464"/>
        <v>168000</v>
      </c>
      <c r="BD158" s="11">
        <v>0</v>
      </c>
      <c r="BE158" s="5"/>
      <c r="BF158" s="5"/>
      <c r="BG158" s="5"/>
      <c r="BH158" s="5"/>
      <c r="BI158" s="5"/>
      <c r="BJ158" s="5"/>
      <c r="BK158" s="5">
        <f t="shared" si="465"/>
        <v>0</v>
      </c>
      <c r="BM158" s="11">
        <v>0</v>
      </c>
      <c r="BN158" s="5"/>
      <c r="BO158" s="5"/>
      <c r="BP158" s="5"/>
      <c r="BQ158" s="5"/>
      <c r="BR158" s="5"/>
      <c r="BS158" s="5"/>
      <c r="BT158" s="5">
        <f t="shared" si="466"/>
        <v>0</v>
      </c>
      <c r="BV158" s="5">
        <f t="shared" si="467"/>
        <v>203123</v>
      </c>
      <c r="BW158" s="5">
        <f t="shared" si="467"/>
        <v>0</v>
      </c>
      <c r="BX158" s="5">
        <f t="shared" si="467"/>
        <v>0</v>
      </c>
      <c r="BY158" s="5">
        <f t="shared" si="467"/>
        <v>0</v>
      </c>
      <c r="BZ158" s="5">
        <f t="shared" si="467"/>
        <v>0</v>
      </c>
      <c r="CA158" s="5">
        <f t="shared" si="467"/>
        <v>0</v>
      </c>
      <c r="CB158" s="5"/>
      <c r="CC158" s="5">
        <f t="shared" si="468"/>
        <v>203123</v>
      </c>
    </row>
    <row r="159" spans="1:81">
      <c r="A159" s="29" t="s">
        <v>280</v>
      </c>
      <c r="B159" s="11">
        <v>0</v>
      </c>
      <c r="C159" s="5"/>
      <c r="D159" s="5"/>
      <c r="E159" s="5"/>
      <c r="F159" s="5"/>
      <c r="G159" s="5"/>
      <c r="H159" s="5"/>
      <c r="I159" s="5">
        <f t="shared" si="459"/>
        <v>0</v>
      </c>
      <c r="K159" s="11">
        <v>0</v>
      </c>
      <c r="L159" s="5"/>
      <c r="M159" s="5"/>
      <c r="N159" s="5"/>
      <c r="O159" s="5"/>
      <c r="P159" s="5"/>
      <c r="Q159" s="5"/>
      <c r="R159" s="5">
        <f t="shared" si="460"/>
        <v>0</v>
      </c>
      <c r="T159" s="11">
        <v>0</v>
      </c>
      <c r="U159" s="5"/>
      <c r="V159" s="5"/>
      <c r="W159" s="5"/>
      <c r="X159" s="5"/>
      <c r="Y159" s="5"/>
      <c r="Z159" s="5"/>
      <c r="AA159" s="5">
        <f t="shared" si="461"/>
        <v>0</v>
      </c>
      <c r="AC159" s="11">
        <v>0</v>
      </c>
      <c r="AD159" s="5"/>
      <c r="AE159" s="5"/>
      <c r="AF159" s="5"/>
      <c r="AG159" s="5"/>
      <c r="AH159" s="5"/>
      <c r="AI159" s="5"/>
      <c r="AJ159" s="5">
        <f t="shared" si="462"/>
        <v>0</v>
      </c>
      <c r="AL159" s="11">
        <v>0</v>
      </c>
      <c r="AM159" s="5"/>
      <c r="AN159" s="5"/>
      <c r="AO159" s="5"/>
      <c r="AP159" s="5"/>
      <c r="AQ159" s="5"/>
      <c r="AR159" s="5"/>
      <c r="AS159" s="5">
        <f t="shared" si="463"/>
        <v>0</v>
      </c>
      <c r="AU159" s="11">
        <f>800*AU17</f>
        <v>112000</v>
      </c>
      <c r="AV159" s="11"/>
      <c r="AW159" s="5"/>
      <c r="AX159" s="5"/>
      <c r="AY159" s="5"/>
      <c r="AZ159" s="5"/>
      <c r="BA159" s="5"/>
      <c r="BB159" s="5">
        <f t="shared" si="464"/>
        <v>112000</v>
      </c>
      <c r="BD159" s="11">
        <v>0</v>
      </c>
      <c r="BE159" s="5"/>
      <c r="BF159" s="5"/>
      <c r="BG159" s="5"/>
      <c r="BH159" s="5"/>
      <c r="BI159" s="5"/>
      <c r="BJ159" s="5"/>
      <c r="BK159" s="5">
        <f t="shared" si="465"/>
        <v>0</v>
      </c>
      <c r="BM159" s="11">
        <v>0</v>
      </c>
      <c r="BN159" s="5"/>
      <c r="BO159" s="5"/>
      <c r="BP159" s="5"/>
      <c r="BQ159" s="5"/>
      <c r="BR159" s="5"/>
      <c r="BS159" s="5"/>
      <c r="BT159" s="5">
        <f t="shared" si="466"/>
        <v>0</v>
      </c>
      <c r="BV159" s="5">
        <f t="shared" si="467"/>
        <v>112000</v>
      </c>
      <c r="BW159" s="5">
        <f t="shared" si="467"/>
        <v>0</v>
      </c>
      <c r="BX159" s="5">
        <f t="shared" si="467"/>
        <v>0</v>
      </c>
      <c r="BY159" s="5">
        <f t="shared" si="467"/>
        <v>0</v>
      </c>
      <c r="BZ159" s="5">
        <f t="shared" si="467"/>
        <v>0</v>
      </c>
      <c r="CA159" s="5">
        <f t="shared" si="467"/>
        <v>0</v>
      </c>
      <c r="CB159" s="5"/>
      <c r="CC159" s="5">
        <f t="shared" si="468"/>
        <v>112000</v>
      </c>
    </row>
    <row r="160" spans="1:81">
      <c r="A160" s="29" t="s">
        <v>140</v>
      </c>
      <c r="B160" s="11">
        <f>495*B17</f>
        <v>449955</v>
      </c>
      <c r="C160" s="5"/>
      <c r="D160" s="5"/>
      <c r="E160" s="5"/>
      <c r="F160" s="5"/>
      <c r="G160" s="5"/>
      <c r="H160" s="5"/>
      <c r="I160" s="5">
        <f t="shared" si="459"/>
        <v>449955</v>
      </c>
      <c r="K160" s="11">
        <f>495*K17</f>
        <v>510840</v>
      </c>
      <c r="L160" s="5"/>
      <c r="M160" s="5"/>
      <c r="N160" s="5"/>
      <c r="O160" s="5"/>
      <c r="P160" s="5"/>
      <c r="Q160" s="5"/>
      <c r="R160" s="5">
        <f t="shared" si="460"/>
        <v>510840</v>
      </c>
      <c r="T160" s="11">
        <f>495*T17</f>
        <v>616275</v>
      </c>
      <c r="U160" s="5"/>
      <c r="V160" s="5"/>
      <c r="W160" s="5"/>
      <c r="X160" s="5"/>
      <c r="Y160" s="5"/>
      <c r="Z160" s="5"/>
      <c r="AA160" s="5">
        <f t="shared" si="461"/>
        <v>616275</v>
      </c>
      <c r="AC160" s="11">
        <f>495*AC17</f>
        <v>1207800</v>
      </c>
      <c r="AD160" s="5"/>
      <c r="AE160" s="5"/>
      <c r="AF160" s="5"/>
      <c r="AG160" s="5"/>
      <c r="AH160" s="5"/>
      <c r="AI160" s="5"/>
      <c r="AJ160" s="5">
        <f t="shared" si="462"/>
        <v>1207800</v>
      </c>
      <c r="AL160" s="11">
        <f>495*AL17</f>
        <v>1142955</v>
      </c>
      <c r="AM160" s="5"/>
      <c r="AN160" s="5"/>
      <c r="AO160" s="5"/>
      <c r="AP160" s="5"/>
      <c r="AQ160" s="5"/>
      <c r="AR160" s="5"/>
      <c r="AS160" s="5">
        <f t="shared" si="463"/>
        <v>1142955</v>
      </c>
      <c r="AU160" s="11">
        <f>495*AU17</f>
        <v>69300</v>
      </c>
      <c r="AV160" s="5"/>
      <c r="AW160" s="5"/>
      <c r="AX160" s="5"/>
      <c r="AY160" s="5"/>
      <c r="AZ160" s="5"/>
      <c r="BA160" s="5"/>
      <c r="BB160" s="5">
        <f t="shared" si="464"/>
        <v>69300</v>
      </c>
      <c r="BD160" s="11">
        <f>495*BD17</f>
        <v>171270</v>
      </c>
      <c r="BE160" s="5"/>
      <c r="BF160" s="5"/>
      <c r="BG160" s="5"/>
      <c r="BH160" s="5"/>
      <c r="BI160" s="5"/>
      <c r="BJ160" s="5"/>
      <c r="BK160" s="5">
        <f t="shared" si="465"/>
        <v>171270</v>
      </c>
      <c r="BM160" s="11">
        <f>450*BM17</f>
        <v>0</v>
      </c>
      <c r="BN160" s="5"/>
      <c r="BO160" s="5"/>
      <c r="BP160" s="5"/>
      <c r="BQ160" s="5"/>
      <c r="BR160" s="5"/>
      <c r="BS160" s="5"/>
      <c r="BT160" s="5">
        <f t="shared" si="466"/>
        <v>0</v>
      </c>
      <c r="BV160" s="5">
        <f t="shared" si="467"/>
        <v>4168395</v>
      </c>
      <c r="BW160" s="5">
        <f t="shared" si="467"/>
        <v>0</v>
      </c>
      <c r="BX160" s="5">
        <f t="shared" si="467"/>
        <v>0</v>
      </c>
      <c r="BY160" s="5">
        <f t="shared" si="467"/>
        <v>0</v>
      </c>
      <c r="BZ160" s="5">
        <f t="shared" si="467"/>
        <v>0</v>
      </c>
      <c r="CA160" s="5">
        <f t="shared" si="467"/>
        <v>0</v>
      </c>
      <c r="CB160" s="5"/>
      <c r="CC160" s="5">
        <f t="shared" si="468"/>
        <v>4168395</v>
      </c>
    </row>
    <row r="161" spans="1:81">
      <c r="A161" s="29" t="s">
        <v>141</v>
      </c>
      <c r="B161" s="62">
        <f>'24-25'!B161*1.05</f>
        <v>22050</v>
      </c>
      <c r="C161" s="62">
        <f>'24-25'!C161*1.05</f>
        <v>3150</v>
      </c>
      <c r="D161" s="11">
        <v>0</v>
      </c>
      <c r="E161" s="11"/>
      <c r="F161" s="11">
        <f>(240*F65)</f>
        <v>0</v>
      </c>
      <c r="G161" s="11">
        <f>(240*G65)</f>
        <v>0</v>
      </c>
      <c r="H161" s="11">
        <f>(240*H65)</f>
        <v>0</v>
      </c>
      <c r="I161" s="5">
        <f t="shared" si="459"/>
        <v>25200</v>
      </c>
      <c r="K161" s="62">
        <f>'24-25'!K161*1.05</f>
        <v>23100</v>
      </c>
      <c r="L161" s="62">
        <f>'24-25'!L161*1.05</f>
        <v>3150</v>
      </c>
      <c r="M161" s="11">
        <v>0</v>
      </c>
      <c r="N161" s="11"/>
      <c r="O161" s="11">
        <f>(240*O65)</f>
        <v>0</v>
      </c>
      <c r="P161" s="11">
        <f>(240*P65)</f>
        <v>0</v>
      </c>
      <c r="Q161" s="11">
        <f>(240*Q65)</f>
        <v>0</v>
      </c>
      <c r="R161" s="5">
        <f t="shared" si="460"/>
        <v>26250</v>
      </c>
      <c r="T161" s="62">
        <f>'24-25'!T161*1.05</f>
        <v>25725</v>
      </c>
      <c r="U161" s="62">
        <f>'24-25'!U161*1.05</f>
        <v>3675</v>
      </c>
      <c r="V161" s="11">
        <v>0</v>
      </c>
      <c r="W161" s="11"/>
      <c r="X161" s="11">
        <f>(240*X65)</f>
        <v>0</v>
      </c>
      <c r="Y161" s="11">
        <f>(240*Y65)</f>
        <v>0</v>
      </c>
      <c r="Z161" s="11">
        <f>(240*Z65)</f>
        <v>0</v>
      </c>
      <c r="AA161" s="5">
        <f t="shared" si="461"/>
        <v>29400</v>
      </c>
      <c r="AC161" s="62">
        <f>'24-25'!AC161*1.05</f>
        <v>52500</v>
      </c>
      <c r="AD161" s="62">
        <f>'24-25'!AD161*1.05</f>
        <v>7350</v>
      </c>
      <c r="AE161" s="11"/>
      <c r="AF161" s="11"/>
      <c r="AG161" s="11">
        <f>(240*AG65)</f>
        <v>0</v>
      </c>
      <c r="AH161" s="11">
        <f>(240*AH65)</f>
        <v>0</v>
      </c>
      <c r="AI161" s="11">
        <f>(240*AI65)</f>
        <v>0</v>
      </c>
      <c r="AJ161" s="5">
        <f t="shared" si="462"/>
        <v>59850</v>
      </c>
      <c r="AL161" s="62">
        <f>'24-25'!AL161*1.05</f>
        <v>39900</v>
      </c>
      <c r="AM161" s="62">
        <f>'24-25'!AM161*1.05</f>
        <v>5775</v>
      </c>
      <c r="AN161" s="11">
        <v>0</v>
      </c>
      <c r="AO161" s="11"/>
      <c r="AP161" s="11">
        <f>(240*AP65)</f>
        <v>0</v>
      </c>
      <c r="AQ161" s="11">
        <f>(240*AQ65)</f>
        <v>0</v>
      </c>
      <c r="AR161" s="11">
        <f>(240*AR65)</f>
        <v>0</v>
      </c>
      <c r="AS161" s="5">
        <f t="shared" si="463"/>
        <v>45675</v>
      </c>
      <c r="AU161" s="62">
        <f>'24-25'!AU161*1.05</f>
        <v>3150</v>
      </c>
      <c r="AV161" s="62">
        <f>'24-25'!AV161*1.05</f>
        <v>1155</v>
      </c>
      <c r="AW161" s="11">
        <v>0</v>
      </c>
      <c r="AX161" s="11"/>
      <c r="AY161" s="11">
        <f>(240*AY65)</f>
        <v>0</v>
      </c>
      <c r="AZ161" s="11">
        <f>(240*AZ65)</f>
        <v>0</v>
      </c>
      <c r="BA161" s="11">
        <f>(240*BA65)</f>
        <v>0</v>
      </c>
      <c r="BB161" s="5">
        <f t="shared" si="464"/>
        <v>4305</v>
      </c>
      <c r="BD161" s="62">
        <f>'24-25'!BD161*1.05</f>
        <v>3675</v>
      </c>
      <c r="BE161" s="62">
        <f>'24-25'!BE161*1.05</f>
        <v>787.5</v>
      </c>
      <c r="BF161" s="11">
        <v>0</v>
      </c>
      <c r="BG161" s="11"/>
      <c r="BH161" s="11">
        <v>0</v>
      </c>
      <c r="BI161" s="11">
        <f>(240*BI65)</f>
        <v>0</v>
      </c>
      <c r="BJ161" s="11">
        <f>(240*BJ65)</f>
        <v>0</v>
      </c>
      <c r="BK161" s="5">
        <f t="shared" si="465"/>
        <v>4462.5</v>
      </c>
      <c r="BM161" s="62">
        <f>'24-25'!BM161*1.05</f>
        <v>2100</v>
      </c>
      <c r="BN161" s="11"/>
      <c r="BO161" s="11">
        <v>0</v>
      </c>
      <c r="BP161" s="11"/>
      <c r="BQ161" s="11">
        <f>(240*BQ65)</f>
        <v>0</v>
      </c>
      <c r="BR161" s="11">
        <f>(240*BR65)</f>
        <v>0</v>
      </c>
      <c r="BS161" s="11">
        <f>(240*BS65)</f>
        <v>0</v>
      </c>
      <c r="BT161" s="5">
        <f t="shared" si="466"/>
        <v>2100</v>
      </c>
      <c r="BV161" s="5">
        <f t="shared" si="467"/>
        <v>172200</v>
      </c>
      <c r="BW161" s="5">
        <f t="shared" si="467"/>
        <v>25042.5</v>
      </c>
      <c r="BX161" s="5">
        <f t="shared" si="467"/>
        <v>0</v>
      </c>
      <c r="BY161" s="5">
        <f t="shared" si="467"/>
        <v>0</v>
      </c>
      <c r="BZ161" s="5">
        <f t="shared" si="467"/>
        <v>0</v>
      </c>
      <c r="CA161" s="5">
        <f t="shared" si="467"/>
        <v>0</v>
      </c>
      <c r="CB161" s="11">
        <f>(240*CB65)</f>
        <v>0</v>
      </c>
      <c r="CC161" s="5">
        <f t="shared" si="468"/>
        <v>197242.5</v>
      </c>
    </row>
    <row r="162" spans="1:81">
      <c r="A162" s="29" t="s">
        <v>142</v>
      </c>
      <c r="B162" s="62">
        <f>'24-25'!B162*1.05</f>
        <v>21525</v>
      </c>
      <c r="C162" s="5"/>
      <c r="D162" s="5"/>
      <c r="E162" s="5"/>
      <c r="F162" s="5"/>
      <c r="G162" s="5"/>
      <c r="H162" s="5"/>
      <c r="I162" s="5">
        <f t="shared" si="459"/>
        <v>21525</v>
      </c>
      <c r="K162" s="62">
        <f>'24-25'!K162*1.05</f>
        <v>21525</v>
      </c>
      <c r="L162" s="5"/>
      <c r="M162" s="5"/>
      <c r="N162" s="5"/>
      <c r="O162" s="5"/>
      <c r="P162" s="5"/>
      <c r="Q162" s="5"/>
      <c r="R162" s="5">
        <f t="shared" si="460"/>
        <v>21525</v>
      </c>
      <c r="T162" s="62">
        <f>'24-25'!T162*1.05</f>
        <v>21525</v>
      </c>
      <c r="U162" s="5"/>
      <c r="V162" s="5"/>
      <c r="W162" s="5"/>
      <c r="X162" s="5"/>
      <c r="Y162" s="5"/>
      <c r="Z162" s="5"/>
      <c r="AA162" s="5">
        <f t="shared" si="461"/>
        <v>21525</v>
      </c>
      <c r="AC162" s="62">
        <f>'24-25'!AC162*1.05</f>
        <v>21525</v>
      </c>
      <c r="AD162" s="5"/>
      <c r="AE162" s="5"/>
      <c r="AF162" s="5"/>
      <c r="AG162" s="5"/>
      <c r="AH162" s="5"/>
      <c r="AI162" s="5"/>
      <c r="AJ162" s="5">
        <f t="shared" si="462"/>
        <v>21525</v>
      </c>
      <c r="AL162" s="62">
        <f>'24-25'!AL162*1.05</f>
        <v>21525</v>
      </c>
      <c r="AM162" s="5"/>
      <c r="AN162" s="5"/>
      <c r="AO162" s="5"/>
      <c r="AP162" s="5"/>
      <c r="AQ162" s="5"/>
      <c r="AR162" s="5"/>
      <c r="AS162" s="5">
        <f t="shared" si="463"/>
        <v>21525</v>
      </c>
      <c r="AU162" s="62">
        <f>'24-25'!AU162*1.05</f>
        <v>21525</v>
      </c>
      <c r="AV162" s="5"/>
      <c r="AW162" s="5"/>
      <c r="AX162" s="5"/>
      <c r="AY162" s="5"/>
      <c r="AZ162" s="5"/>
      <c r="BA162" s="5"/>
      <c r="BB162" s="5">
        <f t="shared" si="464"/>
        <v>21525</v>
      </c>
      <c r="BD162" s="62">
        <f>'24-25'!BD162*1.05</f>
        <v>5250</v>
      </c>
      <c r="BE162" s="5"/>
      <c r="BF162" s="5"/>
      <c r="BG162" s="5"/>
      <c r="BH162" s="5"/>
      <c r="BI162" s="5"/>
      <c r="BJ162" s="5"/>
      <c r="BK162" s="5">
        <f t="shared" si="465"/>
        <v>5250</v>
      </c>
      <c r="BM162" s="11">
        <v>0</v>
      </c>
      <c r="BN162" s="5"/>
      <c r="BO162" s="5"/>
      <c r="BP162" s="5"/>
      <c r="BQ162" s="5"/>
      <c r="BR162" s="5"/>
      <c r="BS162" s="5"/>
      <c r="BT162" s="5">
        <f t="shared" si="466"/>
        <v>0</v>
      </c>
      <c r="BV162" s="5">
        <f t="shared" si="467"/>
        <v>134400</v>
      </c>
      <c r="BW162" s="5">
        <f t="shared" si="467"/>
        <v>0</v>
      </c>
      <c r="BX162" s="5">
        <f t="shared" si="467"/>
        <v>0</v>
      </c>
      <c r="BY162" s="5">
        <f t="shared" si="467"/>
        <v>0</v>
      </c>
      <c r="BZ162" s="5">
        <f t="shared" si="467"/>
        <v>0</v>
      </c>
      <c r="CA162" s="5">
        <f t="shared" si="467"/>
        <v>0</v>
      </c>
      <c r="CB162" s="5"/>
      <c r="CC162" s="5">
        <f t="shared" si="468"/>
        <v>134400</v>
      </c>
    </row>
    <row r="163" spans="1:81">
      <c r="A163" s="29" t="s">
        <v>143</v>
      </c>
      <c r="B163" s="11">
        <v>7500</v>
      </c>
      <c r="C163" s="5"/>
      <c r="D163" s="5"/>
      <c r="E163" s="5"/>
      <c r="F163" s="5"/>
      <c r="G163" s="5"/>
      <c r="H163" s="5"/>
      <c r="I163" s="5">
        <f t="shared" si="459"/>
        <v>7500</v>
      </c>
      <c r="K163" s="11">
        <v>8000</v>
      </c>
      <c r="L163" s="5"/>
      <c r="M163" s="5"/>
      <c r="N163" s="5"/>
      <c r="O163" s="5"/>
      <c r="P163" s="5"/>
      <c r="Q163" s="5"/>
      <c r="R163" s="5">
        <f t="shared" si="460"/>
        <v>8000</v>
      </c>
      <c r="T163" s="11">
        <v>8000</v>
      </c>
      <c r="U163" s="5"/>
      <c r="V163" s="5"/>
      <c r="W163" s="5"/>
      <c r="X163" s="5"/>
      <c r="Y163" s="5"/>
      <c r="Z163" s="5"/>
      <c r="AA163" s="5">
        <f t="shared" si="461"/>
        <v>8000</v>
      </c>
      <c r="AC163" s="11">
        <v>12000</v>
      </c>
      <c r="AD163" s="5"/>
      <c r="AE163" s="5"/>
      <c r="AF163" s="5"/>
      <c r="AG163" s="5"/>
      <c r="AH163" s="5"/>
      <c r="AI163" s="5"/>
      <c r="AJ163" s="5">
        <f t="shared" si="462"/>
        <v>12000</v>
      </c>
      <c r="AL163" s="11">
        <v>7500</v>
      </c>
      <c r="AM163" s="5"/>
      <c r="AN163" s="5"/>
      <c r="AO163" s="5"/>
      <c r="AP163" s="5"/>
      <c r="AQ163" s="5"/>
      <c r="AR163" s="5"/>
      <c r="AS163" s="5">
        <f t="shared" si="463"/>
        <v>7500</v>
      </c>
      <c r="AU163" s="11">
        <v>6000</v>
      </c>
      <c r="AV163" s="5"/>
      <c r="AW163" s="5"/>
      <c r="AX163" s="5"/>
      <c r="AY163" s="5"/>
      <c r="AZ163" s="5"/>
      <c r="BA163" s="5"/>
      <c r="BB163" s="5">
        <f t="shared" si="464"/>
        <v>6000</v>
      </c>
      <c r="BD163" s="11">
        <v>4500</v>
      </c>
      <c r="BE163" s="5"/>
      <c r="BF163" s="5"/>
      <c r="BG163" s="5"/>
      <c r="BH163" s="5"/>
      <c r="BI163" s="5"/>
      <c r="BJ163" s="5"/>
      <c r="BK163" s="5">
        <f t="shared" si="465"/>
        <v>4500</v>
      </c>
      <c r="BM163" s="11">
        <v>0</v>
      </c>
      <c r="BN163" s="5"/>
      <c r="BO163" s="5"/>
      <c r="BP163" s="5"/>
      <c r="BQ163" s="5"/>
      <c r="BR163" s="5"/>
      <c r="BS163" s="5"/>
      <c r="BT163" s="5">
        <f t="shared" si="466"/>
        <v>0</v>
      </c>
      <c r="BV163" s="5">
        <f t="shared" si="467"/>
        <v>53500</v>
      </c>
      <c r="BW163" s="5">
        <f t="shared" si="467"/>
        <v>0</v>
      </c>
      <c r="BX163" s="5">
        <f t="shared" si="467"/>
        <v>0</v>
      </c>
      <c r="BY163" s="5">
        <f t="shared" si="467"/>
        <v>0</v>
      </c>
      <c r="BZ163" s="5">
        <f t="shared" si="467"/>
        <v>0</v>
      </c>
      <c r="CA163" s="5">
        <f t="shared" si="467"/>
        <v>0</v>
      </c>
      <c r="CB163" s="5"/>
      <c r="CC163" s="5">
        <f t="shared" si="468"/>
        <v>53500</v>
      </c>
    </row>
    <row r="164" spans="1:81">
      <c r="A164" s="29" t="s">
        <v>144</v>
      </c>
      <c r="B164" s="11">
        <f>48*B17+(60*12)</f>
        <v>44352</v>
      </c>
      <c r="C164" s="5"/>
      <c r="D164" s="5"/>
      <c r="E164" s="5"/>
      <c r="F164" s="5"/>
      <c r="G164" s="5"/>
      <c r="H164" s="5"/>
      <c r="I164" s="5">
        <f t="shared" si="459"/>
        <v>44352</v>
      </c>
      <c r="K164" s="11">
        <f>48*K17+(60*12)</f>
        <v>50256</v>
      </c>
      <c r="L164" s="5"/>
      <c r="M164" s="5"/>
      <c r="N164" s="5"/>
      <c r="O164" s="5"/>
      <c r="P164" s="5"/>
      <c r="Q164" s="5"/>
      <c r="R164" s="5">
        <f t="shared" si="460"/>
        <v>50256</v>
      </c>
      <c r="T164" s="11">
        <f>48*T17+(60*12)</f>
        <v>60480</v>
      </c>
      <c r="U164" s="5"/>
      <c r="V164" s="5"/>
      <c r="W164" s="5"/>
      <c r="X164" s="5"/>
      <c r="Y164" s="5"/>
      <c r="Z164" s="5"/>
      <c r="AA164" s="5">
        <f t="shared" si="461"/>
        <v>60480</v>
      </c>
      <c r="AC164" s="11">
        <f>48*AC17+(60*12)</f>
        <v>117840</v>
      </c>
      <c r="AD164" s="5"/>
      <c r="AE164" s="5"/>
      <c r="AF164" s="5"/>
      <c r="AG164" s="5"/>
      <c r="AH164" s="5"/>
      <c r="AI164" s="5"/>
      <c r="AJ164" s="5">
        <f t="shared" si="462"/>
        <v>117840</v>
      </c>
      <c r="AL164" s="11">
        <f>48*AL17+(60*12)</f>
        <v>111552</v>
      </c>
      <c r="AM164" s="5"/>
      <c r="AN164" s="5"/>
      <c r="AO164" s="5"/>
      <c r="AP164" s="5"/>
      <c r="AQ164" s="5"/>
      <c r="AR164" s="5"/>
      <c r="AS164" s="5">
        <f t="shared" si="463"/>
        <v>111552</v>
      </c>
      <c r="AU164" s="11">
        <f>48*AU17+(60*12)</f>
        <v>7440</v>
      </c>
      <c r="AV164" s="5"/>
      <c r="AW164" s="5"/>
      <c r="AX164" s="5"/>
      <c r="AY164" s="5"/>
      <c r="AZ164" s="5"/>
      <c r="BA164" s="5"/>
      <c r="BB164" s="5">
        <f t="shared" si="464"/>
        <v>7440</v>
      </c>
      <c r="BD164" s="11">
        <f>48*BD17+(60*12)</f>
        <v>17328</v>
      </c>
      <c r="BE164" s="5"/>
      <c r="BF164" s="5"/>
      <c r="BG164" s="5"/>
      <c r="BH164" s="5"/>
      <c r="BI164" s="5"/>
      <c r="BJ164" s="5"/>
      <c r="BK164" s="5">
        <f t="shared" si="465"/>
        <v>17328</v>
      </c>
      <c r="BM164" s="11">
        <v>0</v>
      </c>
      <c r="BN164" s="5"/>
      <c r="BO164" s="5"/>
      <c r="BP164" s="5"/>
      <c r="BQ164" s="5"/>
      <c r="BR164" s="5"/>
      <c r="BS164" s="5"/>
      <c r="BT164" s="5">
        <f t="shared" si="466"/>
        <v>0</v>
      </c>
      <c r="BV164" s="5">
        <f t="shared" si="467"/>
        <v>409248</v>
      </c>
      <c r="BW164" s="5">
        <f t="shared" si="467"/>
        <v>0</v>
      </c>
      <c r="BX164" s="5">
        <f t="shared" si="467"/>
        <v>0</v>
      </c>
      <c r="BY164" s="5">
        <f t="shared" si="467"/>
        <v>0</v>
      </c>
      <c r="BZ164" s="5">
        <f t="shared" si="467"/>
        <v>0</v>
      </c>
      <c r="CA164" s="5">
        <f t="shared" si="467"/>
        <v>0</v>
      </c>
      <c r="CB164" s="5"/>
      <c r="CC164" s="5">
        <f t="shared" si="468"/>
        <v>409248</v>
      </c>
    </row>
    <row r="165" spans="1:81">
      <c r="A165" s="29" t="s">
        <v>145</v>
      </c>
      <c r="B165" s="11">
        <v>25000</v>
      </c>
      <c r="C165" s="5"/>
      <c r="D165" s="5"/>
      <c r="E165" s="5"/>
      <c r="F165" s="5"/>
      <c r="G165" s="5"/>
      <c r="H165" s="5"/>
      <c r="I165" s="5">
        <f t="shared" si="459"/>
        <v>25000</v>
      </c>
      <c r="K165" s="11">
        <v>27500</v>
      </c>
      <c r="L165" s="5"/>
      <c r="M165" s="5"/>
      <c r="N165" s="5"/>
      <c r="O165" s="5"/>
      <c r="P165" s="5"/>
      <c r="Q165" s="5"/>
      <c r="R165" s="5">
        <f t="shared" si="460"/>
        <v>27500</v>
      </c>
      <c r="T165" s="11">
        <v>30000</v>
      </c>
      <c r="U165" s="5"/>
      <c r="V165" s="5"/>
      <c r="W165" s="5"/>
      <c r="X165" s="5"/>
      <c r="Y165" s="5"/>
      <c r="Z165" s="5"/>
      <c r="AA165" s="5">
        <f t="shared" si="461"/>
        <v>30000</v>
      </c>
      <c r="AC165" s="11">
        <v>32500</v>
      </c>
      <c r="AD165" s="5"/>
      <c r="AE165" s="5"/>
      <c r="AF165" s="5"/>
      <c r="AG165" s="5"/>
      <c r="AH165" s="5"/>
      <c r="AI165" s="5"/>
      <c r="AJ165" s="5">
        <f t="shared" si="462"/>
        <v>32500</v>
      </c>
      <c r="AL165" s="11">
        <v>40000</v>
      </c>
      <c r="AM165" s="5"/>
      <c r="AN165" s="5"/>
      <c r="AO165" s="5"/>
      <c r="AP165" s="5"/>
      <c r="AQ165" s="5"/>
      <c r="AR165" s="5"/>
      <c r="AS165" s="5">
        <f t="shared" si="463"/>
        <v>40000</v>
      </c>
      <c r="AU165" s="11">
        <v>17000</v>
      </c>
      <c r="AV165" s="5"/>
      <c r="AW165" s="5"/>
      <c r="AX165" s="5"/>
      <c r="AY165" s="5"/>
      <c r="AZ165" s="5"/>
      <c r="BA165" s="5"/>
      <c r="BB165" s="5">
        <f t="shared" si="464"/>
        <v>17000</v>
      </c>
      <c r="BD165" s="11">
        <v>8500</v>
      </c>
      <c r="BE165" s="5"/>
      <c r="BF165" s="5"/>
      <c r="BG165" s="5"/>
      <c r="BH165" s="5"/>
      <c r="BI165" s="5"/>
      <c r="BJ165" s="5"/>
      <c r="BK165" s="5">
        <f t="shared" si="465"/>
        <v>8500</v>
      </c>
      <c r="BM165" s="11">
        <v>0</v>
      </c>
      <c r="BN165" s="5"/>
      <c r="BO165" s="5"/>
      <c r="BP165" s="5"/>
      <c r="BQ165" s="5"/>
      <c r="BR165" s="5"/>
      <c r="BS165" s="5"/>
      <c r="BT165" s="5">
        <f t="shared" si="466"/>
        <v>0</v>
      </c>
      <c r="BV165" s="5">
        <f t="shared" si="467"/>
        <v>180500</v>
      </c>
      <c r="BW165" s="5">
        <f t="shared" si="467"/>
        <v>0</v>
      </c>
      <c r="BX165" s="5">
        <f t="shared" si="467"/>
        <v>0</v>
      </c>
      <c r="BY165" s="5">
        <f t="shared" si="467"/>
        <v>0</v>
      </c>
      <c r="BZ165" s="5">
        <f t="shared" si="467"/>
        <v>0</v>
      </c>
      <c r="CA165" s="5">
        <f t="shared" si="467"/>
        <v>0</v>
      </c>
      <c r="CB165" s="5"/>
      <c r="CC165" s="5">
        <f t="shared" si="468"/>
        <v>180500</v>
      </c>
    </row>
    <row r="166" spans="1:81">
      <c r="A166" s="29" t="s">
        <v>146</v>
      </c>
      <c r="B166" s="11">
        <f>B74*0.0125</f>
        <v>108568.6875</v>
      </c>
      <c r="C166" s="5"/>
      <c r="D166" s="5"/>
      <c r="E166" s="5"/>
      <c r="F166" s="5"/>
      <c r="G166" s="5"/>
      <c r="H166" s="5"/>
      <c r="I166" s="5">
        <f t="shared" si="459"/>
        <v>108568.6875</v>
      </c>
      <c r="J166" s="80"/>
      <c r="K166" s="11">
        <f>K74*0.0125</f>
        <v>123259.5</v>
      </c>
      <c r="L166" s="5"/>
      <c r="M166" s="5"/>
      <c r="N166" s="5"/>
      <c r="O166" s="5"/>
      <c r="P166" s="5"/>
      <c r="Q166" s="5"/>
      <c r="R166" s="5">
        <f t="shared" si="460"/>
        <v>123259.5</v>
      </c>
      <c r="T166" s="11">
        <f>T74*0.0125</f>
        <v>148699.6875</v>
      </c>
      <c r="U166" s="5"/>
      <c r="V166" s="5"/>
      <c r="W166" s="5"/>
      <c r="X166" s="5"/>
      <c r="Y166" s="5"/>
      <c r="Z166" s="5"/>
      <c r="AA166" s="5">
        <f t="shared" si="461"/>
        <v>148699.6875</v>
      </c>
      <c r="AC166" s="11">
        <f>AC74*0.0125</f>
        <v>291427.5</v>
      </c>
      <c r="AD166" s="5"/>
      <c r="AE166" s="5"/>
      <c r="AF166" s="5"/>
      <c r="AG166" s="5"/>
      <c r="AH166" s="5"/>
      <c r="AI166" s="5"/>
      <c r="AJ166" s="5">
        <f t="shared" si="462"/>
        <v>291427.5</v>
      </c>
      <c r="AL166" s="11">
        <f>AL74*0.0125</f>
        <v>275781.1875</v>
      </c>
      <c r="AM166" s="5"/>
      <c r="AN166" s="5"/>
      <c r="AO166" s="5"/>
      <c r="AP166" s="5"/>
      <c r="AQ166" s="5"/>
      <c r="AR166" s="5"/>
      <c r="AS166" s="5">
        <f t="shared" si="463"/>
        <v>275781.1875</v>
      </c>
      <c r="AU166" s="11">
        <f>AU74*0.0125</f>
        <v>16721.25</v>
      </c>
      <c r="AV166" s="5"/>
      <c r="AW166" s="5"/>
      <c r="AX166" s="5"/>
      <c r="AY166" s="5"/>
      <c r="AZ166" s="5"/>
      <c r="BA166" s="5"/>
      <c r="BB166" s="5">
        <f t="shared" si="464"/>
        <v>16721.25</v>
      </c>
      <c r="BD166" s="11">
        <f>BD74*0.0125</f>
        <v>41325.375</v>
      </c>
      <c r="BE166" s="5"/>
      <c r="BF166" s="5"/>
      <c r="BG166" s="5"/>
      <c r="BH166" s="5"/>
      <c r="BI166" s="5"/>
      <c r="BJ166" s="5"/>
      <c r="BK166" s="5">
        <f t="shared" si="465"/>
        <v>41325.375</v>
      </c>
      <c r="BM166" s="11">
        <f>BM74*0.0125</f>
        <v>0</v>
      </c>
      <c r="BN166" s="5"/>
      <c r="BO166" s="5"/>
      <c r="BP166" s="5"/>
      <c r="BQ166" s="5"/>
      <c r="BR166" s="5"/>
      <c r="BS166" s="5"/>
      <c r="BT166" s="5">
        <f t="shared" si="466"/>
        <v>0</v>
      </c>
      <c r="BV166" s="5">
        <f t="shared" si="467"/>
        <v>1005783.1875</v>
      </c>
      <c r="BW166" s="5">
        <f t="shared" si="467"/>
        <v>0</v>
      </c>
      <c r="BX166" s="5">
        <f t="shared" si="467"/>
        <v>0</v>
      </c>
      <c r="BY166" s="5">
        <f t="shared" si="467"/>
        <v>0</v>
      </c>
      <c r="BZ166" s="5">
        <f t="shared" si="467"/>
        <v>0</v>
      </c>
      <c r="CA166" s="5">
        <f t="shared" si="467"/>
        <v>0</v>
      </c>
      <c r="CB166" s="5"/>
      <c r="CC166" s="5">
        <f t="shared" si="468"/>
        <v>1005783.1875</v>
      </c>
    </row>
    <row r="167" spans="1:81">
      <c r="A167" s="29" t="s">
        <v>147</v>
      </c>
      <c r="B167" s="11">
        <f>B74*0.005</f>
        <v>43427.474999999999</v>
      </c>
      <c r="C167" s="5"/>
      <c r="D167" s="5"/>
      <c r="E167" s="5"/>
      <c r="F167" s="5"/>
      <c r="G167" s="5"/>
      <c r="H167" s="5"/>
      <c r="I167" s="5">
        <f t="shared" si="459"/>
        <v>43427.474999999999</v>
      </c>
      <c r="J167" s="80"/>
      <c r="K167" s="11">
        <f>K74*0.005</f>
        <v>49303.8</v>
      </c>
      <c r="L167" s="5"/>
      <c r="M167" s="5"/>
      <c r="N167" s="5"/>
      <c r="O167" s="5"/>
      <c r="P167" s="5"/>
      <c r="Q167" s="5"/>
      <c r="R167" s="5">
        <f t="shared" si="460"/>
        <v>49303.8</v>
      </c>
      <c r="T167" s="11">
        <f>T74*0.005</f>
        <v>59479.875</v>
      </c>
      <c r="U167" s="5"/>
      <c r="V167" s="5"/>
      <c r="W167" s="5"/>
      <c r="X167" s="5"/>
      <c r="Y167" s="5"/>
      <c r="Z167" s="5"/>
      <c r="AA167" s="5">
        <f t="shared" si="461"/>
        <v>59479.875</v>
      </c>
      <c r="AC167" s="11">
        <f>AC74*0.005</f>
        <v>116571</v>
      </c>
      <c r="AD167" s="5"/>
      <c r="AE167" s="5"/>
      <c r="AF167" s="5"/>
      <c r="AG167" s="5"/>
      <c r="AH167" s="5"/>
      <c r="AI167" s="5"/>
      <c r="AJ167" s="5">
        <f t="shared" si="462"/>
        <v>116571</v>
      </c>
      <c r="AL167" s="11">
        <f>AL74*0.005</f>
        <v>110312.47500000001</v>
      </c>
      <c r="AM167" s="5"/>
      <c r="AN167" s="5"/>
      <c r="AO167" s="5"/>
      <c r="AP167" s="5"/>
      <c r="AQ167" s="5"/>
      <c r="AR167" s="5"/>
      <c r="AS167" s="5">
        <f t="shared" si="463"/>
        <v>110312.47500000001</v>
      </c>
      <c r="AU167" s="11">
        <f>AU74*0.005</f>
        <v>6688.5</v>
      </c>
      <c r="AV167" s="5"/>
      <c r="AW167" s="5"/>
      <c r="AX167" s="5"/>
      <c r="AY167" s="5"/>
      <c r="AZ167" s="5"/>
      <c r="BA167" s="5"/>
      <c r="BB167" s="5">
        <f t="shared" si="464"/>
        <v>6688.5</v>
      </c>
      <c r="BD167" s="11">
        <f>BD74*0.005</f>
        <v>16530.150000000001</v>
      </c>
      <c r="BE167" s="5"/>
      <c r="BF167" s="5"/>
      <c r="BG167" s="5"/>
      <c r="BH167" s="5"/>
      <c r="BI167" s="5"/>
      <c r="BJ167" s="5"/>
      <c r="BK167" s="5">
        <f t="shared" si="465"/>
        <v>16530.150000000001</v>
      </c>
      <c r="BM167" s="11">
        <f>BM74*0.005</f>
        <v>0</v>
      </c>
      <c r="BN167" s="5"/>
      <c r="BO167" s="5"/>
      <c r="BP167" s="5"/>
      <c r="BQ167" s="5"/>
      <c r="BR167" s="5"/>
      <c r="BS167" s="5"/>
      <c r="BT167" s="5">
        <f t="shared" si="466"/>
        <v>0</v>
      </c>
      <c r="BV167" s="5">
        <f t="shared" si="467"/>
        <v>402313.27500000002</v>
      </c>
      <c r="BW167" s="5">
        <f t="shared" si="467"/>
        <v>0</v>
      </c>
      <c r="BX167" s="5">
        <f t="shared" si="467"/>
        <v>0</v>
      </c>
      <c r="BY167" s="5">
        <f t="shared" si="467"/>
        <v>0</v>
      </c>
      <c r="BZ167" s="5">
        <f t="shared" si="467"/>
        <v>0</v>
      </c>
      <c r="CA167" s="5">
        <f t="shared" si="467"/>
        <v>0</v>
      </c>
      <c r="CB167" s="5"/>
      <c r="CC167" s="5">
        <f t="shared" si="468"/>
        <v>402313.27500000002</v>
      </c>
    </row>
    <row r="168" spans="1:81">
      <c r="A168" s="29" t="s">
        <v>148</v>
      </c>
      <c r="B168" s="11">
        <f>B74*0.005</f>
        <v>43427.474999999999</v>
      </c>
      <c r="C168" s="5"/>
      <c r="D168" s="5"/>
      <c r="E168" s="5"/>
      <c r="F168" s="5"/>
      <c r="G168" s="5"/>
      <c r="H168" s="5"/>
      <c r="I168" s="5">
        <f t="shared" si="459"/>
        <v>43427.474999999999</v>
      </c>
      <c r="J168" s="80"/>
      <c r="K168" s="11">
        <f>K74*0.005</f>
        <v>49303.8</v>
      </c>
      <c r="L168" s="5"/>
      <c r="M168" s="5"/>
      <c r="N168" s="5"/>
      <c r="O168" s="5"/>
      <c r="P168" s="5"/>
      <c r="Q168" s="5"/>
      <c r="R168" s="5">
        <f t="shared" si="460"/>
        <v>49303.8</v>
      </c>
      <c r="T168" s="11">
        <f>T74*0.005</f>
        <v>59479.875</v>
      </c>
      <c r="U168" s="5"/>
      <c r="V168" s="5"/>
      <c r="W168" s="5"/>
      <c r="X168" s="5"/>
      <c r="Y168" s="5"/>
      <c r="Z168" s="5"/>
      <c r="AA168" s="5">
        <f t="shared" si="461"/>
        <v>59479.875</v>
      </c>
      <c r="AC168" s="11">
        <f>AC74*0.005</f>
        <v>116571</v>
      </c>
      <c r="AD168" s="5"/>
      <c r="AE168" s="5"/>
      <c r="AF168" s="5"/>
      <c r="AG168" s="5"/>
      <c r="AH168" s="5"/>
      <c r="AI168" s="5"/>
      <c r="AJ168" s="5">
        <f t="shared" si="462"/>
        <v>116571</v>
      </c>
      <c r="AL168" s="11">
        <f>AL74*0.005</f>
        <v>110312.47500000001</v>
      </c>
      <c r="AM168" s="5"/>
      <c r="AN168" s="5"/>
      <c r="AO168" s="5"/>
      <c r="AP168" s="5"/>
      <c r="AQ168" s="5"/>
      <c r="AR168" s="5"/>
      <c r="AS168" s="5">
        <f t="shared" si="463"/>
        <v>110312.47500000001</v>
      </c>
      <c r="AU168" s="11">
        <f>AU74*0.005</f>
        <v>6688.5</v>
      </c>
      <c r="AV168" s="5"/>
      <c r="AW168" s="5"/>
      <c r="AX168" s="5"/>
      <c r="AY168" s="5"/>
      <c r="AZ168" s="5"/>
      <c r="BA168" s="5"/>
      <c r="BB168" s="5">
        <f t="shared" si="464"/>
        <v>6688.5</v>
      </c>
      <c r="BD168" s="11">
        <f>BD74*0.005</f>
        <v>16530.150000000001</v>
      </c>
      <c r="BE168" s="5"/>
      <c r="BF168" s="5"/>
      <c r="BG168" s="5"/>
      <c r="BH168" s="5"/>
      <c r="BI168" s="5"/>
      <c r="BJ168" s="5"/>
      <c r="BK168" s="5">
        <f t="shared" si="465"/>
        <v>16530.150000000001</v>
      </c>
      <c r="BM168" s="11">
        <f>BM74*0.005</f>
        <v>0</v>
      </c>
      <c r="BN168" s="5"/>
      <c r="BO168" s="5"/>
      <c r="BP168" s="5"/>
      <c r="BQ168" s="5"/>
      <c r="BR168" s="5"/>
      <c r="BS168" s="5"/>
      <c r="BT168" s="5">
        <f t="shared" si="466"/>
        <v>0</v>
      </c>
      <c r="BV168" s="5">
        <f t="shared" si="467"/>
        <v>402313.27500000002</v>
      </c>
      <c r="BW168" s="5">
        <f t="shared" si="467"/>
        <v>0</v>
      </c>
      <c r="BX168" s="5">
        <f t="shared" si="467"/>
        <v>0</v>
      </c>
      <c r="BY168" s="5">
        <f t="shared" si="467"/>
        <v>0</v>
      </c>
      <c r="BZ168" s="5">
        <f t="shared" si="467"/>
        <v>0</v>
      </c>
      <c r="CA168" s="5">
        <f t="shared" si="467"/>
        <v>0</v>
      </c>
      <c r="CB168" s="5"/>
      <c r="CC168" s="5">
        <f t="shared" si="468"/>
        <v>402313.27500000002</v>
      </c>
    </row>
    <row r="169" spans="1:81">
      <c r="A169" s="78" t="s">
        <v>149</v>
      </c>
      <c r="B169" s="11">
        <v>0</v>
      </c>
      <c r="C169" s="5"/>
      <c r="D169" s="5"/>
      <c r="E169" s="5"/>
      <c r="F169" s="5"/>
      <c r="G169" s="5"/>
      <c r="H169" s="5"/>
      <c r="I169" s="5">
        <f t="shared" si="459"/>
        <v>0</v>
      </c>
      <c r="J169" s="80"/>
      <c r="K169" s="11">
        <v>0</v>
      </c>
      <c r="L169" s="5"/>
      <c r="M169" s="5"/>
      <c r="N169" s="5"/>
      <c r="O169" s="5"/>
      <c r="P169" s="5"/>
      <c r="Q169" s="5"/>
      <c r="R169" s="5">
        <f t="shared" si="460"/>
        <v>0</v>
      </c>
      <c r="T169" s="11">
        <v>0</v>
      </c>
      <c r="U169" s="5"/>
      <c r="V169" s="5"/>
      <c r="W169" s="5"/>
      <c r="X169" s="5"/>
      <c r="Y169" s="5"/>
      <c r="Z169" s="5"/>
      <c r="AA169" s="5">
        <f t="shared" si="461"/>
        <v>0</v>
      </c>
      <c r="AC169" s="11">
        <v>0</v>
      </c>
      <c r="AD169" s="5"/>
      <c r="AE169" s="5"/>
      <c r="AF169" s="5"/>
      <c r="AG169" s="5"/>
      <c r="AH169" s="5"/>
      <c r="AI169" s="5"/>
      <c r="AJ169" s="5">
        <f t="shared" si="462"/>
        <v>0</v>
      </c>
      <c r="AL169" s="11">
        <v>0</v>
      </c>
      <c r="AM169" s="5"/>
      <c r="AN169" s="5"/>
      <c r="AO169" s="5"/>
      <c r="AP169" s="5"/>
      <c r="AQ169" s="5"/>
      <c r="AR169" s="5"/>
      <c r="AS169" s="5">
        <f t="shared" si="463"/>
        <v>0</v>
      </c>
      <c r="AU169" s="11">
        <v>0</v>
      </c>
      <c r="AV169" s="5"/>
      <c r="AW169" s="5"/>
      <c r="AX169" s="5"/>
      <c r="AY169" s="5"/>
      <c r="AZ169" s="5"/>
      <c r="BA169" s="5"/>
      <c r="BB169" s="5">
        <f t="shared" si="464"/>
        <v>0</v>
      </c>
      <c r="BD169" s="11">
        <v>0</v>
      </c>
      <c r="BE169" s="5"/>
      <c r="BF169" s="5"/>
      <c r="BG169" s="5"/>
      <c r="BH169" s="5"/>
      <c r="BI169" s="5"/>
      <c r="BJ169" s="5"/>
      <c r="BK169" s="5">
        <f t="shared" si="465"/>
        <v>0</v>
      </c>
      <c r="BM169" s="11">
        <v>0</v>
      </c>
      <c r="BN169" s="5"/>
      <c r="BO169" s="5"/>
      <c r="BP169" s="5"/>
      <c r="BQ169" s="5"/>
      <c r="BR169" s="5"/>
      <c r="BS169" s="5"/>
      <c r="BT169" s="5">
        <f t="shared" si="466"/>
        <v>0</v>
      </c>
      <c r="BV169" s="5">
        <f t="shared" si="467"/>
        <v>0</v>
      </c>
      <c r="BW169" s="5">
        <f t="shared" si="467"/>
        <v>0</v>
      </c>
      <c r="BX169" s="5">
        <f t="shared" si="467"/>
        <v>0</v>
      </c>
      <c r="BY169" s="5">
        <f t="shared" si="467"/>
        <v>0</v>
      </c>
      <c r="BZ169" s="5">
        <f t="shared" si="467"/>
        <v>0</v>
      </c>
      <c r="CA169" s="5">
        <f t="shared" si="467"/>
        <v>0</v>
      </c>
      <c r="CB169" s="5"/>
      <c r="CC169" s="5">
        <f t="shared" si="468"/>
        <v>0</v>
      </c>
    </row>
    <row r="170" spans="1:81" ht="15">
      <c r="A170" s="70" t="s">
        <v>150</v>
      </c>
      <c r="B170" s="71">
        <f>SUM(B156:B169)</f>
        <v>780715.63749999995</v>
      </c>
      <c r="C170" s="71">
        <f t="shared" ref="C170:H170" si="469">SUM(C156:C169)</f>
        <v>525825</v>
      </c>
      <c r="D170" s="71">
        <f t="shared" si="469"/>
        <v>0</v>
      </c>
      <c r="E170" s="71">
        <f t="shared" si="469"/>
        <v>0</v>
      </c>
      <c r="F170" s="71">
        <f t="shared" si="469"/>
        <v>0</v>
      </c>
      <c r="G170" s="71">
        <f t="shared" si="469"/>
        <v>0</v>
      </c>
      <c r="H170" s="71">
        <f t="shared" si="469"/>
        <v>0</v>
      </c>
      <c r="I170" s="71">
        <f>SUM(I156:I169)</f>
        <v>1306540.6375000002</v>
      </c>
      <c r="J170" s="7"/>
      <c r="K170" s="71">
        <f>SUM(K156:K169)</f>
        <v>922361.10000000009</v>
      </c>
      <c r="L170" s="71">
        <f t="shared" ref="L170:Q170" si="470">SUM(L156:L169)</f>
        <v>168270</v>
      </c>
      <c r="M170" s="71">
        <f t="shared" si="470"/>
        <v>0</v>
      </c>
      <c r="N170" s="71">
        <f t="shared" si="470"/>
        <v>0</v>
      </c>
      <c r="O170" s="71">
        <f t="shared" si="470"/>
        <v>0</v>
      </c>
      <c r="P170" s="71">
        <f t="shared" si="470"/>
        <v>0</v>
      </c>
      <c r="Q170" s="71">
        <f t="shared" si="470"/>
        <v>0</v>
      </c>
      <c r="R170" s="71">
        <f>SUM(R156:R169)</f>
        <v>1090631.1000000001</v>
      </c>
      <c r="T170" s="71">
        <f>SUM(T156:T169)</f>
        <v>1048564.4375</v>
      </c>
      <c r="U170" s="71">
        <f t="shared" ref="U170:Z170" si="471">SUM(U156:U169)</f>
        <v>103275</v>
      </c>
      <c r="V170" s="71">
        <f t="shared" si="471"/>
        <v>0</v>
      </c>
      <c r="W170" s="71">
        <f t="shared" si="471"/>
        <v>0</v>
      </c>
      <c r="X170" s="71">
        <f t="shared" si="471"/>
        <v>0</v>
      </c>
      <c r="Y170" s="71">
        <f t="shared" si="471"/>
        <v>0</v>
      </c>
      <c r="Z170" s="71">
        <f t="shared" si="471"/>
        <v>0</v>
      </c>
      <c r="AA170" s="71">
        <f>SUM(AA156:AA169)</f>
        <v>1151839.4375</v>
      </c>
      <c r="AC170" s="71">
        <f>SUM(AC156:AC169)</f>
        <v>2005484.5</v>
      </c>
      <c r="AD170" s="71">
        <f t="shared" ref="AD170:AI170" si="472">SUM(AD156:AD169)</f>
        <v>348950</v>
      </c>
      <c r="AE170" s="71">
        <f t="shared" si="472"/>
        <v>0</v>
      </c>
      <c r="AF170" s="71">
        <f t="shared" si="472"/>
        <v>0</v>
      </c>
      <c r="AG170" s="71">
        <f t="shared" si="472"/>
        <v>0</v>
      </c>
      <c r="AH170" s="71">
        <f t="shared" si="472"/>
        <v>0</v>
      </c>
      <c r="AI170" s="71">
        <f t="shared" si="472"/>
        <v>0</v>
      </c>
      <c r="AJ170" s="71">
        <f>SUM(AJ156:AJ169)</f>
        <v>2354434.5</v>
      </c>
      <c r="AL170" s="71">
        <f>SUM(AL156:AL169)</f>
        <v>1891338.1375000002</v>
      </c>
      <c r="AM170" s="71">
        <f t="shared" ref="AM170:AR170" si="473">SUM(AM156:AM169)</f>
        <v>525300</v>
      </c>
      <c r="AN170" s="71">
        <f t="shared" si="473"/>
        <v>0</v>
      </c>
      <c r="AO170" s="71">
        <f t="shared" si="473"/>
        <v>0</v>
      </c>
      <c r="AP170" s="71">
        <f t="shared" si="473"/>
        <v>0</v>
      </c>
      <c r="AQ170" s="71">
        <f t="shared" si="473"/>
        <v>0</v>
      </c>
      <c r="AR170" s="71">
        <f t="shared" si="473"/>
        <v>0</v>
      </c>
      <c r="AS170" s="71">
        <f>SUM(AS156:AS169)</f>
        <v>2416638.1375000002</v>
      </c>
      <c r="AU170" s="71">
        <f>SUM(AU156:AU169)</f>
        <v>444488.25</v>
      </c>
      <c r="AV170" s="71">
        <f t="shared" ref="AV170:BA170" si="474">SUM(AV156:AV169)</f>
        <v>29155</v>
      </c>
      <c r="AW170" s="71">
        <f t="shared" si="474"/>
        <v>0</v>
      </c>
      <c r="AX170" s="71">
        <f t="shared" si="474"/>
        <v>0</v>
      </c>
      <c r="AY170" s="71">
        <f t="shared" si="474"/>
        <v>0</v>
      </c>
      <c r="AZ170" s="71">
        <f t="shared" si="474"/>
        <v>0</v>
      </c>
      <c r="BA170" s="71">
        <f t="shared" si="474"/>
        <v>0</v>
      </c>
      <c r="BB170" s="71">
        <f>SUM(BB156:BB169)</f>
        <v>473643.25</v>
      </c>
      <c r="BD170" s="71">
        <f>SUM(BD156:BD169)</f>
        <v>288058.67500000005</v>
      </c>
      <c r="BE170" s="71">
        <f t="shared" ref="BE170:BJ170" si="475">SUM(BE156:BE169)</f>
        <v>320287.5</v>
      </c>
      <c r="BF170" s="71">
        <f t="shared" si="475"/>
        <v>0</v>
      </c>
      <c r="BG170" s="71">
        <f t="shared" si="475"/>
        <v>0</v>
      </c>
      <c r="BH170" s="71">
        <f t="shared" si="475"/>
        <v>0</v>
      </c>
      <c r="BI170" s="71">
        <f t="shared" si="475"/>
        <v>0</v>
      </c>
      <c r="BJ170" s="71">
        <f t="shared" si="475"/>
        <v>0</v>
      </c>
      <c r="BK170" s="71">
        <f>SUM(BK156:BK169)</f>
        <v>608346.17500000005</v>
      </c>
      <c r="BM170" s="71">
        <f>SUM(BM156:BM169)</f>
        <v>2100</v>
      </c>
      <c r="BN170" s="71">
        <f t="shared" ref="BN170:BS170" si="476">SUM(BN156:BN169)</f>
        <v>0</v>
      </c>
      <c r="BO170" s="71">
        <f t="shared" si="476"/>
        <v>0</v>
      </c>
      <c r="BP170" s="71">
        <f t="shared" si="476"/>
        <v>0</v>
      </c>
      <c r="BQ170" s="71">
        <f t="shared" si="476"/>
        <v>0</v>
      </c>
      <c r="BR170" s="71">
        <f t="shared" si="476"/>
        <v>0</v>
      </c>
      <c r="BS170" s="71">
        <f t="shared" si="476"/>
        <v>0</v>
      </c>
      <c r="BT170" s="71">
        <f>SUM(BT156:BT169)</f>
        <v>2100</v>
      </c>
      <c r="BV170" s="71">
        <f>SUM(BV156:BV169)</f>
        <v>7383110.7375000007</v>
      </c>
      <c r="BW170" s="71">
        <f t="shared" ref="BW170:CB170" si="477">SUM(BW156:BW169)</f>
        <v>2021062.5</v>
      </c>
      <c r="BX170" s="71">
        <f t="shared" si="477"/>
        <v>0</v>
      </c>
      <c r="BY170" s="71">
        <f t="shared" si="477"/>
        <v>0</v>
      </c>
      <c r="BZ170" s="71">
        <f t="shared" si="477"/>
        <v>0</v>
      </c>
      <c r="CA170" s="71">
        <f t="shared" si="477"/>
        <v>0</v>
      </c>
      <c r="CB170" s="71">
        <f t="shared" si="477"/>
        <v>0</v>
      </c>
      <c r="CC170" s="71">
        <f>SUM(CC156:CC169)</f>
        <v>9404173.2375000007</v>
      </c>
    </row>
    <row r="171" spans="1:81" ht="15">
      <c r="A171" s="75" t="s">
        <v>151</v>
      </c>
      <c r="B171" s="18" t="str">
        <f t="shared" ref="B171:I171" si="478">B1</f>
        <v>Operating</v>
      </c>
      <c r="C171" s="18" t="str">
        <f t="shared" si="478"/>
        <v>SPED</v>
      </c>
      <c r="D171" s="18" t="str">
        <f t="shared" si="478"/>
        <v>NSLP</v>
      </c>
      <c r="E171" s="18" t="str">
        <f t="shared" si="478"/>
        <v>Other</v>
      </c>
      <c r="F171" s="18" t="str">
        <f t="shared" si="478"/>
        <v>Title I</v>
      </c>
      <c r="G171" s="18" t="str">
        <f t="shared" si="478"/>
        <v>SGF</v>
      </c>
      <c r="H171" s="18" t="str">
        <f t="shared" si="478"/>
        <v>Title III</v>
      </c>
      <c r="I171" s="18" t="str">
        <f t="shared" si="478"/>
        <v>Horizon</v>
      </c>
      <c r="J171" s="7"/>
      <c r="K171" s="18" t="str">
        <f t="shared" ref="K171:R171" si="479">K1</f>
        <v>Operating</v>
      </c>
      <c r="L171" s="18" t="str">
        <f t="shared" si="479"/>
        <v>SPED</v>
      </c>
      <c r="M171" s="18" t="str">
        <f t="shared" si="479"/>
        <v>NSLP</v>
      </c>
      <c r="N171" s="18" t="str">
        <f t="shared" si="479"/>
        <v>Other</v>
      </c>
      <c r="O171" s="18" t="str">
        <f t="shared" si="479"/>
        <v>Title I</v>
      </c>
      <c r="P171" s="18" t="str">
        <f t="shared" si="479"/>
        <v>SGF</v>
      </c>
      <c r="Q171" s="18" t="str">
        <f t="shared" si="479"/>
        <v>Title III</v>
      </c>
      <c r="R171" s="18" t="str">
        <f t="shared" si="479"/>
        <v>St. Rose</v>
      </c>
      <c r="T171" s="18" t="str">
        <f t="shared" ref="T171:AA171" si="480">T1</f>
        <v>Operating</v>
      </c>
      <c r="U171" s="18" t="str">
        <f t="shared" si="480"/>
        <v>SPED</v>
      </c>
      <c r="V171" s="18" t="str">
        <f t="shared" si="480"/>
        <v>NSLP</v>
      </c>
      <c r="W171" s="18" t="str">
        <f t="shared" si="480"/>
        <v>Other</v>
      </c>
      <c r="X171" s="18" t="str">
        <f t="shared" si="480"/>
        <v>Title I</v>
      </c>
      <c r="Y171" s="18" t="str">
        <f t="shared" si="480"/>
        <v>SGF</v>
      </c>
      <c r="Z171" s="18" t="str">
        <f t="shared" si="480"/>
        <v>Title III</v>
      </c>
      <c r="AA171" s="18" t="str">
        <f t="shared" si="480"/>
        <v>Inspirada</v>
      </c>
      <c r="AC171" s="18" t="str">
        <f t="shared" ref="AC171:AJ171" si="481">AC1</f>
        <v>Operating</v>
      </c>
      <c r="AD171" s="18" t="str">
        <f t="shared" si="481"/>
        <v>SPED</v>
      </c>
      <c r="AE171" s="18" t="str">
        <f t="shared" si="481"/>
        <v>NSLP</v>
      </c>
      <c r="AF171" s="18" t="str">
        <f t="shared" si="481"/>
        <v>Other</v>
      </c>
      <c r="AG171" s="18" t="str">
        <f t="shared" si="481"/>
        <v>Title I</v>
      </c>
      <c r="AH171" s="18" t="str">
        <f t="shared" si="481"/>
        <v>SGF</v>
      </c>
      <c r="AI171" s="18" t="str">
        <f t="shared" si="481"/>
        <v>Title III</v>
      </c>
      <c r="AJ171" s="18" t="str">
        <f t="shared" si="481"/>
        <v>Cadence</v>
      </c>
      <c r="AL171" s="18" t="str">
        <f t="shared" ref="AL171:AS171" si="482">AL1</f>
        <v>Operating</v>
      </c>
      <c r="AM171" s="18" t="str">
        <f t="shared" si="482"/>
        <v>SPED</v>
      </c>
      <c r="AN171" s="18" t="str">
        <f t="shared" si="482"/>
        <v>NSLP</v>
      </c>
      <c r="AO171" s="18" t="str">
        <f t="shared" si="482"/>
        <v>Other</v>
      </c>
      <c r="AP171" s="18" t="str">
        <f t="shared" si="482"/>
        <v>Title I</v>
      </c>
      <c r="AQ171" s="18" t="str">
        <f t="shared" si="482"/>
        <v>SGF</v>
      </c>
      <c r="AR171" s="18" t="str">
        <f t="shared" si="482"/>
        <v>Title III</v>
      </c>
      <c r="AS171" s="18" t="str">
        <f t="shared" si="482"/>
        <v>Sloan</v>
      </c>
      <c r="AU171" s="18" t="str">
        <f t="shared" ref="AU171:BB171" si="483">AU1</f>
        <v>Operating</v>
      </c>
      <c r="AV171" s="18" t="str">
        <f t="shared" si="483"/>
        <v>SPED</v>
      </c>
      <c r="AW171" s="18" t="str">
        <f t="shared" si="483"/>
        <v>NSLP</v>
      </c>
      <c r="AX171" s="18" t="str">
        <f t="shared" si="483"/>
        <v>Other</v>
      </c>
      <c r="AY171" s="18" t="str">
        <f t="shared" si="483"/>
        <v>Title I</v>
      </c>
      <c r="AZ171" s="18" t="str">
        <f t="shared" si="483"/>
        <v>SGF</v>
      </c>
      <c r="BA171" s="18" t="str">
        <f t="shared" si="483"/>
        <v>Title III</v>
      </c>
      <c r="BB171" s="18" t="str">
        <f t="shared" si="483"/>
        <v>Virtual</v>
      </c>
      <c r="BD171" s="18" t="str">
        <f t="shared" ref="BD171:BK171" si="484">BD1</f>
        <v>Operating</v>
      </c>
      <c r="BE171" s="18" t="str">
        <f t="shared" si="484"/>
        <v>SPED</v>
      </c>
      <c r="BF171" s="18" t="str">
        <f t="shared" si="484"/>
        <v>NSLP</v>
      </c>
      <c r="BG171" s="18" t="str">
        <f t="shared" si="484"/>
        <v>Other</v>
      </c>
      <c r="BH171" s="18" t="str">
        <f t="shared" si="484"/>
        <v>Title I</v>
      </c>
      <c r="BI171" s="18" t="str">
        <f t="shared" si="484"/>
        <v>SGF</v>
      </c>
      <c r="BJ171" s="18" t="str">
        <f t="shared" si="484"/>
        <v>Title III</v>
      </c>
      <c r="BK171" s="18" t="str">
        <f t="shared" si="484"/>
        <v>Springs</v>
      </c>
      <c r="BM171" s="18" t="str">
        <f t="shared" ref="BM171:BT171" si="485">BM1</f>
        <v>Operating</v>
      </c>
      <c r="BN171" s="18" t="str">
        <f t="shared" si="485"/>
        <v>SPED</v>
      </c>
      <c r="BO171" s="18" t="str">
        <f t="shared" si="485"/>
        <v>NSLP</v>
      </c>
      <c r="BP171" s="18" t="str">
        <f t="shared" si="485"/>
        <v>Other</v>
      </c>
      <c r="BQ171" s="18" t="str">
        <f t="shared" si="485"/>
        <v>Title I</v>
      </c>
      <c r="BR171" s="18" t="str">
        <f t="shared" si="485"/>
        <v>SGF</v>
      </c>
      <c r="BS171" s="18" t="str">
        <f t="shared" si="485"/>
        <v>Title III</v>
      </c>
      <c r="BT171" s="18" t="str">
        <f t="shared" si="485"/>
        <v>Exec. Office</v>
      </c>
      <c r="BV171" s="18" t="str">
        <f t="shared" ref="BV171:CC171" si="486">BV1</f>
        <v>Operating</v>
      </c>
      <c r="BW171" s="18" t="str">
        <f t="shared" si="486"/>
        <v>SPED</v>
      </c>
      <c r="BX171" s="18" t="str">
        <f t="shared" si="486"/>
        <v>NSLP</v>
      </c>
      <c r="BY171" s="18" t="str">
        <f t="shared" si="486"/>
        <v>Other</v>
      </c>
      <c r="BZ171" s="18" t="str">
        <f t="shared" si="486"/>
        <v>Title I</v>
      </c>
      <c r="CA171" s="18" t="str">
        <f t="shared" si="486"/>
        <v>SGF</v>
      </c>
      <c r="CB171" s="18" t="str">
        <f t="shared" si="486"/>
        <v>Title III</v>
      </c>
      <c r="CC171" s="18" t="str">
        <f t="shared" si="486"/>
        <v>Systemwide</v>
      </c>
    </row>
    <row r="172" spans="1:81">
      <c r="A172" s="81" t="s">
        <v>152</v>
      </c>
      <c r="B172" s="62">
        <f>'24-25'!B172*1.05</f>
        <v>2953.125</v>
      </c>
      <c r="C172" s="5"/>
      <c r="D172" s="5"/>
      <c r="E172" s="5"/>
      <c r="F172" s="5"/>
      <c r="G172" s="5"/>
      <c r="H172" s="5"/>
      <c r="I172" s="5">
        <f t="shared" ref="I172:I178" si="487">SUM(B172:H172)</f>
        <v>2953.125</v>
      </c>
      <c r="K172" s="62">
        <f>'24-25'!K172*1.05</f>
        <v>3780</v>
      </c>
      <c r="L172" s="5"/>
      <c r="M172" s="5"/>
      <c r="N172" s="5"/>
      <c r="O172" s="5"/>
      <c r="P172" s="5"/>
      <c r="Q172" s="5"/>
      <c r="R172" s="5">
        <f t="shared" ref="R172:R178" si="488">SUM(K172:Q172)</f>
        <v>3780</v>
      </c>
      <c r="T172" s="62">
        <f>'24-25'!T172*1.05</f>
        <v>2835</v>
      </c>
      <c r="U172" s="5"/>
      <c r="V172" s="5"/>
      <c r="W172" s="5"/>
      <c r="X172" s="5"/>
      <c r="Y172" s="5"/>
      <c r="Z172" s="5"/>
      <c r="AA172" s="5">
        <f t="shared" ref="AA172:AA178" si="489">SUM(T172:Z172)</f>
        <v>2835</v>
      </c>
      <c r="AC172" s="62">
        <f>'24-25'!AC172*1.05</f>
        <v>6930</v>
      </c>
      <c r="AD172" s="5"/>
      <c r="AE172" s="5"/>
      <c r="AF172" s="5"/>
      <c r="AG172" s="5"/>
      <c r="AH172" s="5"/>
      <c r="AI172" s="5"/>
      <c r="AJ172" s="5">
        <f t="shared" ref="AJ172:AJ178" si="490">SUM(AC172:AI172)</f>
        <v>6930</v>
      </c>
      <c r="AL172" s="62">
        <f>'24-25'!AL172*1.05</f>
        <v>6930</v>
      </c>
      <c r="AM172" s="5"/>
      <c r="AN172" s="5"/>
      <c r="AO172" s="5"/>
      <c r="AP172" s="5"/>
      <c r="AQ172" s="5"/>
      <c r="AR172" s="5"/>
      <c r="AS172" s="5">
        <f t="shared" ref="AS172:AS178" si="491">SUM(AL172:AR172)</f>
        <v>6930</v>
      </c>
      <c r="AU172" s="79"/>
      <c r="AV172" s="5"/>
      <c r="AW172" s="5"/>
      <c r="AX172" s="5"/>
      <c r="AY172" s="5"/>
      <c r="AZ172" s="5"/>
      <c r="BA172" s="5"/>
      <c r="BB172" s="5">
        <f t="shared" ref="BB172:BB178" si="492">SUM(AU172:BA172)</f>
        <v>0</v>
      </c>
      <c r="BD172" s="62">
        <f>'24-25'!BD172*1.05</f>
        <v>2520</v>
      </c>
      <c r="BE172" s="5"/>
      <c r="BF172" s="5"/>
      <c r="BG172" s="5"/>
      <c r="BH172" s="5"/>
      <c r="BI172" s="5"/>
      <c r="BJ172" s="5"/>
      <c r="BK172" s="5">
        <f t="shared" ref="BK172:BK178" si="493">SUM(BD172:BJ172)</f>
        <v>2520</v>
      </c>
      <c r="BM172" s="79"/>
      <c r="BN172" s="5"/>
      <c r="BO172" s="5"/>
      <c r="BP172" s="5"/>
      <c r="BQ172" s="5"/>
      <c r="BR172" s="5"/>
      <c r="BS172" s="5"/>
      <c r="BT172" s="5">
        <f t="shared" ref="BT172:BT178" si="494">SUM(BM172:BS172)</f>
        <v>0</v>
      </c>
      <c r="BV172" s="5">
        <f t="shared" ref="BV172:CA187" si="495">B172+K172+T172+AC172+AL172+AU172+BD172+BM172</f>
        <v>25948.125</v>
      </c>
      <c r="BW172" s="5">
        <f t="shared" si="495"/>
        <v>0</v>
      </c>
      <c r="BX172" s="5">
        <f t="shared" si="495"/>
        <v>0</v>
      </c>
      <c r="BY172" s="5">
        <f t="shared" si="495"/>
        <v>0</v>
      </c>
      <c r="BZ172" s="5">
        <f t="shared" si="495"/>
        <v>0</v>
      </c>
      <c r="CA172" s="5">
        <f t="shared" si="495"/>
        <v>0</v>
      </c>
      <c r="CB172" s="5"/>
      <c r="CC172" s="5">
        <f t="shared" ref="CC172:CC178" si="496">SUM(BV172:CB172)</f>
        <v>25948.125</v>
      </c>
    </row>
    <row r="173" spans="1:81">
      <c r="A173" s="29" t="s">
        <v>153</v>
      </c>
      <c r="B173" s="62">
        <f>'24-25'!B173*1.05</f>
        <v>19687.5</v>
      </c>
      <c r="C173" s="5"/>
      <c r="D173" s="5"/>
      <c r="E173" s="5"/>
      <c r="F173" s="5"/>
      <c r="G173" s="5"/>
      <c r="H173" s="5"/>
      <c r="I173" s="5">
        <f t="shared" si="487"/>
        <v>19687.5</v>
      </c>
      <c r="K173" s="62">
        <f>'24-25'!K173*1.05</f>
        <v>18427.5</v>
      </c>
      <c r="L173" s="5"/>
      <c r="M173" s="5"/>
      <c r="N173" s="5"/>
      <c r="O173" s="5"/>
      <c r="P173" s="5"/>
      <c r="Q173" s="5"/>
      <c r="R173" s="5">
        <f t="shared" si="488"/>
        <v>18427.5</v>
      </c>
      <c r="T173" s="62">
        <f>'24-25'!T173*1.05</f>
        <v>27720</v>
      </c>
      <c r="U173" s="5"/>
      <c r="V173" s="5"/>
      <c r="W173" s="5"/>
      <c r="X173" s="5"/>
      <c r="Y173" s="5"/>
      <c r="Z173" s="5"/>
      <c r="AA173" s="5">
        <f t="shared" si="489"/>
        <v>27720</v>
      </c>
      <c r="AC173" s="62">
        <f>'24-25'!AC173*1.05</f>
        <v>16380</v>
      </c>
      <c r="AD173" s="5"/>
      <c r="AE173" s="5"/>
      <c r="AF173" s="5"/>
      <c r="AG173" s="5"/>
      <c r="AH173" s="5"/>
      <c r="AI173" s="5"/>
      <c r="AJ173" s="5">
        <f t="shared" si="490"/>
        <v>16380</v>
      </c>
      <c r="AL173" s="62">
        <f>'24-25'!AL173*1.05</f>
        <v>15750</v>
      </c>
      <c r="AM173" s="5"/>
      <c r="AN173" s="5"/>
      <c r="AO173" s="5"/>
      <c r="AP173" s="5"/>
      <c r="AQ173" s="5"/>
      <c r="AR173" s="5"/>
      <c r="AS173" s="5">
        <f t="shared" si="491"/>
        <v>15750</v>
      </c>
      <c r="AU173" s="62"/>
      <c r="AV173" s="5"/>
      <c r="AW173" s="5"/>
      <c r="AX173" s="5"/>
      <c r="AY173" s="5"/>
      <c r="AZ173" s="5"/>
      <c r="BA173" s="5"/>
      <c r="BB173" s="5">
        <f t="shared" si="492"/>
        <v>0</v>
      </c>
      <c r="BD173" s="62">
        <f>'24-25'!BD173*1.05</f>
        <v>9009</v>
      </c>
      <c r="BE173" s="5"/>
      <c r="BF173" s="5"/>
      <c r="BG173" s="5"/>
      <c r="BH173" s="5"/>
      <c r="BI173" s="5"/>
      <c r="BJ173" s="5"/>
      <c r="BK173" s="5">
        <f t="shared" si="493"/>
        <v>9009</v>
      </c>
      <c r="BM173" s="62"/>
      <c r="BN173" s="5"/>
      <c r="BO173" s="5"/>
      <c r="BP173" s="5"/>
      <c r="BQ173" s="5"/>
      <c r="BR173" s="5"/>
      <c r="BS173" s="5"/>
      <c r="BT173" s="5">
        <f t="shared" si="494"/>
        <v>0</v>
      </c>
      <c r="BV173" s="5">
        <f t="shared" si="495"/>
        <v>106974</v>
      </c>
      <c r="BW173" s="5">
        <f t="shared" si="495"/>
        <v>0</v>
      </c>
      <c r="BX173" s="5">
        <f t="shared" si="495"/>
        <v>0</v>
      </c>
      <c r="BY173" s="5">
        <f t="shared" si="495"/>
        <v>0</v>
      </c>
      <c r="BZ173" s="5">
        <f t="shared" si="495"/>
        <v>0</v>
      </c>
      <c r="CA173" s="5">
        <f t="shared" si="495"/>
        <v>0</v>
      </c>
      <c r="CB173" s="5"/>
      <c r="CC173" s="5">
        <f t="shared" si="496"/>
        <v>106974</v>
      </c>
    </row>
    <row r="174" spans="1:81">
      <c r="A174" s="29" t="s">
        <v>154</v>
      </c>
      <c r="B174" s="79"/>
      <c r="C174" s="5"/>
      <c r="D174" s="5"/>
      <c r="E174" s="5"/>
      <c r="F174" s="5"/>
      <c r="G174" s="5"/>
      <c r="H174" s="5"/>
      <c r="I174" s="5">
        <f t="shared" si="487"/>
        <v>0</v>
      </c>
      <c r="K174" s="79"/>
      <c r="L174" s="5"/>
      <c r="M174" s="5"/>
      <c r="N174" s="5"/>
      <c r="O174" s="5"/>
      <c r="P174" s="5"/>
      <c r="Q174" s="5"/>
      <c r="R174" s="5">
        <f t="shared" si="488"/>
        <v>0</v>
      </c>
      <c r="T174" s="79"/>
      <c r="U174" s="5"/>
      <c r="V174" s="5"/>
      <c r="W174" s="5"/>
      <c r="X174" s="5"/>
      <c r="Y174" s="5"/>
      <c r="Z174" s="5"/>
      <c r="AA174" s="5">
        <f t="shared" si="489"/>
        <v>0</v>
      </c>
      <c r="AC174" s="79"/>
      <c r="AD174" s="5"/>
      <c r="AE174" s="5"/>
      <c r="AF174" s="5"/>
      <c r="AG174" s="5"/>
      <c r="AH174" s="5"/>
      <c r="AI174" s="5"/>
      <c r="AJ174" s="5">
        <f t="shared" si="490"/>
        <v>0</v>
      </c>
      <c r="AL174" s="79"/>
      <c r="AM174" s="5"/>
      <c r="AN174" s="5"/>
      <c r="AO174" s="5"/>
      <c r="AP174" s="5"/>
      <c r="AQ174" s="5"/>
      <c r="AR174" s="5"/>
      <c r="AS174" s="5">
        <f t="shared" si="491"/>
        <v>0</v>
      </c>
      <c r="AU174" s="79"/>
      <c r="AV174" s="5"/>
      <c r="AW174" s="5"/>
      <c r="AX174" s="5"/>
      <c r="AY174" s="5"/>
      <c r="AZ174" s="5"/>
      <c r="BA174" s="5"/>
      <c r="BB174" s="5">
        <f t="shared" si="492"/>
        <v>0</v>
      </c>
      <c r="BD174" s="79"/>
      <c r="BE174" s="5"/>
      <c r="BF174" s="5"/>
      <c r="BG174" s="5"/>
      <c r="BH174" s="5"/>
      <c r="BI174" s="5"/>
      <c r="BJ174" s="5"/>
      <c r="BK174" s="5">
        <f t="shared" si="493"/>
        <v>0</v>
      </c>
      <c r="BM174" s="79"/>
      <c r="BN174" s="5"/>
      <c r="BO174" s="5"/>
      <c r="BP174" s="5"/>
      <c r="BQ174" s="5"/>
      <c r="BR174" s="5"/>
      <c r="BS174" s="5"/>
      <c r="BT174" s="5">
        <f t="shared" si="494"/>
        <v>0</v>
      </c>
      <c r="BV174" s="5">
        <f t="shared" si="495"/>
        <v>0</v>
      </c>
      <c r="BW174" s="5">
        <f t="shared" si="495"/>
        <v>0</v>
      </c>
      <c r="BX174" s="5">
        <f t="shared" si="495"/>
        <v>0</v>
      </c>
      <c r="BY174" s="5">
        <f t="shared" si="495"/>
        <v>0</v>
      </c>
      <c r="BZ174" s="5">
        <f t="shared" si="495"/>
        <v>0</v>
      </c>
      <c r="CA174" s="5">
        <f t="shared" si="495"/>
        <v>0</v>
      </c>
      <c r="CB174" s="5"/>
      <c r="CC174" s="5">
        <f t="shared" si="496"/>
        <v>0</v>
      </c>
    </row>
    <row r="175" spans="1:81">
      <c r="A175" s="29" t="s">
        <v>155</v>
      </c>
      <c r="B175" s="79">
        <v>1100</v>
      </c>
      <c r="C175" s="5"/>
      <c r="D175" s="5"/>
      <c r="E175" s="5"/>
      <c r="F175" s="5"/>
      <c r="G175" s="5"/>
      <c r="H175" s="5"/>
      <c r="I175" s="5">
        <f t="shared" si="487"/>
        <v>1100</v>
      </c>
      <c r="K175" s="79">
        <v>1250</v>
      </c>
      <c r="L175" s="5"/>
      <c r="M175" s="5"/>
      <c r="N175" s="5"/>
      <c r="O175" s="5"/>
      <c r="P175" s="5"/>
      <c r="Q175" s="5"/>
      <c r="R175" s="5">
        <f t="shared" si="488"/>
        <v>1250</v>
      </c>
      <c r="T175" s="79">
        <v>1250</v>
      </c>
      <c r="U175" s="5"/>
      <c r="V175" s="5"/>
      <c r="W175" s="5"/>
      <c r="X175" s="5"/>
      <c r="Y175" s="5"/>
      <c r="Z175" s="5"/>
      <c r="AA175" s="5">
        <f t="shared" si="489"/>
        <v>1250</v>
      </c>
      <c r="AC175" s="79">
        <v>2000</v>
      </c>
      <c r="AD175" s="5"/>
      <c r="AE175" s="5"/>
      <c r="AF175" s="5"/>
      <c r="AG175" s="5"/>
      <c r="AH175" s="5"/>
      <c r="AI175" s="5"/>
      <c r="AJ175" s="5">
        <f t="shared" si="490"/>
        <v>2000</v>
      </c>
      <c r="AL175" s="79">
        <v>1250</v>
      </c>
      <c r="AM175" s="5"/>
      <c r="AN175" s="5"/>
      <c r="AO175" s="5"/>
      <c r="AP175" s="5"/>
      <c r="AQ175" s="5"/>
      <c r="AR175" s="5"/>
      <c r="AS175" s="5">
        <f t="shared" si="491"/>
        <v>1250</v>
      </c>
      <c r="AU175" s="79"/>
      <c r="AV175" s="5"/>
      <c r="AW175" s="5"/>
      <c r="AX175" s="5"/>
      <c r="AY175" s="5"/>
      <c r="AZ175" s="5"/>
      <c r="BA175" s="5"/>
      <c r="BB175" s="5">
        <f t="shared" si="492"/>
        <v>0</v>
      </c>
      <c r="BD175" s="79">
        <v>1000</v>
      </c>
      <c r="BE175" s="5"/>
      <c r="BF175" s="5"/>
      <c r="BG175" s="5"/>
      <c r="BH175" s="5"/>
      <c r="BI175" s="5"/>
      <c r="BJ175" s="5"/>
      <c r="BK175" s="5">
        <f t="shared" si="493"/>
        <v>1000</v>
      </c>
      <c r="BM175" s="79"/>
      <c r="BN175" s="5"/>
      <c r="BO175" s="5"/>
      <c r="BP175" s="5"/>
      <c r="BQ175" s="5"/>
      <c r="BR175" s="5"/>
      <c r="BS175" s="5"/>
      <c r="BT175" s="5">
        <f t="shared" si="494"/>
        <v>0</v>
      </c>
      <c r="BV175" s="5">
        <f t="shared" si="495"/>
        <v>7850</v>
      </c>
      <c r="BW175" s="5">
        <f t="shared" si="495"/>
        <v>0</v>
      </c>
      <c r="BX175" s="5">
        <f t="shared" si="495"/>
        <v>0</v>
      </c>
      <c r="BY175" s="5">
        <f t="shared" si="495"/>
        <v>0</v>
      </c>
      <c r="BZ175" s="5">
        <f t="shared" si="495"/>
        <v>0</v>
      </c>
      <c r="CA175" s="5">
        <f t="shared" si="495"/>
        <v>0</v>
      </c>
      <c r="CB175" s="5"/>
      <c r="CC175" s="5">
        <f t="shared" si="496"/>
        <v>7850</v>
      </c>
    </row>
    <row r="176" spans="1:81">
      <c r="A176" s="29" t="s">
        <v>156</v>
      </c>
      <c r="B176" s="62">
        <f>'24-25'!B176*1.05</f>
        <v>6825</v>
      </c>
      <c r="C176" s="5"/>
      <c r="D176" s="5"/>
      <c r="E176" s="5"/>
      <c r="F176" s="5"/>
      <c r="G176" s="5"/>
      <c r="H176" s="5"/>
      <c r="I176" s="5">
        <f t="shared" si="487"/>
        <v>6825</v>
      </c>
      <c r="K176" s="62">
        <f>'24-25'!K176*1.05</f>
        <v>6825</v>
      </c>
      <c r="L176" s="5"/>
      <c r="M176" s="5"/>
      <c r="N176" s="5"/>
      <c r="O176" s="5"/>
      <c r="P176" s="5"/>
      <c r="Q176" s="5"/>
      <c r="R176" s="5">
        <f t="shared" si="488"/>
        <v>6825</v>
      </c>
      <c r="T176" s="62">
        <f>'24-25'!T176*1.05</f>
        <v>6825</v>
      </c>
      <c r="U176" s="5"/>
      <c r="V176" s="5"/>
      <c r="W176" s="5"/>
      <c r="X176" s="5"/>
      <c r="Y176" s="5"/>
      <c r="Z176" s="5"/>
      <c r="AA176" s="5">
        <f t="shared" si="489"/>
        <v>6825</v>
      </c>
      <c r="AC176" s="62">
        <f>'24-25'!AC176*1.05</f>
        <v>6825</v>
      </c>
      <c r="AD176" s="5"/>
      <c r="AE176" s="5"/>
      <c r="AF176" s="5"/>
      <c r="AG176" s="5"/>
      <c r="AH176" s="5"/>
      <c r="AI176" s="5"/>
      <c r="AJ176" s="5">
        <f t="shared" si="490"/>
        <v>6825</v>
      </c>
      <c r="AL176" s="62">
        <f>'24-25'!AL176*1.05</f>
        <v>5775</v>
      </c>
      <c r="AM176" s="5"/>
      <c r="AN176" s="5"/>
      <c r="AO176" s="5"/>
      <c r="AP176" s="5"/>
      <c r="AQ176" s="5"/>
      <c r="AR176" s="5"/>
      <c r="AS176" s="5">
        <f t="shared" si="491"/>
        <v>5775</v>
      </c>
      <c r="AU176" s="62">
        <f>'24-25'!AU176*1.05</f>
        <v>6825</v>
      </c>
      <c r="AV176" s="5"/>
      <c r="AW176" s="5"/>
      <c r="AX176" s="5"/>
      <c r="AY176" s="5"/>
      <c r="AZ176" s="5"/>
      <c r="BA176" s="5"/>
      <c r="BB176" s="5">
        <f t="shared" si="492"/>
        <v>6825</v>
      </c>
      <c r="BD176" s="62">
        <f>'24-25'!BD176*1.05</f>
        <v>6825</v>
      </c>
      <c r="BE176" s="5"/>
      <c r="BF176" s="5"/>
      <c r="BG176" s="5"/>
      <c r="BH176" s="5"/>
      <c r="BI176" s="5"/>
      <c r="BJ176" s="5"/>
      <c r="BK176" s="5">
        <f t="shared" si="493"/>
        <v>6825</v>
      </c>
      <c r="BM176" s="79"/>
      <c r="BN176" s="5"/>
      <c r="BO176" s="5"/>
      <c r="BP176" s="5"/>
      <c r="BQ176" s="5"/>
      <c r="BR176" s="5"/>
      <c r="BS176" s="5"/>
      <c r="BT176" s="5">
        <f t="shared" si="494"/>
        <v>0</v>
      </c>
      <c r="BV176" s="5">
        <f t="shared" si="495"/>
        <v>46725</v>
      </c>
      <c r="BW176" s="5">
        <f t="shared" si="495"/>
        <v>0</v>
      </c>
      <c r="BX176" s="5">
        <f t="shared" si="495"/>
        <v>0</v>
      </c>
      <c r="BY176" s="5">
        <f t="shared" si="495"/>
        <v>0</v>
      </c>
      <c r="BZ176" s="5">
        <f t="shared" si="495"/>
        <v>0</v>
      </c>
      <c r="CA176" s="5">
        <f t="shared" si="495"/>
        <v>0</v>
      </c>
      <c r="CB176" s="5"/>
      <c r="CC176" s="5">
        <f t="shared" si="496"/>
        <v>46725</v>
      </c>
    </row>
    <row r="177" spans="1:81">
      <c r="A177" s="29" t="s">
        <v>157</v>
      </c>
      <c r="B177" s="62">
        <f>'24-25'!B177*1.05</f>
        <v>47250</v>
      </c>
      <c r="C177" s="5"/>
      <c r="D177" s="5"/>
      <c r="E177" s="5"/>
      <c r="F177" s="5"/>
      <c r="G177" s="5"/>
      <c r="H177" s="5"/>
      <c r="I177" s="5">
        <f t="shared" si="487"/>
        <v>47250</v>
      </c>
      <c r="K177" s="62">
        <f>'24-25'!K177*1.05</f>
        <v>52500</v>
      </c>
      <c r="L177" s="5"/>
      <c r="M177" s="5"/>
      <c r="N177" s="5"/>
      <c r="O177" s="5"/>
      <c r="P177" s="5"/>
      <c r="Q177" s="5"/>
      <c r="R177" s="5">
        <f t="shared" si="488"/>
        <v>52500</v>
      </c>
      <c r="T177" s="62">
        <f>'24-25'!T177*1.05</f>
        <v>63000</v>
      </c>
      <c r="U177" s="5"/>
      <c r="V177" s="5"/>
      <c r="W177" s="5"/>
      <c r="X177" s="5"/>
      <c r="Y177" s="5"/>
      <c r="Z177" s="5"/>
      <c r="AA177" s="5">
        <f t="shared" si="489"/>
        <v>63000</v>
      </c>
      <c r="AC177" s="62">
        <f>'24-25'!AC177*1.05</f>
        <v>105000</v>
      </c>
      <c r="AD177" s="5"/>
      <c r="AE177" s="5"/>
      <c r="AF177" s="5"/>
      <c r="AG177" s="5"/>
      <c r="AH177" s="5"/>
      <c r="AI177" s="5"/>
      <c r="AJ177" s="5">
        <f t="shared" si="490"/>
        <v>105000</v>
      </c>
      <c r="AL177" s="62">
        <f>'24-25'!AL177*1.05</f>
        <v>105000</v>
      </c>
      <c r="AM177" s="5"/>
      <c r="AN177" s="5"/>
      <c r="AO177" s="5"/>
      <c r="AP177" s="5"/>
      <c r="AQ177" s="5"/>
      <c r="AR177" s="5"/>
      <c r="AS177" s="5">
        <f t="shared" si="491"/>
        <v>105000</v>
      </c>
      <c r="AU177" s="62"/>
      <c r="AV177" s="5"/>
      <c r="AW177" s="5"/>
      <c r="AX177" s="5"/>
      <c r="AY177" s="5"/>
      <c r="AZ177" s="5"/>
      <c r="BA177" s="5"/>
      <c r="BB177" s="5">
        <f t="shared" si="492"/>
        <v>0</v>
      </c>
      <c r="BD177" s="62">
        <f>'24-25'!BD177*1.05</f>
        <v>7875</v>
      </c>
      <c r="BE177" s="5"/>
      <c r="BF177" s="5"/>
      <c r="BG177" s="5"/>
      <c r="BH177" s="5"/>
      <c r="BI177" s="5"/>
      <c r="BJ177" s="5"/>
      <c r="BK177" s="5">
        <f t="shared" si="493"/>
        <v>7875</v>
      </c>
      <c r="BM177" s="62"/>
      <c r="BN177" s="5"/>
      <c r="BO177" s="5"/>
      <c r="BP177" s="5"/>
      <c r="BQ177" s="5"/>
      <c r="BR177" s="5"/>
      <c r="BS177" s="5"/>
      <c r="BT177" s="5">
        <f t="shared" si="494"/>
        <v>0</v>
      </c>
      <c r="BV177" s="5">
        <f t="shared" si="495"/>
        <v>380625</v>
      </c>
      <c r="BW177" s="5">
        <f t="shared" si="495"/>
        <v>0</v>
      </c>
      <c r="BX177" s="5">
        <f t="shared" si="495"/>
        <v>0</v>
      </c>
      <c r="BY177" s="5">
        <f t="shared" si="495"/>
        <v>0</v>
      </c>
      <c r="BZ177" s="5">
        <f t="shared" si="495"/>
        <v>0</v>
      </c>
      <c r="CA177" s="5">
        <f t="shared" si="495"/>
        <v>0</v>
      </c>
      <c r="CB177" s="5"/>
      <c r="CC177" s="5">
        <f t="shared" si="496"/>
        <v>380625</v>
      </c>
    </row>
    <row r="178" spans="1:81">
      <c r="A178" s="29" t="s">
        <v>158</v>
      </c>
      <c r="B178" s="62">
        <f>'24-25'!B178*1.05</f>
        <v>5496.75</v>
      </c>
      <c r="C178" s="5"/>
      <c r="D178" s="5"/>
      <c r="E178" s="5"/>
      <c r="F178" s="5"/>
      <c r="G178" s="5"/>
      <c r="H178" s="5"/>
      <c r="I178" s="5">
        <f t="shared" si="487"/>
        <v>5496.75</v>
      </c>
      <c r="K178" s="62">
        <f>'24-25'!K178*1.05</f>
        <v>6205.5</v>
      </c>
      <c r="L178" s="5"/>
      <c r="M178" s="5"/>
      <c r="N178" s="5"/>
      <c r="O178" s="5"/>
      <c r="P178" s="5"/>
      <c r="Q178" s="5"/>
      <c r="R178" s="5">
        <f t="shared" si="488"/>
        <v>6205.5</v>
      </c>
      <c r="T178" s="62">
        <f>'24-25'!T178*1.05</f>
        <v>7239.75</v>
      </c>
      <c r="U178" s="5"/>
      <c r="V178" s="5"/>
      <c r="W178" s="5"/>
      <c r="X178" s="5"/>
      <c r="Y178" s="5"/>
      <c r="Z178" s="5"/>
      <c r="AA178" s="5">
        <f t="shared" si="489"/>
        <v>7239.75</v>
      </c>
      <c r="AC178" s="62">
        <f>'24-25'!AC178*1.05</f>
        <v>14190.75</v>
      </c>
      <c r="AD178" s="5"/>
      <c r="AE178" s="5"/>
      <c r="AF178" s="5"/>
      <c r="AG178" s="5"/>
      <c r="AH178" s="5"/>
      <c r="AI178" s="5"/>
      <c r="AJ178" s="5">
        <f t="shared" si="490"/>
        <v>14190.75</v>
      </c>
      <c r="AL178" s="62">
        <f>'24-25'!AL178*1.05</f>
        <v>13760.25</v>
      </c>
      <c r="AM178" s="5"/>
      <c r="AN178" s="5"/>
      <c r="AO178" s="5"/>
      <c r="AP178" s="5"/>
      <c r="AQ178" s="5"/>
      <c r="AR178" s="5"/>
      <c r="AS178" s="5">
        <f t="shared" si="491"/>
        <v>13760.25</v>
      </c>
      <c r="AU178" s="62">
        <v>800</v>
      </c>
      <c r="AV178" s="5"/>
      <c r="AW178" s="5"/>
      <c r="AX178" s="5"/>
      <c r="AY178" s="5"/>
      <c r="AZ178" s="5"/>
      <c r="BA178" s="5"/>
      <c r="BB178" s="5">
        <f t="shared" si="492"/>
        <v>800</v>
      </c>
      <c r="BD178" s="62">
        <f>'24-25'!BD178*1.05</f>
        <v>1617</v>
      </c>
      <c r="BE178" s="5"/>
      <c r="BF178" s="5"/>
      <c r="BG178" s="5"/>
      <c r="BH178" s="5"/>
      <c r="BI178" s="5"/>
      <c r="BJ178" s="5"/>
      <c r="BK178" s="5">
        <f t="shared" si="493"/>
        <v>1617</v>
      </c>
      <c r="BM178" s="62"/>
      <c r="BN178" s="5"/>
      <c r="BO178" s="5"/>
      <c r="BP178" s="5"/>
      <c r="BQ178" s="5"/>
      <c r="BR178" s="5"/>
      <c r="BS178" s="5"/>
      <c r="BT178" s="5">
        <f t="shared" si="494"/>
        <v>0</v>
      </c>
      <c r="BV178" s="5">
        <f t="shared" si="495"/>
        <v>49310</v>
      </c>
      <c r="BW178" s="5">
        <f t="shared" si="495"/>
        <v>0</v>
      </c>
      <c r="BX178" s="5">
        <f t="shared" si="495"/>
        <v>0</v>
      </c>
      <c r="BY178" s="5">
        <f t="shared" si="495"/>
        <v>0</v>
      </c>
      <c r="BZ178" s="5">
        <f t="shared" si="495"/>
        <v>0</v>
      </c>
      <c r="CA178" s="5">
        <f t="shared" si="495"/>
        <v>0</v>
      </c>
      <c r="CB178" s="5"/>
      <c r="CC178" s="5">
        <f t="shared" si="496"/>
        <v>49310</v>
      </c>
    </row>
    <row r="179" spans="1:81">
      <c r="A179" s="29" t="s">
        <v>159</v>
      </c>
      <c r="B179" s="62"/>
      <c r="C179" s="5"/>
      <c r="D179" s="5"/>
      <c r="E179" s="5"/>
      <c r="F179" s="5"/>
      <c r="G179" s="5"/>
      <c r="H179" s="5"/>
      <c r="I179" s="5">
        <f>SUM(B179:H179)</f>
        <v>0</v>
      </c>
      <c r="K179" s="62"/>
      <c r="L179" s="5"/>
      <c r="M179" s="5"/>
      <c r="N179" s="5"/>
      <c r="O179" s="5"/>
      <c r="P179" s="5"/>
      <c r="Q179" s="5"/>
      <c r="R179" s="5">
        <f>SUM(K179:Q179)</f>
        <v>0</v>
      </c>
      <c r="T179" s="62"/>
      <c r="U179" s="5"/>
      <c r="V179" s="5"/>
      <c r="W179" s="5"/>
      <c r="X179" s="5"/>
      <c r="Y179" s="5"/>
      <c r="Z179" s="5"/>
      <c r="AA179" s="5">
        <f>SUM(T179:Z179)</f>
        <v>0</v>
      </c>
      <c r="AC179" s="62"/>
      <c r="AD179" s="5"/>
      <c r="AE179" s="5"/>
      <c r="AF179" s="5"/>
      <c r="AG179" s="5"/>
      <c r="AH179" s="5"/>
      <c r="AI179" s="5"/>
      <c r="AJ179" s="5">
        <f>SUM(AC179:AI179)</f>
        <v>0</v>
      </c>
      <c r="AL179" s="62"/>
      <c r="AM179" s="5"/>
      <c r="AN179" s="5"/>
      <c r="AO179" s="5"/>
      <c r="AP179" s="5"/>
      <c r="AQ179" s="5"/>
      <c r="AR179" s="5"/>
      <c r="AS179" s="5">
        <f>SUM(AL179:AR179)</f>
        <v>0</v>
      </c>
      <c r="AU179" s="62"/>
      <c r="AV179" s="5"/>
      <c r="AW179" s="5"/>
      <c r="AX179" s="5"/>
      <c r="AY179" s="5"/>
      <c r="AZ179" s="5"/>
      <c r="BA179" s="5"/>
      <c r="BB179" s="5">
        <f>SUM(AU179:BA179)</f>
        <v>0</v>
      </c>
      <c r="BD179" s="62"/>
      <c r="BE179" s="5"/>
      <c r="BF179" s="5"/>
      <c r="BG179" s="5"/>
      <c r="BH179" s="5"/>
      <c r="BI179" s="5"/>
      <c r="BJ179" s="5"/>
      <c r="BK179" s="5">
        <f>SUM(BD179:BJ179)</f>
        <v>0</v>
      </c>
      <c r="BM179" s="62"/>
      <c r="BN179" s="5"/>
      <c r="BO179" s="5"/>
      <c r="BP179" s="5"/>
      <c r="BQ179" s="5"/>
      <c r="BR179" s="5"/>
      <c r="BS179" s="5"/>
      <c r="BT179" s="5">
        <f>SUM(BM179:BS179)</f>
        <v>0</v>
      </c>
      <c r="BV179" s="5">
        <f t="shared" si="495"/>
        <v>0</v>
      </c>
      <c r="BW179" s="5">
        <f t="shared" si="495"/>
        <v>0</v>
      </c>
      <c r="BX179" s="5">
        <f t="shared" si="495"/>
        <v>0</v>
      </c>
      <c r="BY179" s="5">
        <f t="shared" si="495"/>
        <v>0</v>
      </c>
      <c r="BZ179" s="5">
        <f t="shared" si="495"/>
        <v>0</v>
      </c>
      <c r="CA179" s="5">
        <f t="shared" si="495"/>
        <v>0</v>
      </c>
      <c r="CB179" s="5"/>
      <c r="CC179" s="5">
        <f>SUM(BV179:CB179)</f>
        <v>0</v>
      </c>
    </row>
    <row r="180" spans="1:81">
      <c r="A180" s="29" t="s">
        <v>160</v>
      </c>
      <c r="B180" s="79"/>
      <c r="C180" s="5"/>
      <c r="D180" s="5"/>
      <c r="E180" s="5"/>
      <c r="F180" s="5"/>
      <c r="G180" s="5"/>
      <c r="H180" s="5"/>
      <c r="I180" s="5">
        <f>SUM(B180:H180)</f>
        <v>0</v>
      </c>
      <c r="K180" s="79"/>
      <c r="L180" s="5"/>
      <c r="M180" s="5"/>
      <c r="N180" s="5"/>
      <c r="O180" s="5"/>
      <c r="P180" s="5"/>
      <c r="Q180" s="5"/>
      <c r="R180" s="5">
        <f>SUM(K180:Q180)</f>
        <v>0</v>
      </c>
      <c r="T180" s="79"/>
      <c r="U180" s="5"/>
      <c r="V180" s="5"/>
      <c r="W180" s="5"/>
      <c r="X180" s="5"/>
      <c r="Y180" s="5"/>
      <c r="Z180" s="5"/>
      <c r="AA180" s="5">
        <f>SUM(T180:Z180)</f>
        <v>0</v>
      </c>
      <c r="AC180" s="79"/>
      <c r="AD180" s="5"/>
      <c r="AE180" s="5"/>
      <c r="AF180" s="5"/>
      <c r="AG180" s="5"/>
      <c r="AH180" s="5"/>
      <c r="AI180" s="5"/>
      <c r="AJ180" s="5">
        <f>SUM(AC180:AI180)</f>
        <v>0</v>
      </c>
      <c r="AL180" s="79"/>
      <c r="AM180" s="5"/>
      <c r="AN180" s="5"/>
      <c r="AO180" s="5"/>
      <c r="AP180" s="5"/>
      <c r="AQ180" s="5"/>
      <c r="AR180" s="5"/>
      <c r="AS180" s="5">
        <f>SUM(AL180:AR180)</f>
        <v>0</v>
      </c>
      <c r="AU180" s="79"/>
      <c r="AV180" s="5"/>
      <c r="AW180" s="5"/>
      <c r="AX180" s="5"/>
      <c r="AY180" s="5"/>
      <c r="AZ180" s="5"/>
      <c r="BA180" s="5"/>
      <c r="BB180" s="5">
        <f>SUM(AU180:BA180)</f>
        <v>0</v>
      </c>
      <c r="BD180" s="62"/>
      <c r="BE180" s="5"/>
      <c r="BF180" s="5"/>
      <c r="BG180" s="5"/>
      <c r="BH180" s="5"/>
      <c r="BI180" s="5"/>
      <c r="BJ180" s="5"/>
      <c r="BK180" s="5">
        <f>SUM(BD180:BJ180)</f>
        <v>0</v>
      </c>
      <c r="BM180" s="79"/>
      <c r="BN180" s="5"/>
      <c r="BO180" s="5"/>
      <c r="BP180" s="5"/>
      <c r="BQ180" s="5"/>
      <c r="BR180" s="5"/>
      <c r="BS180" s="5"/>
      <c r="BT180" s="5">
        <f>SUM(BM180:BS180)</f>
        <v>0</v>
      </c>
      <c r="BV180" s="5">
        <f t="shared" si="495"/>
        <v>0</v>
      </c>
      <c r="BW180" s="5">
        <f t="shared" si="495"/>
        <v>0</v>
      </c>
      <c r="BX180" s="5">
        <f t="shared" si="495"/>
        <v>0</v>
      </c>
      <c r="BY180" s="5">
        <f t="shared" si="495"/>
        <v>0</v>
      </c>
      <c r="BZ180" s="5">
        <f t="shared" si="495"/>
        <v>0</v>
      </c>
      <c r="CA180" s="5">
        <f t="shared" si="495"/>
        <v>0</v>
      </c>
      <c r="CB180" s="5"/>
      <c r="CC180" s="5">
        <f>SUM(BV180:CB180)</f>
        <v>0</v>
      </c>
    </row>
    <row r="181" spans="1:81">
      <c r="A181" s="29" t="s">
        <v>161</v>
      </c>
      <c r="B181" s="62">
        <f>'24-25'!B181*1.05</f>
        <v>55650</v>
      </c>
      <c r="C181" s="5"/>
      <c r="D181" s="5"/>
      <c r="E181" s="5"/>
      <c r="F181" s="5"/>
      <c r="G181" s="5"/>
      <c r="H181" s="5"/>
      <c r="I181" s="5">
        <f>SUM(B181:H181)</f>
        <v>55650</v>
      </c>
      <c r="K181" s="62">
        <f>'24-25'!K181*1.05</f>
        <v>63105</v>
      </c>
      <c r="L181" s="5"/>
      <c r="M181" s="5"/>
      <c r="N181" s="5"/>
      <c r="O181" s="5"/>
      <c r="P181" s="5"/>
      <c r="Q181" s="5"/>
      <c r="R181" s="5">
        <f>SUM(K181:Q181)</f>
        <v>63105</v>
      </c>
      <c r="T181" s="62">
        <f>'24-25'!T181*1.05</f>
        <v>73500</v>
      </c>
      <c r="U181" s="5"/>
      <c r="V181" s="5"/>
      <c r="W181" s="5"/>
      <c r="X181" s="5"/>
      <c r="Y181" s="5"/>
      <c r="Z181" s="5"/>
      <c r="AA181" s="5">
        <f>SUM(T181:Z181)</f>
        <v>73500</v>
      </c>
      <c r="AC181" s="62">
        <f>'24-25'!AC181*1.05</f>
        <v>141750</v>
      </c>
      <c r="AD181" s="5"/>
      <c r="AE181" s="5"/>
      <c r="AF181" s="5"/>
      <c r="AG181" s="5"/>
      <c r="AH181" s="5"/>
      <c r="AI181" s="5"/>
      <c r="AJ181" s="5">
        <f>SUM(AC181:AI181)</f>
        <v>141750</v>
      </c>
      <c r="AL181" s="62">
        <f>'24-25'!AL181*1.05</f>
        <v>121406.25</v>
      </c>
      <c r="AM181" s="5"/>
      <c r="AN181" s="5"/>
      <c r="AO181" s="5"/>
      <c r="AP181" s="5"/>
      <c r="AQ181" s="5"/>
      <c r="AR181" s="5"/>
      <c r="AS181" s="5">
        <f>SUM(AL181:AR181)</f>
        <v>121406.25</v>
      </c>
      <c r="AU181" s="62">
        <f>'24-25'!AU181*1.05</f>
        <v>9450</v>
      </c>
      <c r="AV181" s="5"/>
      <c r="AW181" s="5"/>
      <c r="AX181" s="5"/>
      <c r="AY181" s="5"/>
      <c r="AZ181" s="5"/>
      <c r="BA181" s="5"/>
      <c r="BB181" s="5">
        <f>SUM(AU181:BA181)</f>
        <v>9450</v>
      </c>
      <c r="BD181" s="62">
        <f>'24-25'!BD181*1.05</f>
        <v>11550</v>
      </c>
      <c r="BE181" s="5"/>
      <c r="BF181" s="5"/>
      <c r="BG181" s="5"/>
      <c r="BH181" s="5"/>
      <c r="BI181" s="5"/>
      <c r="BJ181" s="5"/>
      <c r="BK181" s="5">
        <f>SUM(BD181:BJ181)</f>
        <v>11550</v>
      </c>
      <c r="BM181" s="79"/>
      <c r="BN181" s="5"/>
      <c r="BO181" s="5"/>
      <c r="BP181" s="5"/>
      <c r="BQ181" s="5"/>
      <c r="BR181" s="5"/>
      <c r="BS181" s="5"/>
      <c r="BT181" s="5">
        <f>SUM(BM181:BS181)</f>
        <v>0</v>
      </c>
      <c r="BV181" s="5">
        <f t="shared" si="495"/>
        <v>476411.25</v>
      </c>
      <c r="BW181" s="5">
        <f t="shared" si="495"/>
        <v>0</v>
      </c>
      <c r="BX181" s="5">
        <f t="shared" si="495"/>
        <v>0</v>
      </c>
      <c r="BY181" s="5">
        <f t="shared" si="495"/>
        <v>0</v>
      </c>
      <c r="BZ181" s="5">
        <f t="shared" si="495"/>
        <v>0</v>
      </c>
      <c r="CA181" s="5">
        <f t="shared" si="495"/>
        <v>0</v>
      </c>
      <c r="CB181" s="5"/>
      <c r="CC181" s="5">
        <f>SUM(BV181:CB181)</f>
        <v>476411.25</v>
      </c>
    </row>
    <row r="182" spans="1:81">
      <c r="A182" s="29" t="s">
        <v>162</v>
      </c>
      <c r="B182" s="5"/>
      <c r="C182" s="5"/>
      <c r="D182" s="5"/>
      <c r="E182" s="5"/>
      <c r="F182" s="5"/>
      <c r="G182" s="5"/>
      <c r="H182" s="5"/>
      <c r="I182" s="5">
        <f t="shared" ref="I182:I190" si="497">SUM(B182:H182)</f>
        <v>0</v>
      </c>
      <c r="J182" s="82"/>
      <c r="K182" s="5"/>
      <c r="L182" s="5"/>
      <c r="M182" s="5">
        <v>0</v>
      </c>
      <c r="N182" s="5"/>
      <c r="O182" s="5"/>
      <c r="P182" s="5"/>
      <c r="Q182" s="5"/>
      <c r="R182" s="5">
        <f t="shared" ref="R182:R190" si="498">SUM(K182:Q182)</f>
        <v>0</v>
      </c>
      <c r="T182" s="5"/>
      <c r="U182" s="5"/>
      <c r="V182" s="5"/>
      <c r="W182" s="5"/>
      <c r="X182" s="5"/>
      <c r="Y182" s="5"/>
      <c r="Z182" s="5"/>
      <c r="AA182" s="5">
        <f t="shared" ref="AA182:AA190" si="499">SUM(T182:Z182)</f>
        <v>0</v>
      </c>
      <c r="AC182" s="5"/>
      <c r="AD182" s="5"/>
      <c r="AE182" s="5"/>
      <c r="AF182" s="5"/>
      <c r="AG182" s="5"/>
      <c r="AH182" s="5"/>
      <c r="AI182" s="5"/>
      <c r="AJ182" s="5">
        <f t="shared" ref="AJ182:AJ190" si="500">SUM(AC182:AI182)</f>
        <v>0</v>
      </c>
      <c r="AL182" s="5"/>
      <c r="AM182" s="5"/>
      <c r="AN182" s="5"/>
      <c r="AO182" s="5"/>
      <c r="AP182" s="5"/>
      <c r="AQ182" s="5"/>
      <c r="AR182" s="5"/>
      <c r="AS182" s="5">
        <f t="shared" ref="AS182:AS190" si="501">SUM(AL182:AR182)</f>
        <v>0</v>
      </c>
      <c r="AU182" s="5"/>
      <c r="AV182" s="5"/>
      <c r="AW182" s="5"/>
      <c r="AX182" s="5"/>
      <c r="AY182" s="5"/>
      <c r="AZ182" s="5"/>
      <c r="BA182" s="5"/>
      <c r="BB182" s="5">
        <f t="shared" ref="BB182:BB190" si="502">SUM(AU182:BA182)</f>
        <v>0</v>
      </c>
      <c r="BD182" s="5"/>
      <c r="BE182" s="5"/>
      <c r="BF182" s="11">
        <f>((BD17*0.93)*2.3*180)</f>
        <v>133216.92000000001</v>
      </c>
      <c r="BG182" s="5"/>
      <c r="BH182" s="5"/>
      <c r="BI182" s="5"/>
      <c r="BJ182" s="5"/>
      <c r="BK182" s="5">
        <f t="shared" ref="BK182:BK190" si="503">SUM(BD182:BJ182)</f>
        <v>133216.92000000001</v>
      </c>
      <c r="BM182" s="5"/>
      <c r="BN182" s="5"/>
      <c r="BO182" s="5"/>
      <c r="BP182" s="5"/>
      <c r="BQ182" s="5"/>
      <c r="BR182" s="5"/>
      <c r="BS182" s="5"/>
      <c r="BT182" s="5">
        <f t="shared" ref="BT182:BT190" si="504">SUM(BM182:BS182)</f>
        <v>0</v>
      </c>
      <c r="BV182" s="5">
        <f t="shared" si="495"/>
        <v>0</v>
      </c>
      <c r="BW182" s="5">
        <f t="shared" si="495"/>
        <v>0</v>
      </c>
      <c r="BX182" s="5">
        <f t="shared" si="495"/>
        <v>133216.92000000001</v>
      </c>
      <c r="BY182" s="5">
        <f t="shared" si="495"/>
        <v>0</v>
      </c>
      <c r="BZ182" s="5">
        <f t="shared" si="495"/>
        <v>0</v>
      </c>
      <c r="CA182" s="5">
        <f t="shared" si="495"/>
        <v>0</v>
      </c>
      <c r="CB182" s="5"/>
      <c r="CC182" s="5">
        <f t="shared" ref="CC182:CC190" si="505">SUM(BV182:CB182)</f>
        <v>133216.92000000001</v>
      </c>
    </row>
    <row r="183" spans="1:81">
      <c r="A183" s="29" t="s">
        <v>163</v>
      </c>
      <c r="B183" s="5"/>
      <c r="C183" s="5"/>
      <c r="D183" s="5">
        <f>((B17*0.5)*3.75*180)</f>
        <v>306787.5</v>
      </c>
      <c r="E183" s="5"/>
      <c r="F183" s="5"/>
      <c r="G183" s="5"/>
      <c r="H183" s="5"/>
      <c r="I183" s="5">
        <f t="shared" si="497"/>
        <v>306787.5</v>
      </c>
      <c r="J183" s="82"/>
      <c r="K183" s="5"/>
      <c r="L183" s="5"/>
      <c r="M183" s="11">
        <f>((K17*0.34)*3.75*180)</f>
        <v>236844.00000000003</v>
      </c>
      <c r="N183" s="5"/>
      <c r="O183" s="5"/>
      <c r="P183" s="5"/>
      <c r="Q183" s="5"/>
      <c r="R183" s="5">
        <f t="shared" si="498"/>
        <v>236844.00000000003</v>
      </c>
      <c r="T183" s="5"/>
      <c r="U183" s="5"/>
      <c r="V183" s="11">
        <f>((T17*0.165)*3.75*180)</f>
        <v>138661.875</v>
      </c>
      <c r="W183" s="5"/>
      <c r="X183" s="5"/>
      <c r="Y183" s="5"/>
      <c r="Z183" s="5"/>
      <c r="AA183" s="5">
        <f t="shared" si="499"/>
        <v>138661.875</v>
      </c>
      <c r="AC183" s="5"/>
      <c r="AD183" s="5"/>
      <c r="AE183" s="5">
        <f>((AC17*0.44)*3.75*180)</f>
        <v>724679.99999999988</v>
      </c>
      <c r="AF183" s="5"/>
      <c r="AG183" s="5"/>
      <c r="AH183" s="5"/>
      <c r="AI183" s="5"/>
      <c r="AJ183" s="5">
        <f t="shared" si="500"/>
        <v>724679.99999999988</v>
      </c>
      <c r="AL183" s="5"/>
      <c r="AM183" s="5"/>
      <c r="AN183" s="11">
        <f>((AL17*0.3)*3.75*180)</f>
        <v>467572.49999999994</v>
      </c>
      <c r="AO183" s="5"/>
      <c r="AP183" s="5"/>
      <c r="AQ183" s="5"/>
      <c r="AR183" s="5"/>
      <c r="AS183" s="5">
        <f t="shared" si="501"/>
        <v>467572.49999999994</v>
      </c>
      <c r="AU183" s="5"/>
      <c r="AV183" s="5"/>
      <c r="AW183" s="5">
        <f>((AU17*0.03)*3.75*180)</f>
        <v>2835</v>
      </c>
      <c r="AX183" s="5"/>
      <c r="AY183" s="5"/>
      <c r="AZ183" s="5"/>
      <c r="BA183" s="5"/>
      <c r="BB183" s="5">
        <f t="shared" si="502"/>
        <v>2835</v>
      </c>
      <c r="BD183" s="5"/>
      <c r="BE183" s="5"/>
      <c r="BF183" s="11">
        <f>((BD17*0.97)*3.75*180)</f>
        <v>226543.5</v>
      </c>
      <c r="BG183" s="5"/>
      <c r="BH183" s="5"/>
      <c r="BI183" s="5"/>
      <c r="BJ183" s="5"/>
      <c r="BK183" s="5">
        <f t="shared" si="503"/>
        <v>226543.5</v>
      </c>
      <c r="BM183" s="5"/>
      <c r="BN183" s="5"/>
      <c r="BO183" s="5">
        <f>((BM17*0.25)*3.75*180)</f>
        <v>0</v>
      </c>
      <c r="BP183" s="5"/>
      <c r="BQ183" s="5"/>
      <c r="BR183" s="5"/>
      <c r="BS183" s="5"/>
      <c r="BT183" s="5">
        <f t="shared" si="504"/>
        <v>0</v>
      </c>
      <c r="BV183" s="5">
        <f t="shared" si="495"/>
        <v>0</v>
      </c>
      <c r="BW183" s="5">
        <f t="shared" si="495"/>
        <v>0</v>
      </c>
      <c r="BX183" s="5">
        <f t="shared" si="495"/>
        <v>2103924.375</v>
      </c>
      <c r="BY183" s="5">
        <f t="shared" si="495"/>
        <v>0</v>
      </c>
      <c r="BZ183" s="5">
        <f t="shared" si="495"/>
        <v>0</v>
      </c>
      <c r="CA183" s="5">
        <f t="shared" si="495"/>
        <v>0</v>
      </c>
      <c r="CB183" s="5"/>
      <c r="CC183" s="5">
        <f t="shared" si="505"/>
        <v>2103924.375</v>
      </c>
    </row>
    <row r="184" spans="1:81">
      <c r="A184" s="29" t="s">
        <v>164</v>
      </c>
      <c r="B184" s="5">
        <v>7500</v>
      </c>
      <c r="C184" s="5"/>
      <c r="D184" s="5"/>
      <c r="E184" s="5"/>
      <c r="F184" s="5"/>
      <c r="G184" s="5"/>
      <c r="H184" s="5"/>
      <c r="I184" s="5">
        <f t="shared" si="497"/>
        <v>7500</v>
      </c>
      <c r="K184" s="5">
        <v>7500</v>
      </c>
      <c r="L184" s="5"/>
      <c r="M184" s="5"/>
      <c r="N184" s="5"/>
      <c r="O184" s="5"/>
      <c r="P184" s="5"/>
      <c r="Q184" s="5"/>
      <c r="R184" s="5">
        <f t="shared" si="498"/>
        <v>7500</v>
      </c>
      <c r="T184" s="5">
        <v>7500</v>
      </c>
      <c r="U184" s="5"/>
      <c r="V184" s="5"/>
      <c r="W184" s="5"/>
      <c r="X184" s="5"/>
      <c r="Y184" s="5"/>
      <c r="Z184" s="5"/>
      <c r="AA184" s="5">
        <f t="shared" si="499"/>
        <v>7500</v>
      </c>
      <c r="AC184" s="5">
        <v>10000</v>
      </c>
      <c r="AD184" s="5"/>
      <c r="AE184" s="5"/>
      <c r="AF184" s="5"/>
      <c r="AG184" s="5"/>
      <c r="AH184" s="5"/>
      <c r="AI184" s="5"/>
      <c r="AJ184" s="5">
        <f t="shared" si="500"/>
        <v>10000</v>
      </c>
      <c r="AL184" s="5">
        <v>7500</v>
      </c>
      <c r="AM184" s="5"/>
      <c r="AN184" s="5"/>
      <c r="AO184" s="5"/>
      <c r="AP184" s="5"/>
      <c r="AQ184" s="5"/>
      <c r="AR184" s="5"/>
      <c r="AS184" s="5">
        <f t="shared" si="501"/>
        <v>7500</v>
      </c>
      <c r="AU184" s="5">
        <v>15000</v>
      </c>
      <c r="AV184" s="5"/>
      <c r="AW184" s="5"/>
      <c r="AX184" s="5"/>
      <c r="AY184" s="5"/>
      <c r="AZ184" s="5"/>
      <c r="BA184" s="5"/>
      <c r="BB184" s="5">
        <f t="shared" si="502"/>
        <v>15000</v>
      </c>
      <c r="BD184" s="5">
        <v>5000</v>
      </c>
      <c r="BE184" s="5"/>
      <c r="BF184" s="5">
        <v>0</v>
      </c>
      <c r="BG184" s="5"/>
      <c r="BH184" s="5"/>
      <c r="BI184" s="5"/>
      <c r="BJ184" s="5"/>
      <c r="BK184" s="5">
        <f t="shared" si="503"/>
        <v>5000</v>
      </c>
      <c r="BM184" s="5"/>
      <c r="BN184" s="5"/>
      <c r="BO184" s="5"/>
      <c r="BP184" s="5"/>
      <c r="BQ184" s="5"/>
      <c r="BR184" s="5"/>
      <c r="BS184" s="5"/>
      <c r="BT184" s="5">
        <f t="shared" si="504"/>
        <v>0</v>
      </c>
      <c r="BV184" s="5">
        <f t="shared" si="495"/>
        <v>60000</v>
      </c>
      <c r="BW184" s="5">
        <f t="shared" si="495"/>
        <v>0</v>
      </c>
      <c r="BX184" s="5">
        <f t="shared" si="495"/>
        <v>0</v>
      </c>
      <c r="BY184" s="5">
        <f t="shared" si="495"/>
        <v>0</v>
      </c>
      <c r="BZ184" s="5">
        <f t="shared" si="495"/>
        <v>0</v>
      </c>
      <c r="CA184" s="5">
        <f t="shared" si="495"/>
        <v>0</v>
      </c>
      <c r="CB184" s="5"/>
      <c r="CC184" s="5">
        <f t="shared" si="505"/>
        <v>60000</v>
      </c>
    </row>
    <row r="185" spans="1:81">
      <c r="A185" s="29" t="s">
        <v>165</v>
      </c>
      <c r="B185" s="5">
        <v>2000</v>
      </c>
      <c r="C185" s="5"/>
      <c r="D185" s="5"/>
      <c r="E185" s="5"/>
      <c r="F185" s="5"/>
      <c r="G185" s="5"/>
      <c r="H185" s="5"/>
      <c r="I185" s="5">
        <f t="shared" si="497"/>
        <v>2000</v>
      </c>
      <c r="K185" s="5">
        <v>2000</v>
      </c>
      <c r="L185" s="5"/>
      <c r="M185" s="5"/>
      <c r="N185" s="5"/>
      <c r="O185" s="5"/>
      <c r="P185" s="5"/>
      <c r="Q185" s="5"/>
      <c r="R185" s="5">
        <f t="shared" si="498"/>
        <v>2000</v>
      </c>
      <c r="T185" s="5">
        <v>2000</v>
      </c>
      <c r="U185" s="5"/>
      <c r="V185" s="5"/>
      <c r="W185" s="5"/>
      <c r="X185" s="5"/>
      <c r="Y185" s="5"/>
      <c r="Z185" s="5"/>
      <c r="AA185" s="5">
        <f t="shared" si="499"/>
        <v>2000</v>
      </c>
      <c r="AC185" s="5">
        <v>2000</v>
      </c>
      <c r="AD185" s="5"/>
      <c r="AE185" s="5"/>
      <c r="AF185" s="5"/>
      <c r="AG185" s="5"/>
      <c r="AH185" s="5"/>
      <c r="AI185" s="5"/>
      <c r="AJ185" s="5">
        <f t="shared" si="500"/>
        <v>2000</v>
      </c>
      <c r="AL185" s="5">
        <v>2500</v>
      </c>
      <c r="AM185" s="5"/>
      <c r="AN185" s="5"/>
      <c r="AO185" s="5"/>
      <c r="AP185" s="5"/>
      <c r="AQ185" s="5"/>
      <c r="AR185" s="5"/>
      <c r="AS185" s="5">
        <f t="shared" si="501"/>
        <v>2500</v>
      </c>
      <c r="AU185" s="5">
        <v>1200</v>
      </c>
      <c r="AV185" s="5"/>
      <c r="AW185" s="5"/>
      <c r="AX185" s="5"/>
      <c r="AY185" s="5"/>
      <c r="AZ185" s="5"/>
      <c r="BA185" s="5"/>
      <c r="BB185" s="5">
        <f t="shared" si="502"/>
        <v>1200</v>
      </c>
      <c r="BD185" s="5">
        <v>1000</v>
      </c>
      <c r="BE185" s="5"/>
      <c r="BF185" s="5"/>
      <c r="BG185" s="5"/>
      <c r="BH185" s="5"/>
      <c r="BI185" s="5"/>
      <c r="BJ185" s="5"/>
      <c r="BK185" s="5">
        <f t="shared" si="503"/>
        <v>1000</v>
      </c>
      <c r="BM185" s="5">
        <v>2500</v>
      </c>
      <c r="BN185" s="5"/>
      <c r="BO185" s="5"/>
      <c r="BP185" s="5"/>
      <c r="BQ185" s="5"/>
      <c r="BR185" s="5"/>
      <c r="BS185" s="5"/>
      <c r="BT185" s="5">
        <f t="shared" si="504"/>
        <v>2500</v>
      </c>
      <c r="BV185" s="5">
        <f t="shared" si="495"/>
        <v>15200</v>
      </c>
      <c r="BW185" s="5">
        <f t="shared" si="495"/>
        <v>0</v>
      </c>
      <c r="BX185" s="5">
        <f t="shared" si="495"/>
        <v>0</v>
      </c>
      <c r="BY185" s="5">
        <f t="shared" si="495"/>
        <v>0</v>
      </c>
      <c r="BZ185" s="5">
        <f t="shared" si="495"/>
        <v>0</v>
      </c>
      <c r="CA185" s="5">
        <f t="shared" si="495"/>
        <v>0</v>
      </c>
      <c r="CB185" s="5"/>
      <c r="CC185" s="5">
        <f t="shared" si="505"/>
        <v>15200</v>
      </c>
    </row>
    <row r="186" spans="1:81">
      <c r="A186" s="29" t="s">
        <v>166</v>
      </c>
      <c r="B186" s="5">
        <v>1250</v>
      </c>
      <c r="C186" s="5">
        <v>0</v>
      </c>
      <c r="D186" s="5">
        <v>0</v>
      </c>
      <c r="E186" s="5"/>
      <c r="F186" s="5">
        <v>0</v>
      </c>
      <c r="G186" s="5">
        <v>0</v>
      </c>
      <c r="H186" s="5">
        <v>0</v>
      </c>
      <c r="I186" s="5">
        <f t="shared" si="497"/>
        <v>1250</v>
      </c>
      <c r="K186" s="5">
        <v>1500</v>
      </c>
      <c r="L186" s="5">
        <v>0</v>
      </c>
      <c r="M186" s="5">
        <v>0</v>
      </c>
      <c r="N186" s="5"/>
      <c r="O186" s="5">
        <v>0</v>
      </c>
      <c r="P186" s="5">
        <v>0</v>
      </c>
      <c r="Q186" s="5">
        <v>0</v>
      </c>
      <c r="R186" s="5">
        <f t="shared" si="498"/>
        <v>1500</v>
      </c>
      <c r="T186" s="5">
        <v>1500</v>
      </c>
      <c r="U186" s="5"/>
      <c r="V186" s="5"/>
      <c r="W186" s="5"/>
      <c r="X186" s="5">
        <v>0</v>
      </c>
      <c r="Y186" s="5">
        <v>0</v>
      </c>
      <c r="Z186" s="5">
        <v>0</v>
      </c>
      <c r="AA186" s="5">
        <f t="shared" si="499"/>
        <v>1500</v>
      </c>
      <c r="AC186" s="5">
        <v>5000</v>
      </c>
      <c r="AD186" s="5">
        <v>0</v>
      </c>
      <c r="AE186" s="5">
        <v>0</v>
      </c>
      <c r="AF186" s="5"/>
      <c r="AG186" s="5">
        <v>0</v>
      </c>
      <c r="AH186" s="5">
        <v>0</v>
      </c>
      <c r="AI186" s="5">
        <v>0</v>
      </c>
      <c r="AJ186" s="5">
        <f t="shared" si="500"/>
        <v>5000</v>
      </c>
      <c r="AL186" s="5">
        <v>2500</v>
      </c>
      <c r="AM186" s="5">
        <v>0</v>
      </c>
      <c r="AN186" s="5">
        <v>0</v>
      </c>
      <c r="AO186" s="5"/>
      <c r="AP186" s="5">
        <v>0</v>
      </c>
      <c r="AQ186" s="5">
        <v>0</v>
      </c>
      <c r="AR186" s="5">
        <v>0</v>
      </c>
      <c r="AS186" s="5">
        <f t="shared" si="501"/>
        <v>2500</v>
      </c>
      <c r="AU186" s="5">
        <v>500</v>
      </c>
      <c r="AV186" s="5">
        <v>0</v>
      </c>
      <c r="AW186" s="5">
        <v>0</v>
      </c>
      <c r="AX186" s="5"/>
      <c r="AY186" s="5">
        <v>0</v>
      </c>
      <c r="AZ186" s="5">
        <v>0</v>
      </c>
      <c r="BA186" s="5">
        <v>0</v>
      </c>
      <c r="BB186" s="5">
        <f t="shared" si="502"/>
        <v>500</v>
      </c>
      <c r="BD186" s="5">
        <v>800</v>
      </c>
      <c r="BE186" s="5">
        <v>0</v>
      </c>
      <c r="BF186" s="5">
        <v>0</v>
      </c>
      <c r="BG186" s="5"/>
      <c r="BH186" s="5">
        <v>0</v>
      </c>
      <c r="BI186" s="5">
        <v>0</v>
      </c>
      <c r="BJ186" s="5">
        <v>0</v>
      </c>
      <c r="BK186" s="5">
        <f t="shared" si="503"/>
        <v>800</v>
      </c>
      <c r="BM186" s="5"/>
      <c r="BN186" s="5">
        <v>0</v>
      </c>
      <c r="BO186" s="5">
        <v>0</v>
      </c>
      <c r="BP186" s="5"/>
      <c r="BQ186" s="5">
        <v>0</v>
      </c>
      <c r="BR186" s="5">
        <v>0</v>
      </c>
      <c r="BS186" s="5">
        <v>0</v>
      </c>
      <c r="BT186" s="5">
        <f t="shared" si="504"/>
        <v>0</v>
      </c>
      <c r="BV186" s="5">
        <f t="shared" si="495"/>
        <v>13050</v>
      </c>
      <c r="BW186" s="5">
        <f t="shared" si="495"/>
        <v>0</v>
      </c>
      <c r="BX186" s="5">
        <f t="shared" si="495"/>
        <v>0</v>
      </c>
      <c r="BY186" s="5">
        <f t="shared" si="495"/>
        <v>0</v>
      </c>
      <c r="BZ186" s="5">
        <f t="shared" si="495"/>
        <v>0</v>
      </c>
      <c r="CA186" s="5">
        <f t="shared" si="495"/>
        <v>0</v>
      </c>
      <c r="CB186" s="5">
        <v>0</v>
      </c>
      <c r="CC186" s="5">
        <f t="shared" si="505"/>
        <v>13050</v>
      </c>
    </row>
    <row r="187" spans="1:81">
      <c r="A187" s="29" t="s">
        <v>167</v>
      </c>
      <c r="B187" s="11">
        <f>(5*B17)+2000+3000+2000+2500</f>
        <v>14045</v>
      </c>
      <c r="C187" s="5"/>
      <c r="D187" s="5"/>
      <c r="E187" s="5"/>
      <c r="F187" s="5"/>
      <c r="G187" s="5"/>
      <c r="H187" s="5"/>
      <c r="I187" s="5">
        <f t="shared" si="497"/>
        <v>14045</v>
      </c>
      <c r="K187" s="11">
        <f>(5*K17)+1200+2000+3000+2500</f>
        <v>13860</v>
      </c>
      <c r="L187" s="5"/>
      <c r="M187" s="5"/>
      <c r="N187" s="5"/>
      <c r="O187" s="5"/>
      <c r="P187" s="5"/>
      <c r="Q187" s="5"/>
      <c r="R187" s="5">
        <f t="shared" si="498"/>
        <v>13860</v>
      </c>
      <c r="T187" s="11">
        <f>(5*T17)+2000+3000+2000+1500</f>
        <v>14725</v>
      </c>
      <c r="U187" s="5"/>
      <c r="V187" s="5"/>
      <c r="W187" s="5"/>
      <c r="X187" s="5"/>
      <c r="Y187" s="5"/>
      <c r="Z187" s="5"/>
      <c r="AA187" s="5">
        <f t="shared" si="499"/>
        <v>14725</v>
      </c>
      <c r="AC187" s="11">
        <f>(5*AC17)+3000+5000+2000+2000+2500</f>
        <v>26700</v>
      </c>
      <c r="AD187" s="5"/>
      <c r="AE187" s="5"/>
      <c r="AF187" s="5"/>
      <c r="AG187" s="5"/>
      <c r="AH187" s="5"/>
      <c r="AI187" s="5"/>
      <c r="AJ187" s="5">
        <f t="shared" si="500"/>
        <v>26700</v>
      </c>
      <c r="AL187" s="11">
        <f>(5*AL17)+3000+3000+2000+1500</f>
        <v>21045</v>
      </c>
      <c r="AM187" s="5"/>
      <c r="AN187" s="5"/>
      <c r="AO187" s="5"/>
      <c r="AP187" s="5"/>
      <c r="AQ187" s="5"/>
      <c r="AR187" s="5"/>
      <c r="AS187" s="5">
        <f t="shared" si="501"/>
        <v>21045</v>
      </c>
      <c r="AU187" s="11">
        <f>(5*AU17)+1200</f>
        <v>1900</v>
      </c>
      <c r="AV187" s="5"/>
      <c r="AW187" s="5"/>
      <c r="AX187" s="5"/>
      <c r="AY187" s="5"/>
      <c r="AZ187" s="5"/>
      <c r="BA187" s="5"/>
      <c r="BB187" s="5">
        <f t="shared" si="502"/>
        <v>1900</v>
      </c>
      <c r="BD187" s="11">
        <f>(5*BD17)+1200+1500</f>
        <v>4430</v>
      </c>
      <c r="BE187" s="5"/>
      <c r="BF187" s="5"/>
      <c r="BG187" s="5"/>
      <c r="BH187" s="5"/>
      <c r="BI187" s="5"/>
      <c r="BJ187" s="5"/>
      <c r="BK187" s="5">
        <f t="shared" si="503"/>
        <v>4430</v>
      </c>
      <c r="BM187" s="11"/>
      <c r="BN187" s="5"/>
      <c r="BO187" s="5"/>
      <c r="BP187" s="5"/>
      <c r="BQ187" s="5"/>
      <c r="BR187" s="5"/>
      <c r="BS187" s="5"/>
      <c r="BT187" s="5">
        <f t="shared" si="504"/>
        <v>0</v>
      </c>
      <c r="BV187" s="5">
        <f t="shared" si="495"/>
        <v>96705</v>
      </c>
      <c r="BW187" s="5">
        <f t="shared" si="495"/>
        <v>0</v>
      </c>
      <c r="BX187" s="5">
        <f t="shared" si="495"/>
        <v>0</v>
      </c>
      <c r="BY187" s="5">
        <f t="shared" si="495"/>
        <v>0</v>
      </c>
      <c r="BZ187" s="5">
        <f t="shared" si="495"/>
        <v>0</v>
      </c>
      <c r="CA187" s="5">
        <f t="shared" si="495"/>
        <v>0</v>
      </c>
      <c r="CB187" s="5"/>
      <c r="CC187" s="5">
        <f t="shared" si="505"/>
        <v>96705</v>
      </c>
    </row>
    <row r="188" spans="1:81">
      <c r="A188" s="29" t="s">
        <v>168</v>
      </c>
      <c r="B188" s="11"/>
      <c r="C188" s="5"/>
      <c r="D188" s="5"/>
      <c r="E188" s="5"/>
      <c r="F188" s="5"/>
      <c r="G188" s="5"/>
      <c r="H188" s="5"/>
      <c r="I188" s="5">
        <f t="shared" si="497"/>
        <v>0</v>
      </c>
      <c r="K188" s="11"/>
      <c r="L188" s="5"/>
      <c r="M188" s="5"/>
      <c r="N188" s="5"/>
      <c r="O188" s="5"/>
      <c r="P188" s="5"/>
      <c r="Q188" s="5"/>
      <c r="R188" s="5">
        <f t="shared" si="498"/>
        <v>0</v>
      </c>
      <c r="T188" s="11"/>
      <c r="U188" s="5"/>
      <c r="V188" s="5"/>
      <c r="W188" s="5"/>
      <c r="X188" s="5"/>
      <c r="Y188" s="5"/>
      <c r="Z188" s="5"/>
      <c r="AA188" s="5">
        <f t="shared" si="499"/>
        <v>0</v>
      </c>
      <c r="AC188" s="11"/>
      <c r="AD188" s="5"/>
      <c r="AE188" s="5"/>
      <c r="AF188" s="5"/>
      <c r="AG188" s="5"/>
      <c r="AH188" s="5"/>
      <c r="AI188" s="5"/>
      <c r="AJ188" s="5">
        <f t="shared" si="500"/>
        <v>0</v>
      </c>
      <c r="AL188" s="11"/>
      <c r="AM188" s="5"/>
      <c r="AN188" s="5"/>
      <c r="AO188" s="5"/>
      <c r="AP188" s="5"/>
      <c r="AQ188" s="5"/>
      <c r="AR188" s="5"/>
      <c r="AS188" s="5">
        <f t="shared" si="501"/>
        <v>0</v>
      </c>
      <c r="AU188" s="11"/>
      <c r="AV188" s="5"/>
      <c r="AW188" s="5"/>
      <c r="AX188" s="5"/>
      <c r="AY188" s="5"/>
      <c r="AZ188" s="5"/>
      <c r="BA188" s="5"/>
      <c r="BB188" s="5">
        <f t="shared" si="502"/>
        <v>0</v>
      </c>
      <c r="BD188" s="11"/>
      <c r="BE188" s="5"/>
      <c r="BF188" s="5"/>
      <c r="BG188" s="5"/>
      <c r="BH188" s="5"/>
      <c r="BI188" s="5"/>
      <c r="BJ188" s="5"/>
      <c r="BK188" s="5">
        <f t="shared" si="503"/>
        <v>0</v>
      </c>
      <c r="BM188" s="11"/>
      <c r="BN188" s="5"/>
      <c r="BO188" s="5"/>
      <c r="BP188" s="5"/>
      <c r="BQ188" s="5"/>
      <c r="BR188" s="5"/>
      <c r="BS188" s="5"/>
      <c r="BT188" s="5">
        <f t="shared" si="504"/>
        <v>0</v>
      </c>
      <c r="BV188" s="5">
        <f t="shared" ref="BV188:CA196" si="506">B188+K188+T188+AC188+AL188+AU188+BD188+BM188</f>
        <v>0</v>
      </c>
      <c r="BW188" s="5">
        <f t="shared" si="506"/>
        <v>0</v>
      </c>
      <c r="BX188" s="5">
        <f t="shared" si="506"/>
        <v>0</v>
      </c>
      <c r="BY188" s="5">
        <f t="shared" si="506"/>
        <v>0</v>
      </c>
      <c r="BZ188" s="5">
        <f t="shared" si="506"/>
        <v>0</v>
      </c>
      <c r="CA188" s="5">
        <f t="shared" si="506"/>
        <v>0</v>
      </c>
      <c r="CB188" s="5"/>
      <c r="CC188" s="5">
        <f t="shared" si="505"/>
        <v>0</v>
      </c>
    </row>
    <row r="189" spans="1:81">
      <c r="A189" s="29" t="s">
        <v>169</v>
      </c>
      <c r="B189" s="5"/>
      <c r="C189" s="5"/>
      <c r="D189" s="5"/>
      <c r="E189" s="5"/>
      <c r="F189" s="5"/>
      <c r="G189" s="5"/>
      <c r="H189" s="5"/>
      <c r="I189" s="5">
        <f t="shared" si="497"/>
        <v>0</v>
      </c>
      <c r="K189" s="5"/>
      <c r="L189" s="5"/>
      <c r="M189" s="5"/>
      <c r="N189" s="5"/>
      <c r="O189" s="5"/>
      <c r="P189" s="5"/>
      <c r="Q189" s="5"/>
      <c r="R189" s="5">
        <f t="shared" si="498"/>
        <v>0</v>
      </c>
      <c r="T189" s="5"/>
      <c r="U189" s="5"/>
      <c r="V189" s="5"/>
      <c r="W189" s="5"/>
      <c r="X189" s="5"/>
      <c r="Y189" s="5"/>
      <c r="Z189" s="5"/>
      <c r="AA189" s="5">
        <f t="shared" si="499"/>
        <v>0</v>
      </c>
      <c r="AC189" s="5">
        <v>30000</v>
      </c>
      <c r="AD189" s="5"/>
      <c r="AE189" s="5"/>
      <c r="AF189" s="5"/>
      <c r="AG189" s="5"/>
      <c r="AH189" s="5"/>
      <c r="AI189" s="5"/>
      <c r="AJ189" s="5">
        <f t="shared" si="500"/>
        <v>30000</v>
      </c>
      <c r="AL189" s="5">
        <v>30000</v>
      </c>
      <c r="AM189" s="5"/>
      <c r="AN189" s="5"/>
      <c r="AO189" s="5"/>
      <c r="AP189" s="5"/>
      <c r="AQ189" s="5"/>
      <c r="AR189" s="5"/>
      <c r="AS189" s="5">
        <f t="shared" si="501"/>
        <v>30000</v>
      </c>
      <c r="AU189" s="5"/>
      <c r="AV189" s="5"/>
      <c r="AW189" s="5"/>
      <c r="AX189" s="5"/>
      <c r="AY189" s="5"/>
      <c r="AZ189" s="5"/>
      <c r="BA189" s="5"/>
      <c r="BB189" s="5">
        <f t="shared" si="502"/>
        <v>0</v>
      </c>
      <c r="BD189" s="5"/>
      <c r="BE189" s="5"/>
      <c r="BF189" s="5"/>
      <c r="BG189" s="5"/>
      <c r="BH189" s="5"/>
      <c r="BI189" s="5"/>
      <c r="BJ189" s="5"/>
      <c r="BK189" s="5">
        <f t="shared" si="503"/>
        <v>0</v>
      </c>
      <c r="BM189" s="5"/>
      <c r="BN189" s="5"/>
      <c r="BO189" s="5"/>
      <c r="BP189" s="5"/>
      <c r="BQ189" s="5"/>
      <c r="BR189" s="5"/>
      <c r="BS189" s="5"/>
      <c r="BT189" s="5">
        <f t="shared" si="504"/>
        <v>0</v>
      </c>
      <c r="BV189" s="5">
        <f t="shared" si="506"/>
        <v>60000</v>
      </c>
      <c r="BW189" s="5">
        <f t="shared" si="506"/>
        <v>0</v>
      </c>
      <c r="BX189" s="5">
        <f t="shared" si="506"/>
        <v>0</v>
      </c>
      <c r="BY189" s="5">
        <f t="shared" si="506"/>
        <v>0</v>
      </c>
      <c r="BZ189" s="5">
        <f t="shared" si="506"/>
        <v>0</v>
      </c>
      <c r="CA189" s="5">
        <f t="shared" si="506"/>
        <v>0</v>
      </c>
      <c r="CB189" s="5"/>
      <c r="CC189" s="5">
        <f t="shared" si="505"/>
        <v>60000</v>
      </c>
    </row>
    <row r="190" spans="1:81">
      <c r="A190" s="29" t="s">
        <v>170</v>
      </c>
      <c r="B190" s="11">
        <v>0</v>
      </c>
      <c r="C190" s="5"/>
      <c r="D190" s="5"/>
      <c r="E190" s="5"/>
      <c r="F190" s="5"/>
      <c r="G190" s="5"/>
      <c r="H190" s="5"/>
      <c r="I190" s="5">
        <f t="shared" si="497"/>
        <v>0</v>
      </c>
      <c r="K190" s="11">
        <v>0</v>
      </c>
      <c r="L190" s="5"/>
      <c r="M190" s="5"/>
      <c r="N190" s="5"/>
      <c r="O190" s="5"/>
      <c r="P190" s="5"/>
      <c r="Q190" s="5"/>
      <c r="R190" s="5">
        <f t="shared" si="498"/>
        <v>0</v>
      </c>
      <c r="T190" s="11">
        <v>0</v>
      </c>
      <c r="U190" s="5"/>
      <c r="V190" s="5"/>
      <c r="W190" s="5"/>
      <c r="X190" s="5"/>
      <c r="Y190" s="5"/>
      <c r="Z190" s="5"/>
      <c r="AA190" s="5">
        <f t="shared" si="499"/>
        <v>0</v>
      </c>
      <c r="AC190" s="11">
        <v>0</v>
      </c>
      <c r="AD190" s="5"/>
      <c r="AE190" s="5"/>
      <c r="AF190" s="5"/>
      <c r="AG190" s="5"/>
      <c r="AH190" s="5"/>
      <c r="AI190" s="5"/>
      <c r="AJ190" s="5">
        <f t="shared" si="500"/>
        <v>0</v>
      </c>
      <c r="AL190" s="11">
        <v>0</v>
      </c>
      <c r="AM190" s="5"/>
      <c r="AN190" s="5"/>
      <c r="AO190" s="5"/>
      <c r="AP190" s="5"/>
      <c r="AQ190" s="5"/>
      <c r="AR190" s="5"/>
      <c r="AS190" s="5">
        <f t="shared" si="501"/>
        <v>0</v>
      </c>
      <c r="AU190" s="11">
        <v>0</v>
      </c>
      <c r="AV190" s="5"/>
      <c r="AW190" s="5"/>
      <c r="AX190" s="5"/>
      <c r="AY190" s="5"/>
      <c r="AZ190" s="5"/>
      <c r="BA190" s="5"/>
      <c r="BB190" s="5">
        <f t="shared" si="502"/>
        <v>0</v>
      </c>
      <c r="BD190" s="11">
        <v>0</v>
      </c>
      <c r="BE190" s="5"/>
      <c r="BF190" s="5"/>
      <c r="BG190" s="5"/>
      <c r="BH190" s="5"/>
      <c r="BI190" s="5"/>
      <c r="BJ190" s="5"/>
      <c r="BK190" s="5">
        <f t="shared" si="503"/>
        <v>0</v>
      </c>
      <c r="BM190" s="11"/>
      <c r="BN190" s="5"/>
      <c r="BO190" s="5"/>
      <c r="BP190" s="5"/>
      <c r="BQ190" s="5"/>
      <c r="BR190" s="5"/>
      <c r="BS190" s="5"/>
      <c r="BT190" s="5">
        <f t="shared" si="504"/>
        <v>0</v>
      </c>
      <c r="BV190" s="5">
        <f t="shared" si="506"/>
        <v>0</v>
      </c>
      <c r="BW190" s="5">
        <f t="shared" si="506"/>
        <v>0</v>
      </c>
      <c r="BX190" s="5">
        <f t="shared" si="506"/>
        <v>0</v>
      </c>
      <c r="BY190" s="5">
        <f t="shared" si="506"/>
        <v>0</v>
      </c>
      <c r="BZ190" s="5">
        <f t="shared" si="506"/>
        <v>0</v>
      </c>
      <c r="CA190" s="5">
        <f t="shared" si="506"/>
        <v>0</v>
      </c>
      <c r="CB190" s="5"/>
      <c r="CC190" s="5">
        <f t="shared" si="505"/>
        <v>0</v>
      </c>
    </row>
    <row r="191" spans="1:81">
      <c r="A191" s="29" t="s">
        <v>171</v>
      </c>
      <c r="B191" s="11">
        <v>0</v>
      </c>
      <c r="C191" s="11"/>
      <c r="D191" s="11"/>
      <c r="E191" s="11"/>
      <c r="F191" s="11"/>
      <c r="G191" s="11"/>
      <c r="H191" s="11"/>
      <c r="I191" s="5">
        <f>SUM(B191:H191)</f>
        <v>0</v>
      </c>
      <c r="K191" s="11">
        <v>0</v>
      </c>
      <c r="L191" s="11"/>
      <c r="M191" s="11"/>
      <c r="N191" s="11"/>
      <c r="O191" s="11"/>
      <c r="P191" s="11"/>
      <c r="Q191" s="11"/>
      <c r="R191" s="5">
        <f>SUM(K191:Q191)</f>
        <v>0</v>
      </c>
      <c r="T191" s="11">
        <v>0</v>
      </c>
      <c r="U191" s="11"/>
      <c r="V191" s="11"/>
      <c r="W191" s="11"/>
      <c r="X191" s="11"/>
      <c r="Y191" s="11"/>
      <c r="Z191" s="11"/>
      <c r="AA191" s="5">
        <f>SUM(T191:Z191)</f>
        <v>0</v>
      </c>
      <c r="AC191" s="11">
        <v>120000</v>
      </c>
      <c r="AD191" s="11"/>
      <c r="AE191" s="11"/>
      <c r="AF191" s="11"/>
      <c r="AG191" s="11"/>
      <c r="AH191" s="11"/>
      <c r="AI191" s="11"/>
      <c r="AJ191" s="5">
        <f>SUM(AC191:AI191)</f>
        <v>120000</v>
      </c>
      <c r="AL191" s="11">
        <v>175000</v>
      </c>
      <c r="AM191" s="11"/>
      <c r="AN191" s="11"/>
      <c r="AO191" s="11"/>
      <c r="AP191" s="11"/>
      <c r="AQ191" s="11"/>
      <c r="AR191" s="11"/>
      <c r="AS191" s="5">
        <f>SUM(AL191:AR191)</f>
        <v>175000</v>
      </c>
      <c r="AU191" s="11"/>
      <c r="AV191" s="11"/>
      <c r="AW191" s="11"/>
      <c r="AX191" s="11"/>
      <c r="AY191" s="11"/>
      <c r="AZ191" s="11"/>
      <c r="BA191" s="11"/>
      <c r="BB191" s="5">
        <f>SUM(AU191:BA191)</f>
        <v>0</v>
      </c>
      <c r="BD191" s="11">
        <v>0</v>
      </c>
      <c r="BE191" s="11"/>
      <c r="BF191" s="11"/>
      <c r="BG191" s="11"/>
      <c r="BH191" s="11"/>
      <c r="BI191" s="11"/>
      <c r="BJ191" s="11"/>
      <c r="BK191" s="5">
        <f>SUM(BD191:BJ191)</f>
        <v>0</v>
      </c>
      <c r="BM191" s="11"/>
      <c r="BN191" s="11"/>
      <c r="BO191" s="11"/>
      <c r="BP191" s="11"/>
      <c r="BQ191" s="11"/>
      <c r="BR191" s="11"/>
      <c r="BS191" s="11"/>
      <c r="BT191" s="5">
        <f>SUM(BM191:BS191)</f>
        <v>0</v>
      </c>
      <c r="BV191" s="5">
        <f t="shared" si="506"/>
        <v>295000</v>
      </c>
      <c r="BW191" s="5">
        <f t="shared" si="506"/>
        <v>0</v>
      </c>
      <c r="BX191" s="5">
        <f t="shared" si="506"/>
        <v>0</v>
      </c>
      <c r="BY191" s="5">
        <f t="shared" si="506"/>
        <v>0</v>
      </c>
      <c r="BZ191" s="5">
        <f t="shared" si="506"/>
        <v>0</v>
      </c>
      <c r="CA191" s="5">
        <f t="shared" si="506"/>
        <v>0</v>
      </c>
      <c r="CB191" s="11"/>
      <c r="CC191" s="5">
        <f>SUM(BV191:CB191)</f>
        <v>295000</v>
      </c>
    </row>
    <row r="192" spans="1:81">
      <c r="A192" s="29" t="s">
        <v>172</v>
      </c>
      <c r="B192" s="11"/>
      <c r="C192" s="5"/>
      <c r="D192" s="5"/>
      <c r="E192" s="5"/>
      <c r="F192" s="5"/>
      <c r="G192" s="5"/>
      <c r="H192" s="5"/>
      <c r="I192" s="5">
        <f t="shared" ref="I192:I196" si="507">SUM(B192:H192)</f>
        <v>0</v>
      </c>
      <c r="K192" s="11"/>
      <c r="L192" s="5"/>
      <c r="M192" s="5"/>
      <c r="N192" s="5"/>
      <c r="O192" s="5"/>
      <c r="P192" s="5"/>
      <c r="Q192" s="5"/>
      <c r="R192" s="5">
        <f t="shared" ref="R192:R196" si="508">SUM(K192:Q192)</f>
        <v>0</v>
      </c>
      <c r="T192" s="11"/>
      <c r="U192" s="5"/>
      <c r="V192" s="5"/>
      <c r="W192" s="5"/>
      <c r="X192" s="5"/>
      <c r="Y192" s="5"/>
      <c r="Z192" s="5"/>
      <c r="AA192" s="5">
        <f t="shared" ref="AA192:AA196" si="509">SUM(T192:Z192)</f>
        <v>0</v>
      </c>
      <c r="AC192" s="11"/>
      <c r="AD192" s="5"/>
      <c r="AE192" s="5"/>
      <c r="AF192" s="5"/>
      <c r="AG192" s="5"/>
      <c r="AH192" s="5"/>
      <c r="AI192" s="5"/>
      <c r="AJ192" s="5">
        <f t="shared" ref="AJ192:AJ196" si="510">SUM(AC192:AI192)</f>
        <v>0</v>
      </c>
      <c r="AL192" s="11"/>
      <c r="AM192" s="5"/>
      <c r="AN192" s="5"/>
      <c r="AO192" s="5"/>
      <c r="AP192" s="5"/>
      <c r="AQ192" s="5"/>
      <c r="AR192" s="5"/>
      <c r="AS192" s="5">
        <f t="shared" ref="AS192:AS196" si="511">SUM(AL192:AR192)</f>
        <v>0</v>
      </c>
      <c r="AU192" s="11"/>
      <c r="AV192" s="5"/>
      <c r="AW192" s="5"/>
      <c r="AX192" s="5"/>
      <c r="AY192" s="5"/>
      <c r="AZ192" s="5"/>
      <c r="BA192" s="5"/>
      <c r="BB192" s="5">
        <f t="shared" ref="BB192:BB196" si="512">SUM(AU192:BA192)</f>
        <v>0</v>
      </c>
      <c r="BD192" s="11"/>
      <c r="BE192" s="5"/>
      <c r="BF192" s="5"/>
      <c r="BG192" s="5"/>
      <c r="BH192" s="5"/>
      <c r="BI192" s="5"/>
      <c r="BJ192" s="5"/>
      <c r="BK192" s="5">
        <f t="shared" ref="BK192:BK196" si="513">SUM(BD192:BJ192)</f>
        <v>0</v>
      </c>
      <c r="BM192" s="11"/>
      <c r="BN192" s="5"/>
      <c r="BO192" s="5"/>
      <c r="BP192" s="5"/>
      <c r="BQ192" s="5"/>
      <c r="BR192" s="5"/>
      <c r="BS192" s="5"/>
      <c r="BT192" s="5">
        <f t="shared" ref="BT192:BT196" si="514">SUM(BM192:BS192)</f>
        <v>0</v>
      </c>
      <c r="BV192" s="5">
        <f t="shared" si="506"/>
        <v>0</v>
      </c>
      <c r="BW192" s="5">
        <f t="shared" si="506"/>
        <v>0</v>
      </c>
      <c r="BX192" s="5">
        <f t="shared" si="506"/>
        <v>0</v>
      </c>
      <c r="BY192" s="5">
        <f t="shared" si="506"/>
        <v>0</v>
      </c>
      <c r="BZ192" s="5">
        <f t="shared" si="506"/>
        <v>0</v>
      </c>
      <c r="CA192" s="5">
        <f t="shared" si="506"/>
        <v>0</v>
      </c>
      <c r="CB192" s="5"/>
      <c r="CC192" s="5">
        <f t="shared" ref="CC192:CC196" si="515">SUM(BV192:CB192)</f>
        <v>0</v>
      </c>
    </row>
    <row r="193" spans="1:82">
      <c r="A193" s="29" t="s">
        <v>173</v>
      </c>
      <c r="B193" s="11">
        <v>0</v>
      </c>
      <c r="C193" s="5"/>
      <c r="D193" s="5"/>
      <c r="E193" s="5"/>
      <c r="F193" s="5"/>
      <c r="G193" s="5"/>
      <c r="H193" s="5"/>
      <c r="I193" s="5">
        <f t="shared" si="507"/>
        <v>0</v>
      </c>
      <c r="K193" s="11">
        <v>0</v>
      </c>
      <c r="L193" s="5"/>
      <c r="M193" s="5"/>
      <c r="N193" s="5"/>
      <c r="O193" s="5"/>
      <c r="P193" s="5"/>
      <c r="Q193" s="5"/>
      <c r="R193" s="5">
        <f t="shared" si="508"/>
        <v>0</v>
      </c>
      <c r="T193" s="11">
        <v>0</v>
      </c>
      <c r="U193" s="5"/>
      <c r="V193" s="5"/>
      <c r="W193" s="5"/>
      <c r="X193" s="5"/>
      <c r="Y193" s="5"/>
      <c r="Z193" s="5"/>
      <c r="AA193" s="5">
        <f t="shared" si="509"/>
        <v>0</v>
      </c>
      <c r="AC193" s="11">
        <v>0</v>
      </c>
      <c r="AD193" s="5"/>
      <c r="AE193" s="5"/>
      <c r="AF193" s="5"/>
      <c r="AG193" s="5"/>
      <c r="AH193" s="5"/>
      <c r="AI193" s="5"/>
      <c r="AJ193" s="5">
        <f t="shared" si="510"/>
        <v>0</v>
      </c>
      <c r="AL193" s="11">
        <v>0</v>
      </c>
      <c r="AM193" s="5"/>
      <c r="AN193" s="5"/>
      <c r="AO193" s="5"/>
      <c r="AP193" s="5"/>
      <c r="AQ193" s="5"/>
      <c r="AR193" s="5"/>
      <c r="AS193" s="5">
        <f t="shared" si="511"/>
        <v>0</v>
      </c>
      <c r="AU193" s="11">
        <v>0</v>
      </c>
      <c r="AV193" s="5"/>
      <c r="AW193" s="5"/>
      <c r="AX193" s="5"/>
      <c r="AY193" s="5"/>
      <c r="AZ193" s="5"/>
      <c r="BA193" s="5"/>
      <c r="BB193" s="5">
        <f t="shared" si="512"/>
        <v>0</v>
      </c>
      <c r="BD193" s="11">
        <v>0</v>
      </c>
      <c r="BE193" s="5"/>
      <c r="BF193" s="5"/>
      <c r="BG193" s="5"/>
      <c r="BH193" s="5"/>
      <c r="BI193" s="5"/>
      <c r="BJ193" s="5"/>
      <c r="BK193" s="5">
        <f t="shared" si="513"/>
        <v>0</v>
      </c>
      <c r="BM193" s="11"/>
      <c r="BN193" s="5"/>
      <c r="BO193" s="5"/>
      <c r="BP193" s="5"/>
      <c r="BQ193" s="5"/>
      <c r="BR193" s="5"/>
      <c r="BS193" s="5"/>
      <c r="BT193" s="5">
        <f t="shared" si="514"/>
        <v>0</v>
      </c>
      <c r="BV193" s="5">
        <f t="shared" si="506"/>
        <v>0</v>
      </c>
      <c r="BW193" s="5">
        <f t="shared" si="506"/>
        <v>0</v>
      </c>
      <c r="BX193" s="5">
        <f t="shared" si="506"/>
        <v>0</v>
      </c>
      <c r="BY193" s="5">
        <f t="shared" si="506"/>
        <v>0</v>
      </c>
      <c r="BZ193" s="5">
        <f t="shared" si="506"/>
        <v>0</v>
      </c>
      <c r="CA193" s="5">
        <f t="shared" si="506"/>
        <v>0</v>
      </c>
      <c r="CB193" s="5"/>
      <c r="CC193" s="5">
        <f t="shared" si="515"/>
        <v>0</v>
      </c>
    </row>
    <row r="194" spans="1:82">
      <c r="A194" s="29" t="s">
        <v>174</v>
      </c>
      <c r="B194" s="11"/>
      <c r="C194" s="5"/>
      <c r="D194" s="5"/>
      <c r="E194" s="5"/>
      <c r="F194" s="5"/>
      <c r="G194" s="5">
        <v>275000</v>
      </c>
      <c r="H194" s="5"/>
      <c r="I194" s="5">
        <f t="shared" si="507"/>
        <v>275000</v>
      </c>
      <c r="K194" s="11"/>
      <c r="L194" s="5"/>
      <c r="M194" s="5"/>
      <c r="N194" s="5"/>
      <c r="O194" s="5"/>
      <c r="P194" s="5">
        <v>800000</v>
      </c>
      <c r="Q194" s="5"/>
      <c r="R194" s="5">
        <f t="shared" si="508"/>
        <v>800000</v>
      </c>
      <c r="T194" s="11"/>
      <c r="U194" s="5"/>
      <c r="V194" s="5"/>
      <c r="W194" s="5"/>
      <c r="X194" s="5"/>
      <c r="Y194" s="5">
        <v>800000</v>
      </c>
      <c r="Z194" s="5"/>
      <c r="AA194" s="5">
        <f t="shared" si="509"/>
        <v>800000</v>
      </c>
      <c r="AC194" s="11"/>
      <c r="AD194" s="5"/>
      <c r="AE194" s="5"/>
      <c r="AF194" s="5"/>
      <c r="AG194" s="5"/>
      <c r="AH194" s="5">
        <v>1250000</v>
      </c>
      <c r="AI194" s="5"/>
      <c r="AJ194" s="5">
        <f t="shared" si="510"/>
        <v>1250000</v>
      </c>
      <c r="AL194" s="11"/>
      <c r="AM194" s="5"/>
      <c r="AN194" s="5"/>
      <c r="AO194" s="5"/>
      <c r="AP194" s="5"/>
      <c r="AQ194" s="5">
        <v>2000000</v>
      </c>
      <c r="AR194" s="5"/>
      <c r="AS194" s="5">
        <f t="shared" si="511"/>
        <v>2000000</v>
      </c>
      <c r="AU194" s="11"/>
      <c r="AV194" s="5"/>
      <c r="AW194" s="5"/>
      <c r="AX194" s="5"/>
      <c r="AY194" s="5"/>
      <c r="AZ194" s="5"/>
      <c r="BA194" s="5"/>
      <c r="BB194" s="5"/>
      <c r="BD194" s="11"/>
      <c r="BE194" s="5"/>
      <c r="BF194" s="5"/>
      <c r="BG194" s="5"/>
      <c r="BH194" s="5"/>
      <c r="BI194" s="5">
        <v>50000</v>
      </c>
      <c r="BJ194" s="5"/>
      <c r="BK194" s="5">
        <f t="shared" si="513"/>
        <v>50000</v>
      </c>
      <c r="BM194" s="11"/>
      <c r="BN194" s="5"/>
      <c r="BO194" s="5"/>
      <c r="BP194" s="5"/>
      <c r="BQ194" s="5"/>
      <c r="BR194" s="5"/>
      <c r="BS194" s="5"/>
      <c r="BT194" s="5"/>
      <c r="BV194" s="5">
        <f t="shared" si="506"/>
        <v>0</v>
      </c>
      <c r="BW194" s="5">
        <f t="shared" si="506"/>
        <v>0</v>
      </c>
      <c r="BX194" s="5">
        <f t="shared" si="506"/>
        <v>0</v>
      </c>
      <c r="BY194" s="5">
        <f t="shared" si="506"/>
        <v>0</v>
      </c>
      <c r="BZ194" s="5">
        <f t="shared" si="506"/>
        <v>0</v>
      </c>
      <c r="CA194" s="5">
        <f t="shared" si="506"/>
        <v>5175000</v>
      </c>
      <c r="CB194" s="5"/>
      <c r="CC194" s="5">
        <f t="shared" si="515"/>
        <v>5175000</v>
      </c>
    </row>
    <row r="195" spans="1:82">
      <c r="A195" s="29" t="s">
        <v>175</v>
      </c>
      <c r="B195" s="11">
        <v>12000</v>
      </c>
      <c r="C195" s="5"/>
      <c r="D195" s="5"/>
      <c r="E195" s="5"/>
      <c r="F195" s="5"/>
      <c r="G195" s="5"/>
      <c r="H195" s="5"/>
      <c r="I195" s="5">
        <f t="shared" si="507"/>
        <v>12000</v>
      </c>
      <c r="K195" s="11">
        <v>15000</v>
      </c>
      <c r="L195" s="5"/>
      <c r="M195" s="5"/>
      <c r="N195" s="5"/>
      <c r="O195" s="5"/>
      <c r="P195" s="5"/>
      <c r="Q195" s="5"/>
      <c r="R195" s="5">
        <f t="shared" si="508"/>
        <v>15000</v>
      </c>
      <c r="T195" s="11">
        <v>12500</v>
      </c>
      <c r="U195" s="5"/>
      <c r="V195" s="5"/>
      <c r="W195" s="5"/>
      <c r="X195" s="5"/>
      <c r="Y195" s="5"/>
      <c r="Z195" s="5"/>
      <c r="AA195" s="5">
        <f t="shared" si="509"/>
        <v>12500</v>
      </c>
      <c r="AC195" s="11">
        <v>20000</v>
      </c>
      <c r="AD195" s="5"/>
      <c r="AE195" s="5"/>
      <c r="AF195" s="5"/>
      <c r="AG195" s="5"/>
      <c r="AH195" s="5"/>
      <c r="AI195" s="5"/>
      <c r="AJ195" s="5">
        <f t="shared" si="510"/>
        <v>20000</v>
      </c>
      <c r="AL195" s="11">
        <v>12000</v>
      </c>
      <c r="AM195" s="5"/>
      <c r="AN195" s="5"/>
      <c r="AO195" s="5"/>
      <c r="AP195" s="5"/>
      <c r="AQ195" s="5"/>
      <c r="AR195" s="5"/>
      <c r="AS195" s="5">
        <f t="shared" si="511"/>
        <v>12000</v>
      </c>
      <c r="AU195" s="11">
        <v>2000</v>
      </c>
      <c r="AV195" s="5"/>
      <c r="AW195" s="5"/>
      <c r="AX195" s="5"/>
      <c r="AY195" s="5"/>
      <c r="AZ195" s="5"/>
      <c r="BA195" s="5"/>
      <c r="BB195" s="5">
        <f t="shared" si="512"/>
        <v>2000</v>
      </c>
      <c r="BD195" s="11">
        <v>3000</v>
      </c>
      <c r="BE195" s="5"/>
      <c r="BF195" s="5"/>
      <c r="BG195" s="5"/>
      <c r="BH195" s="5"/>
      <c r="BI195" s="5"/>
      <c r="BJ195" s="5"/>
      <c r="BK195" s="5">
        <f t="shared" si="513"/>
        <v>3000</v>
      </c>
      <c r="BM195" s="11"/>
      <c r="BN195" s="5"/>
      <c r="BO195" s="5"/>
      <c r="BP195" s="5"/>
      <c r="BQ195" s="5"/>
      <c r="BR195" s="5"/>
      <c r="BS195" s="5"/>
      <c r="BT195" s="5">
        <f t="shared" si="514"/>
        <v>0</v>
      </c>
      <c r="BV195" s="5">
        <f t="shared" si="506"/>
        <v>76500</v>
      </c>
      <c r="BW195" s="5">
        <f t="shared" si="506"/>
        <v>0</v>
      </c>
      <c r="BX195" s="5">
        <f t="shared" si="506"/>
        <v>0</v>
      </c>
      <c r="BY195" s="5">
        <f t="shared" si="506"/>
        <v>0</v>
      </c>
      <c r="BZ195" s="5">
        <f t="shared" si="506"/>
        <v>0</v>
      </c>
      <c r="CA195" s="5">
        <f t="shared" si="506"/>
        <v>0</v>
      </c>
      <c r="CB195" s="5"/>
      <c r="CC195" s="5">
        <f t="shared" si="515"/>
        <v>76500</v>
      </c>
    </row>
    <row r="196" spans="1:82">
      <c r="A196" s="78" t="s">
        <v>176</v>
      </c>
      <c r="B196" s="5">
        <f>B74*0.02</f>
        <v>173709.9</v>
      </c>
      <c r="C196" s="5"/>
      <c r="D196" s="5"/>
      <c r="E196" s="5"/>
      <c r="F196" s="5"/>
      <c r="G196" s="5"/>
      <c r="H196" s="5"/>
      <c r="I196" s="5">
        <f t="shared" si="507"/>
        <v>173709.9</v>
      </c>
      <c r="J196" s="63">
        <f>I196/I74</f>
        <v>0.02</v>
      </c>
      <c r="K196" s="5">
        <f>K74*0.05</f>
        <v>493038</v>
      </c>
      <c r="L196" s="5"/>
      <c r="M196" s="5"/>
      <c r="N196" s="5"/>
      <c r="O196" s="5"/>
      <c r="P196" s="5"/>
      <c r="Q196" s="5"/>
      <c r="R196" s="5">
        <f t="shared" si="508"/>
        <v>493038</v>
      </c>
      <c r="S196" s="63">
        <f>R196/R74</f>
        <v>0.05</v>
      </c>
      <c r="T196" s="5">
        <f>T74*0.05</f>
        <v>594798.75</v>
      </c>
      <c r="U196" s="5"/>
      <c r="V196" s="5"/>
      <c r="W196" s="5"/>
      <c r="X196" s="5"/>
      <c r="Y196" s="5"/>
      <c r="Z196" s="5"/>
      <c r="AA196" s="5">
        <f t="shared" si="509"/>
        <v>594798.75</v>
      </c>
      <c r="AB196" s="63">
        <f>AA196/AA74</f>
        <v>0.05</v>
      </c>
      <c r="AC196" s="5">
        <f>AC74*0.05</f>
        <v>1165710</v>
      </c>
      <c r="AD196" s="5"/>
      <c r="AE196" s="5"/>
      <c r="AF196" s="5"/>
      <c r="AG196" s="5"/>
      <c r="AH196" s="5"/>
      <c r="AI196" s="5"/>
      <c r="AJ196" s="5">
        <f t="shared" si="510"/>
        <v>1165710</v>
      </c>
      <c r="AK196" s="63">
        <f>AJ196/AJ74</f>
        <v>0.05</v>
      </c>
      <c r="AL196" s="5">
        <f>AL74*0.0125</f>
        <v>275781.1875</v>
      </c>
      <c r="AM196" s="5"/>
      <c r="AN196" s="5"/>
      <c r="AO196" s="5"/>
      <c r="AP196" s="5"/>
      <c r="AQ196" s="5"/>
      <c r="AR196" s="5"/>
      <c r="AS196" s="5">
        <f t="shared" si="511"/>
        <v>275781.1875</v>
      </c>
      <c r="AT196" s="63">
        <f>AS196/AS74</f>
        <v>1.2500000000000001E-2</v>
      </c>
      <c r="AU196" s="5">
        <f>AU74*0.1</f>
        <v>133770</v>
      </c>
      <c r="AV196" s="5"/>
      <c r="AW196" s="5"/>
      <c r="AX196" s="5"/>
      <c r="AY196" s="5"/>
      <c r="AZ196" s="5"/>
      <c r="BA196" s="5"/>
      <c r="BB196" s="5">
        <f t="shared" si="512"/>
        <v>133770</v>
      </c>
      <c r="BC196" s="63">
        <f>BB196/BB74</f>
        <v>0.1</v>
      </c>
      <c r="BD196" s="5">
        <f>BD74*0.0125</f>
        <v>41325.375</v>
      </c>
      <c r="BE196" s="5"/>
      <c r="BF196" s="5"/>
      <c r="BG196" s="5"/>
      <c r="BH196" s="5"/>
      <c r="BI196" s="5"/>
      <c r="BJ196" s="5"/>
      <c r="BK196" s="5">
        <f t="shared" si="513"/>
        <v>41325.375</v>
      </c>
      <c r="BL196" s="63">
        <f>BK196/BK74</f>
        <v>1.2500000000000001E-2</v>
      </c>
      <c r="BM196" s="5"/>
      <c r="BN196" s="5"/>
      <c r="BO196" s="5"/>
      <c r="BP196" s="5"/>
      <c r="BQ196" s="5"/>
      <c r="BR196" s="5"/>
      <c r="BS196" s="5"/>
      <c r="BT196" s="5">
        <f t="shared" si="514"/>
        <v>0</v>
      </c>
      <c r="BU196" s="63" t="e">
        <f>BT196/BT74</f>
        <v>#DIV/0!</v>
      </c>
      <c r="BV196" s="5">
        <f t="shared" si="506"/>
        <v>2878133.2124999999</v>
      </c>
      <c r="BW196" s="5">
        <f t="shared" si="506"/>
        <v>0</v>
      </c>
      <c r="BX196" s="5">
        <f t="shared" si="506"/>
        <v>0</v>
      </c>
      <c r="BY196" s="5">
        <f t="shared" si="506"/>
        <v>0</v>
      </c>
      <c r="BZ196" s="5">
        <f t="shared" si="506"/>
        <v>0</v>
      </c>
      <c r="CA196" s="5">
        <f t="shared" si="506"/>
        <v>0</v>
      </c>
      <c r="CB196" s="5"/>
      <c r="CC196" s="5">
        <f t="shared" si="515"/>
        <v>2878133.2124999999</v>
      </c>
      <c r="CD196" s="63">
        <f>CC196/CC74</f>
        <v>3.5769801686260538E-2</v>
      </c>
    </row>
    <row r="197" spans="1:82" ht="15">
      <c r="A197" s="70" t="s">
        <v>177</v>
      </c>
      <c r="B197" s="71">
        <f>SUM(B172:B196)</f>
        <v>349467.27500000002</v>
      </c>
      <c r="C197" s="71">
        <f t="shared" ref="C197:I197" si="516">SUM(C172:C196)</f>
        <v>0</v>
      </c>
      <c r="D197" s="71">
        <f t="shared" si="516"/>
        <v>306787.5</v>
      </c>
      <c r="E197" s="71">
        <f t="shared" si="516"/>
        <v>0</v>
      </c>
      <c r="F197" s="71">
        <f t="shared" si="516"/>
        <v>0</v>
      </c>
      <c r="G197" s="71">
        <f t="shared" si="516"/>
        <v>275000</v>
      </c>
      <c r="H197" s="71">
        <f t="shared" si="516"/>
        <v>0</v>
      </c>
      <c r="I197" s="71">
        <f t="shared" si="516"/>
        <v>931254.77500000002</v>
      </c>
      <c r="J197" s="7"/>
      <c r="K197" s="71">
        <f>SUM(K172:K196)</f>
        <v>684991</v>
      </c>
      <c r="L197" s="71">
        <f t="shared" ref="L197:R197" si="517">SUM(L172:L196)</f>
        <v>0</v>
      </c>
      <c r="M197" s="71">
        <f t="shared" si="517"/>
        <v>236844.00000000003</v>
      </c>
      <c r="N197" s="71">
        <f t="shared" si="517"/>
        <v>0</v>
      </c>
      <c r="O197" s="71">
        <f t="shared" si="517"/>
        <v>0</v>
      </c>
      <c r="P197" s="71">
        <f t="shared" si="517"/>
        <v>800000</v>
      </c>
      <c r="Q197" s="71">
        <f t="shared" si="517"/>
        <v>0</v>
      </c>
      <c r="R197" s="71">
        <f t="shared" si="517"/>
        <v>1721835</v>
      </c>
      <c r="T197" s="71">
        <f t="shared" ref="T197:AA197" si="518">SUM(T172:T196)</f>
        <v>815393.5</v>
      </c>
      <c r="U197" s="71">
        <f t="shared" si="518"/>
        <v>0</v>
      </c>
      <c r="V197" s="71">
        <f t="shared" si="518"/>
        <v>138661.875</v>
      </c>
      <c r="W197" s="71">
        <f t="shared" si="518"/>
        <v>0</v>
      </c>
      <c r="X197" s="71">
        <f t="shared" si="518"/>
        <v>0</v>
      </c>
      <c r="Y197" s="71">
        <f t="shared" si="518"/>
        <v>800000</v>
      </c>
      <c r="Z197" s="71">
        <f t="shared" si="518"/>
        <v>0</v>
      </c>
      <c r="AA197" s="71">
        <f t="shared" si="518"/>
        <v>1754055.375</v>
      </c>
      <c r="AC197" s="71">
        <f>SUM(AC172:AC196)</f>
        <v>1672485.75</v>
      </c>
      <c r="AD197" s="71">
        <f t="shared" ref="AD197:AJ197" si="519">SUM(AD172:AD196)</f>
        <v>0</v>
      </c>
      <c r="AE197" s="71">
        <f t="shared" si="519"/>
        <v>724679.99999999988</v>
      </c>
      <c r="AF197" s="71">
        <f t="shared" si="519"/>
        <v>0</v>
      </c>
      <c r="AG197" s="71">
        <f t="shared" si="519"/>
        <v>0</v>
      </c>
      <c r="AH197" s="71">
        <f t="shared" si="519"/>
        <v>1250000</v>
      </c>
      <c r="AI197" s="71">
        <f t="shared" si="519"/>
        <v>0</v>
      </c>
      <c r="AJ197" s="71">
        <f t="shared" si="519"/>
        <v>3647165.75</v>
      </c>
      <c r="AL197" s="71">
        <f>SUM(AL172:AL196)</f>
        <v>796197.6875</v>
      </c>
      <c r="AM197" s="71">
        <f t="shared" ref="AM197:AS197" si="520">SUM(AM172:AM196)</f>
        <v>0</v>
      </c>
      <c r="AN197" s="71">
        <f t="shared" si="520"/>
        <v>467572.49999999994</v>
      </c>
      <c r="AO197" s="71">
        <f t="shared" si="520"/>
        <v>0</v>
      </c>
      <c r="AP197" s="71">
        <f t="shared" si="520"/>
        <v>0</v>
      </c>
      <c r="AQ197" s="71">
        <f t="shared" si="520"/>
        <v>2000000</v>
      </c>
      <c r="AR197" s="71">
        <f t="shared" si="520"/>
        <v>0</v>
      </c>
      <c r="AS197" s="71">
        <f t="shared" si="520"/>
        <v>3263770.1875</v>
      </c>
      <c r="AU197" s="71">
        <f>SUM(AU172:AU196)</f>
        <v>171445</v>
      </c>
      <c r="AV197" s="71">
        <f t="shared" ref="AV197:BB197" si="521">SUM(AV172:AV196)</f>
        <v>0</v>
      </c>
      <c r="AW197" s="71">
        <f t="shared" si="521"/>
        <v>2835</v>
      </c>
      <c r="AX197" s="71">
        <f t="shared" si="521"/>
        <v>0</v>
      </c>
      <c r="AY197" s="71">
        <f t="shared" si="521"/>
        <v>0</v>
      </c>
      <c r="AZ197" s="71">
        <f t="shared" si="521"/>
        <v>0</v>
      </c>
      <c r="BA197" s="71">
        <f t="shared" si="521"/>
        <v>0</v>
      </c>
      <c r="BB197" s="71">
        <f t="shared" si="521"/>
        <v>174280</v>
      </c>
      <c r="BD197" s="71">
        <f>SUM(BD172:BD196)</f>
        <v>95951.375</v>
      </c>
      <c r="BE197" s="71">
        <f t="shared" ref="BE197:BK197" si="522">SUM(BE172:BE196)</f>
        <v>0</v>
      </c>
      <c r="BF197" s="71">
        <f t="shared" si="522"/>
        <v>359760.42000000004</v>
      </c>
      <c r="BG197" s="71">
        <f t="shared" si="522"/>
        <v>0</v>
      </c>
      <c r="BH197" s="71">
        <f t="shared" si="522"/>
        <v>0</v>
      </c>
      <c r="BI197" s="71">
        <f t="shared" si="522"/>
        <v>50000</v>
      </c>
      <c r="BJ197" s="71">
        <f t="shared" si="522"/>
        <v>0</v>
      </c>
      <c r="BK197" s="71">
        <f t="shared" si="522"/>
        <v>505711.79500000004</v>
      </c>
      <c r="BM197" s="71">
        <f>SUM(BM172:BM196)</f>
        <v>2500</v>
      </c>
      <c r="BN197" s="71">
        <f t="shared" ref="BN197:BT197" si="523">SUM(BN172:BN196)</f>
        <v>0</v>
      </c>
      <c r="BO197" s="71">
        <f t="shared" si="523"/>
        <v>0</v>
      </c>
      <c r="BP197" s="71">
        <f t="shared" si="523"/>
        <v>0</v>
      </c>
      <c r="BQ197" s="71">
        <f t="shared" si="523"/>
        <v>0</v>
      </c>
      <c r="BR197" s="71">
        <f t="shared" si="523"/>
        <v>0</v>
      </c>
      <c r="BS197" s="71">
        <f t="shared" si="523"/>
        <v>0</v>
      </c>
      <c r="BT197" s="71">
        <f t="shared" si="523"/>
        <v>2500</v>
      </c>
      <c r="BV197" s="71">
        <f>SUM(BV172:BV196)</f>
        <v>4588431.5875000004</v>
      </c>
      <c r="BW197" s="71">
        <f t="shared" ref="BW197:CB197" si="524">SUM(BW172:BW196)</f>
        <v>0</v>
      </c>
      <c r="BX197" s="71">
        <f t="shared" si="524"/>
        <v>2237141.2949999999</v>
      </c>
      <c r="BY197" s="71">
        <f t="shared" si="524"/>
        <v>0</v>
      </c>
      <c r="BZ197" s="71">
        <f t="shared" si="524"/>
        <v>0</v>
      </c>
      <c r="CA197" s="71">
        <f t="shared" si="524"/>
        <v>5175000</v>
      </c>
      <c r="CB197" s="71">
        <f t="shared" si="524"/>
        <v>0</v>
      </c>
      <c r="CC197" s="71">
        <f>SUM(CC172:CC196)</f>
        <v>12000572.8825</v>
      </c>
    </row>
    <row r="198" spans="1:82" ht="15">
      <c r="A198" s="75" t="s">
        <v>178</v>
      </c>
      <c r="B198" s="18" t="str">
        <f t="shared" ref="B198:I198" si="525">B1</f>
        <v>Operating</v>
      </c>
      <c r="C198" s="18" t="str">
        <f t="shared" si="525"/>
        <v>SPED</v>
      </c>
      <c r="D198" s="18" t="str">
        <f t="shared" si="525"/>
        <v>NSLP</v>
      </c>
      <c r="E198" s="18" t="str">
        <f t="shared" si="525"/>
        <v>Other</v>
      </c>
      <c r="F198" s="18" t="str">
        <f t="shared" si="525"/>
        <v>Title I</v>
      </c>
      <c r="G198" s="18" t="str">
        <f t="shared" si="525"/>
        <v>SGF</v>
      </c>
      <c r="H198" s="18" t="str">
        <f t="shared" si="525"/>
        <v>Title III</v>
      </c>
      <c r="I198" s="18" t="str">
        <f t="shared" si="525"/>
        <v>Horizon</v>
      </c>
      <c r="J198" s="7"/>
      <c r="K198" s="18" t="str">
        <f t="shared" ref="K198:R198" si="526">K1</f>
        <v>Operating</v>
      </c>
      <c r="L198" s="18" t="str">
        <f t="shared" si="526"/>
        <v>SPED</v>
      </c>
      <c r="M198" s="18" t="str">
        <f t="shared" si="526"/>
        <v>NSLP</v>
      </c>
      <c r="N198" s="18" t="str">
        <f t="shared" si="526"/>
        <v>Other</v>
      </c>
      <c r="O198" s="18" t="str">
        <f t="shared" si="526"/>
        <v>Title I</v>
      </c>
      <c r="P198" s="18" t="str">
        <f t="shared" si="526"/>
        <v>SGF</v>
      </c>
      <c r="Q198" s="18" t="str">
        <f t="shared" si="526"/>
        <v>Title III</v>
      </c>
      <c r="R198" s="18" t="str">
        <f t="shared" si="526"/>
        <v>St. Rose</v>
      </c>
      <c r="T198" s="18" t="str">
        <f t="shared" ref="T198:AA198" si="527">T1</f>
        <v>Operating</v>
      </c>
      <c r="U198" s="18" t="str">
        <f t="shared" si="527"/>
        <v>SPED</v>
      </c>
      <c r="V198" s="18" t="str">
        <f t="shared" si="527"/>
        <v>NSLP</v>
      </c>
      <c r="W198" s="18" t="str">
        <f t="shared" si="527"/>
        <v>Other</v>
      </c>
      <c r="X198" s="18" t="str">
        <f t="shared" si="527"/>
        <v>Title I</v>
      </c>
      <c r="Y198" s="18" t="str">
        <f t="shared" si="527"/>
        <v>SGF</v>
      </c>
      <c r="Z198" s="18" t="str">
        <f t="shared" si="527"/>
        <v>Title III</v>
      </c>
      <c r="AA198" s="18" t="str">
        <f t="shared" si="527"/>
        <v>Inspirada</v>
      </c>
      <c r="AC198" s="18" t="str">
        <f t="shared" ref="AC198:AJ198" si="528">AC1</f>
        <v>Operating</v>
      </c>
      <c r="AD198" s="18" t="str">
        <f t="shared" si="528"/>
        <v>SPED</v>
      </c>
      <c r="AE198" s="18" t="str">
        <f t="shared" si="528"/>
        <v>NSLP</v>
      </c>
      <c r="AF198" s="18" t="str">
        <f t="shared" si="528"/>
        <v>Other</v>
      </c>
      <c r="AG198" s="18" t="str">
        <f t="shared" si="528"/>
        <v>Title I</v>
      </c>
      <c r="AH198" s="18" t="str">
        <f t="shared" si="528"/>
        <v>SGF</v>
      </c>
      <c r="AI198" s="18" t="str">
        <f t="shared" si="528"/>
        <v>Title III</v>
      </c>
      <c r="AJ198" s="18" t="str">
        <f t="shared" si="528"/>
        <v>Cadence</v>
      </c>
      <c r="AL198" s="18" t="str">
        <f t="shared" ref="AL198:AS198" si="529">AL1</f>
        <v>Operating</v>
      </c>
      <c r="AM198" s="18" t="str">
        <f t="shared" si="529"/>
        <v>SPED</v>
      </c>
      <c r="AN198" s="18" t="str">
        <f t="shared" si="529"/>
        <v>NSLP</v>
      </c>
      <c r="AO198" s="18" t="str">
        <f t="shared" si="529"/>
        <v>Other</v>
      </c>
      <c r="AP198" s="18" t="str">
        <f t="shared" si="529"/>
        <v>Title I</v>
      </c>
      <c r="AQ198" s="18" t="str">
        <f t="shared" si="529"/>
        <v>SGF</v>
      </c>
      <c r="AR198" s="18" t="str">
        <f t="shared" si="529"/>
        <v>Title III</v>
      </c>
      <c r="AS198" s="18" t="str">
        <f t="shared" si="529"/>
        <v>Sloan</v>
      </c>
      <c r="AU198" s="18" t="str">
        <f t="shared" ref="AU198:BB198" si="530">AU1</f>
        <v>Operating</v>
      </c>
      <c r="AV198" s="18" t="str">
        <f t="shared" si="530"/>
        <v>SPED</v>
      </c>
      <c r="AW198" s="18" t="str">
        <f t="shared" si="530"/>
        <v>NSLP</v>
      </c>
      <c r="AX198" s="18" t="str">
        <f t="shared" si="530"/>
        <v>Other</v>
      </c>
      <c r="AY198" s="18" t="str">
        <f t="shared" si="530"/>
        <v>Title I</v>
      </c>
      <c r="AZ198" s="18" t="str">
        <f t="shared" si="530"/>
        <v>SGF</v>
      </c>
      <c r="BA198" s="18" t="str">
        <f t="shared" si="530"/>
        <v>Title III</v>
      </c>
      <c r="BB198" s="18" t="str">
        <f t="shared" si="530"/>
        <v>Virtual</v>
      </c>
      <c r="BD198" s="18" t="str">
        <f t="shared" ref="BD198:BK198" si="531">BD1</f>
        <v>Operating</v>
      </c>
      <c r="BE198" s="18" t="str">
        <f t="shared" si="531"/>
        <v>SPED</v>
      </c>
      <c r="BF198" s="18" t="str">
        <f t="shared" si="531"/>
        <v>NSLP</v>
      </c>
      <c r="BG198" s="18" t="str">
        <f t="shared" si="531"/>
        <v>Other</v>
      </c>
      <c r="BH198" s="18" t="str">
        <f t="shared" si="531"/>
        <v>Title I</v>
      </c>
      <c r="BI198" s="18" t="str">
        <f t="shared" si="531"/>
        <v>SGF</v>
      </c>
      <c r="BJ198" s="18" t="str">
        <f t="shared" si="531"/>
        <v>Title III</v>
      </c>
      <c r="BK198" s="18" t="str">
        <f t="shared" si="531"/>
        <v>Springs</v>
      </c>
      <c r="BM198" s="18" t="str">
        <f t="shared" ref="BM198:BT198" si="532">BM1</f>
        <v>Operating</v>
      </c>
      <c r="BN198" s="18" t="str">
        <f t="shared" si="532"/>
        <v>SPED</v>
      </c>
      <c r="BO198" s="18" t="str">
        <f t="shared" si="532"/>
        <v>NSLP</v>
      </c>
      <c r="BP198" s="18" t="str">
        <f t="shared" si="532"/>
        <v>Other</v>
      </c>
      <c r="BQ198" s="18" t="str">
        <f t="shared" si="532"/>
        <v>Title I</v>
      </c>
      <c r="BR198" s="18" t="str">
        <f t="shared" si="532"/>
        <v>SGF</v>
      </c>
      <c r="BS198" s="18" t="str">
        <f t="shared" si="532"/>
        <v>Title III</v>
      </c>
      <c r="BT198" s="18" t="str">
        <f t="shared" si="532"/>
        <v>Exec. Office</v>
      </c>
      <c r="BV198" s="18" t="str">
        <f t="shared" ref="BV198:CC198" si="533">BV1</f>
        <v>Operating</v>
      </c>
      <c r="BW198" s="18" t="str">
        <f t="shared" si="533"/>
        <v>SPED</v>
      </c>
      <c r="BX198" s="18" t="str">
        <f t="shared" si="533"/>
        <v>NSLP</v>
      </c>
      <c r="BY198" s="18" t="str">
        <f t="shared" si="533"/>
        <v>Other</v>
      </c>
      <c r="BZ198" s="18" t="str">
        <f t="shared" si="533"/>
        <v>Title I</v>
      </c>
      <c r="CA198" s="18" t="str">
        <f t="shared" si="533"/>
        <v>SGF</v>
      </c>
      <c r="CB198" s="18" t="str">
        <f t="shared" si="533"/>
        <v>Title III</v>
      </c>
      <c r="CC198" s="18" t="str">
        <f t="shared" si="533"/>
        <v>Systemwide</v>
      </c>
    </row>
    <row r="199" spans="1:82">
      <c r="A199" s="81" t="s">
        <v>179</v>
      </c>
      <c r="B199" s="62">
        <f>'24-25'!B199*1.03</f>
        <v>123600</v>
      </c>
      <c r="C199" s="5"/>
      <c r="D199" s="5"/>
      <c r="E199" s="5"/>
      <c r="F199" s="5"/>
      <c r="G199" s="5"/>
      <c r="H199" s="5"/>
      <c r="I199" s="5">
        <f t="shared" ref="I199:I208" si="534">SUM(B199:H199)</f>
        <v>123600</v>
      </c>
      <c r="J199" s="6"/>
      <c r="K199" s="62">
        <f>'24-25'!K199*1.03</f>
        <v>108150</v>
      </c>
      <c r="L199" s="5"/>
      <c r="M199" s="5"/>
      <c r="N199" s="5"/>
      <c r="O199" s="5"/>
      <c r="P199" s="5"/>
      <c r="Q199" s="5"/>
      <c r="R199" s="5">
        <f t="shared" ref="R199:R208" si="535">SUM(K199:Q199)</f>
        <v>108150</v>
      </c>
      <c r="T199" s="62">
        <f>'24-25'!T199*1.03</f>
        <v>123600</v>
      </c>
      <c r="U199" s="5"/>
      <c r="V199" s="5"/>
      <c r="W199" s="5"/>
      <c r="X199" s="5"/>
      <c r="Y199" s="5"/>
      <c r="Z199" s="5"/>
      <c r="AA199" s="5">
        <f t="shared" ref="AA199:AA208" si="536">SUM(T199:Z199)</f>
        <v>123600</v>
      </c>
      <c r="AC199" s="62">
        <f>'24-25'!AC199*1.03</f>
        <v>298700</v>
      </c>
      <c r="AD199" s="5"/>
      <c r="AE199" s="5"/>
      <c r="AF199" s="5"/>
      <c r="AG199" s="5"/>
      <c r="AH199" s="5"/>
      <c r="AI199" s="5"/>
      <c r="AJ199" s="5">
        <f t="shared" ref="AJ199:AJ208" si="537">SUM(AC199:AI199)</f>
        <v>298700</v>
      </c>
      <c r="AL199" s="62">
        <f>'24-25'!AL199*1.03</f>
        <v>298700</v>
      </c>
      <c r="AM199" s="5"/>
      <c r="AN199" s="5"/>
      <c r="AO199" s="5"/>
      <c r="AP199" s="5"/>
      <c r="AQ199" s="5"/>
      <c r="AR199" s="5"/>
      <c r="AS199" s="5">
        <f t="shared" ref="AS199:AS208" si="538">SUM(AL199:AR199)</f>
        <v>298700</v>
      </c>
      <c r="AU199" s="83"/>
      <c r="AV199" s="5"/>
      <c r="AW199" s="5"/>
      <c r="AX199" s="5"/>
      <c r="AY199" s="5"/>
      <c r="AZ199" s="5"/>
      <c r="BA199" s="5"/>
      <c r="BB199" s="5">
        <f t="shared" ref="BB199:BB208" si="539">SUM(AU199:BA199)</f>
        <v>0</v>
      </c>
      <c r="BD199" s="62">
        <f>'24-25'!BD199*1.1</f>
        <v>17050</v>
      </c>
      <c r="BE199" s="5"/>
      <c r="BF199" s="5"/>
      <c r="BG199" s="5"/>
      <c r="BH199" s="5"/>
      <c r="BI199" s="5"/>
      <c r="BJ199" s="5"/>
      <c r="BK199" s="5">
        <f t="shared" ref="BK199:BK208" si="540">SUM(BD199:BJ199)</f>
        <v>17050</v>
      </c>
      <c r="BM199" s="83"/>
      <c r="BN199" s="5"/>
      <c r="BO199" s="5"/>
      <c r="BP199" s="5"/>
      <c r="BQ199" s="5"/>
      <c r="BR199" s="5"/>
      <c r="BS199" s="5"/>
      <c r="BT199" s="5">
        <f t="shared" ref="BT199:BT208" si="541">SUM(BM199:BS199)</f>
        <v>0</v>
      </c>
      <c r="BV199" s="5">
        <f t="shared" ref="BV199:CA208" si="542">B199+K199+T199+AC199+AL199+AU199+BD199+BM199</f>
        <v>969800</v>
      </c>
      <c r="BW199" s="5">
        <f t="shared" si="542"/>
        <v>0</v>
      </c>
      <c r="BX199" s="5">
        <f t="shared" si="542"/>
        <v>0</v>
      </c>
      <c r="BY199" s="5">
        <f t="shared" si="542"/>
        <v>0</v>
      </c>
      <c r="BZ199" s="5">
        <f t="shared" si="542"/>
        <v>0</v>
      </c>
      <c r="CA199" s="5">
        <f t="shared" si="542"/>
        <v>0</v>
      </c>
      <c r="CB199" s="5"/>
      <c r="CC199" s="5">
        <f t="shared" ref="CC199:CC208" si="543">SUM(BV199:CB199)</f>
        <v>969800</v>
      </c>
    </row>
    <row r="200" spans="1:82">
      <c r="A200" s="29" t="s">
        <v>180</v>
      </c>
      <c r="B200" s="62">
        <f>'24-25'!B200*1.03</f>
        <v>8755</v>
      </c>
      <c r="C200" s="5"/>
      <c r="D200" s="5"/>
      <c r="E200" s="5"/>
      <c r="F200" s="5"/>
      <c r="G200" s="5"/>
      <c r="H200" s="5"/>
      <c r="I200" s="5">
        <f t="shared" si="534"/>
        <v>8755</v>
      </c>
      <c r="K200" s="62">
        <f>'24-25'!K200*1.03</f>
        <v>0</v>
      </c>
      <c r="L200" s="5"/>
      <c r="M200" s="5"/>
      <c r="N200" s="5"/>
      <c r="O200" s="5"/>
      <c r="P200" s="5"/>
      <c r="Q200" s="5"/>
      <c r="R200" s="5">
        <f t="shared" si="535"/>
        <v>0</v>
      </c>
      <c r="T200" s="62">
        <f>'24-25'!T200*1.03</f>
        <v>0</v>
      </c>
      <c r="U200" s="5"/>
      <c r="V200" s="5"/>
      <c r="W200" s="5"/>
      <c r="X200" s="5"/>
      <c r="Y200" s="5"/>
      <c r="Z200" s="5"/>
      <c r="AA200" s="5">
        <f t="shared" si="536"/>
        <v>0</v>
      </c>
      <c r="AC200" s="62">
        <f>'24-25'!AC200*1.03</f>
        <v>0</v>
      </c>
      <c r="AD200" s="5"/>
      <c r="AE200" s="5"/>
      <c r="AF200" s="5"/>
      <c r="AG200" s="5"/>
      <c r="AH200" s="5"/>
      <c r="AI200" s="5"/>
      <c r="AJ200" s="5">
        <f t="shared" si="537"/>
        <v>0</v>
      </c>
      <c r="AL200" s="62">
        <f>'24-25'!AL200*1.03</f>
        <v>0</v>
      </c>
      <c r="AM200" s="5"/>
      <c r="AN200" s="5"/>
      <c r="AO200" s="5"/>
      <c r="AP200" s="5"/>
      <c r="AQ200" s="5"/>
      <c r="AR200" s="5"/>
      <c r="AS200" s="5">
        <f t="shared" si="538"/>
        <v>0</v>
      </c>
      <c r="AU200" s="62"/>
      <c r="AV200" s="5"/>
      <c r="AW200" s="5"/>
      <c r="AX200" s="5"/>
      <c r="AY200" s="5"/>
      <c r="AZ200" s="5"/>
      <c r="BA200" s="5"/>
      <c r="BB200" s="5">
        <f t="shared" si="539"/>
        <v>0</v>
      </c>
      <c r="BD200" s="62">
        <f>'24-25'!BD200*1.1</f>
        <v>1375</v>
      </c>
      <c r="BE200" s="5"/>
      <c r="BF200" s="5"/>
      <c r="BG200" s="5"/>
      <c r="BH200" s="5"/>
      <c r="BI200" s="5"/>
      <c r="BJ200" s="5"/>
      <c r="BK200" s="5">
        <f t="shared" si="540"/>
        <v>1375</v>
      </c>
      <c r="BM200" s="62"/>
      <c r="BN200" s="5"/>
      <c r="BO200" s="5"/>
      <c r="BP200" s="5"/>
      <c r="BQ200" s="5"/>
      <c r="BR200" s="5"/>
      <c r="BS200" s="5"/>
      <c r="BT200" s="5">
        <f t="shared" si="541"/>
        <v>0</v>
      </c>
      <c r="BV200" s="5">
        <f t="shared" si="542"/>
        <v>10130</v>
      </c>
      <c r="BW200" s="5">
        <f t="shared" si="542"/>
        <v>0</v>
      </c>
      <c r="BX200" s="5">
        <f t="shared" si="542"/>
        <v>0</v>
      </c>
      <c r="BY200" s="5">
        <f t="shared" si="542"/>
        <v>0</v>
      </c>
      <c r="BZ200" s="5">
        <f t="shared" si="542"/>
        <v>0</v>
      </c>
      <c r="CA200" s="5">
        <f t="shared" si="542"/>
        <v>0</v>
      </c>
      <c r="CB200" s="5"/>
      <c r="CC200" s="5">
        <f t="shared" si="543"/>
        <v>10130</v>
      </c>
    </row>
    <row r="201" spans="1:82">
      <c r="A201" s="29" t="s">
        <v>181</v>
      </c>
      <c r="B201" s="62">
        <f>'24-25'!B201*1.03</f>
        <v>33475</v>
      </c>
      <c r="C201" s="5"/>
      <c r="D201" s="5"/>
      <c r="E201" s="5"/>
      <c r="F201" s="5"/>
      <c r="G201" s="5"/>
      <c r="H201" s="5"/>
      <c r="I201" s="5">
        <f t="shared" si="534"/>
        <v>33475</v>
      </c>
      <c r="K201" s="62">
        <f>'24-25'!K201*1.03</f>
        <v>23690</v>
      </c>
      <c r="L201" s="5"/>
      <c r="M201" s="5"/>
      <c r="N201" s="5"/>
      <c r="O201" s="5"/>
      <c r="P201" s="5"/>
      <c r="Q201" s="5"/>
      <c r="R201" s="5">
        <f t="shared" si="535"/>
        <v>23690</v>
      </c>
      <c r="T201" s="62">
        <f>'24-25'!T201*1.03</f>
        <v>24205</v>
      </c>
      <c r="U201" s="5"/>
      <c r="V201" s="5"/>
      <c r="W201" s="5"/>
      <c r="X201" s="5"/>
      <c r="Y201" s="5"/>
      <c r="Z201" s="5"/>
      <c r="AA201" s="5">
        <f t="shared" si="536"/>
        <v>24205</v>
      </c>
      <c r="AC201" s="62">
        <f>'24-25'!AC201*1.03</f>
        <v>54075</v>
      </c>
      <c r="AD201" s="5"/>
      <c r="AE201" s="5"/>
      <c r="AF201" s="5"/>
      <c r="AG201" s="5"/>
      <c r="AH201" s="5"/>
      <c r="AI201" s="5"/>
      <c r="AJ201" s="5">
        <f t="shared" si="537"/>
        <v>54075</v>
      </c>
      <c r="AL201" s="62">
        <f>'24-25'!AL201*1.03</f>
        <v>41200</v>
      </c>
      <c r="AM201" s="5"/>
      <c r="AN201" s="5"/>
      <c r="AO201" s="5"/>
      <c r="AP201" s="5"/>
      <c r="AQ201" s="5"/>
      <c r="AR201" s="5"/>
      <c r="AS201" s="5">
        <f t="shared" si="538"/>
        <v>41200</v>
      </c>
      <c r="AU201" s="79"/>
      <c r="AV201" s="5"/>
      <c r="AW201" s="5"/>
      <c r="AX201" s="5"/>
      <c r="AY201" s="5"/>
      <c r="AZ201" s="5"/>
      <c r="BA201" s="5"/>
      <c r="BB201" s="5">
        <f t="shared" si="539"/>
        <v>0</v>
      </c>
      <c r="BD201" s="62">
        <f>'24-25'!BD201*1.1</f>
        <v>15400.000000000002</v>
      </c>
      <c r="BE201" s="5"/>
      <c r="BF201" s="5"/>
      <c r="BG201" s="5"/>
      <c r="BH201" s="5"/>
      <c r="BI201" s="5"/>
      <c r="BJ201" s="5"/>
      <c r="BK201" s="5">
        <f t="shared" si="540"/>
        <v>15400.000000000002</v>
      </c>
      <c r="BM201" s="79"/>
      <c r="BN201" s="5"/>
      <c r="BO201" s="5"/>
      <c r="BP201" s="5"/>
      <c r="BQ201" s="5"/>
      <c r="BR201" s="5"/>
      <c r="BS201" s="5"/>
      <c r="BT201" s="5">
        <f t="shared" si="541"/>
        <v>0</v>
      </c>
      <c r="BV201" s="5">
        <f t="shared" si="542"/>
        <v>192045</v>
      </c>
      <c r="BW201" s="5">
        <f t="shared" si="542"/>
        <v>0</v>
      </c>
      <c r="BX201" s="5">
        <f t="shared" si="542"/>
        <v>0</v>
      </c>
      <c r="BY201" s="5">
        <f t="shared" si="542"/>
        <v>0</v>
      </c>
      <c r="BZ201" s="5">
        <f t="shared" si="542"/>
        <v>0</v>
      </c>
      <c r="CA201" s="5">
        <f t="shared" si="542"/>
        <v>0</v>
      </c>
      <c r="CB201" s="5"/>
      <c r="CC201" s="5">
        <f t="shared" si="543"/>
        <v>192045</v>
      </c>
    </row>
    <row r="202" spans="1:82">
      <c r="A202" s="29" t="s">
        <v>182</v>
      </c>
      <c r="B202" s="62">
        <f>'24-25'!B202*1.03</f>
        <v>24720</v>
      </c>
      <c r="C202" s="5"/>
      <c r="D202" s="5"/>
      <c r="E202" s="5"/>
      <c r="F202" s="5"/>
      <c r="G202" s="5"/>
      <c r="H202" s="5"/>
      <c r="I202" s="5">
        <f t="shared" si="534"/>
        <v>24720</v>
      </c>
      <c r="K202" s="62">
        <f>'24-25'!K202*1.03</f>
        <v>19570</v>
      </c>
      <c r="L202" s="5"/>
      <c r="M202" s="5"/>
      <c r="N202" s="5"/>
      <c r="O202" s="5"/>
      <c r="P202" s="5"/>
      <c r="Q202" s="5"/>
      <c r="R202" s="5">
        <f t="shared" si="535"/>
        <v>19570</v>
      </c>
      <c r="T202" s="62">
        <f>'24-25'!T202*1.03</f>
        <v>33990</v>
      </c>
      <c r="U202" s="5"/>
      <c r="V202" s="5"/>
      <c r="W202" s="5"/>
      <c r="X202" s="5"/>
      <c r="Y202" s="5"/>
      <c r="Z202" s="5"/>
      <c r="AA202" s="5">
        <f t="shared" si="536"/>
        <v>33990</v>
      </c>
      <c r="AC202" s="62">
        <f>'24-25'!AC202*1.03</f>
        <v>63860</v>
      </c>
      <c r="AD202" s="5"/>
      <c r="AE202" s="5"/>
      <c r="AF202" s="5"/>
      <c r="AG202" s="5"/>
      <c r="AH202" s="5"/>
      <c r="AI202" s="5"/>
      <c r="AJ202" s="5">
        <f t="shared" si="537"/>
        <v>63860</v>
      </c>
      <c r="AL202" s="62">
        <f>'24-25'!AL202*1.03</f>
        <v>64375</v>
      </c>
      <c r="AM202" s="5"/>
      <c r="AN202" s="5"/>
      <c r="AO202" s="5"/>
      <c r="AP202" s="5"/>
      <c r="AQ202" s="5"/>
      <c r="AR202" s="5"/>
      <c r="AS202" s="5">
        <f t="shared" si="538"/>
        <v>64375</v>
      </c>
      <c r="AU202" s="79"/>
      <c r="AV202" s="5"/>
      <c r="AW202" s="5"/>
      <c r="AX202" s="5"/>
      <c r="AY202" s="5"/>
      <c r="AZ202" s="5"/>
      <c r="BA202" s="5"/>
      <c r="BB202" s="5">
        <f t="shared" si="539"/>
        <v>0</v>
      </c>
      <c r="BD202" s="62">
        <f>'24-25'!BD202*1.1</f>
        <v>14850.000000000002</v>
      </c>
      <c r="BE202" s="5"/>
      <c r="BF202" s="5"/>
      <c r="BG202" s="5"/>
      <c r="BH202" s="5"/>
      <c r="BI202" s="5"/>
      <c r="BJ202" s="5"/>
      <c r="BK202" s="5">
        <f t="shared" si="540"/>
        <v>14850.000000000002</v>
      </c>
      <c r="BM202" s="79"/>
      <c r="BN202" s="5"/>
      <c r="BO202" s="5"/>
      <c r="BP202" s="5"/>
      <c r="BQ202" s="5"/>
      <c r="BR202" s="5"/>
      <c r="BS202" s="5"/>
      <c r="BT202" s="5">
        <f t="shared" si="541"/>
        <v>0</v>
      </c>
      <c r="BV202" s="5">
        <f t="shared" si="542"/>
        <v>221365</v>
      </c>
      <c r="BW202" s="5">
        <f t="shared" si="542"/>
        <v>0</v>
      </c>
      <c r="BX202" s="5">
        <f t="shared" si="542"/>
        <v>0</v>
      </c>
      <c r="BY202" s="5">
        <f t="shared" si="542"/>
        <v>0</v>
      </c>
      <c r="BZ202" s="5">
        <f t="shared" si="542"/>
        <v>0</v>
      </c>
      <c r="CA202" s="5">
        <f t="shared" si="542"/>
        <v>0</v>
      </c>
      <c r="CB202" s="5"/>
      <c r="CC202" s="5">
        <f t="shared" si="543"/>
        <v>221365</v>
      </c>
    </row>
    <row r="203" spans="1:82">
      <c r="A203" s="29" t="s">
        <v>183</v>
      </c>
      <c r="B203" s="62">
        <f>'24-25'!B203*1.03</f>
        <v>12875</v>
      </c>
      <c r="C203" s="5"/>
      <c r="D203" s="5"/>
      <c r="E203" s="5"/>
      <c r="F203" s="5"/>
      <c r="G203" s="5"/>
      <c r="H203" s="5"/>
      <c r="I203" s="5">
        <f t="shared" si="534"/>
        <v>12875</v>
      </c>
      <c r="K203" s="62">
        <f>'24-25'!K203*1.03</f>
        <v>8755</v>
      </c>
      <c r="L203" s="5"/>
      <c r="M203" s="5"/>
      <c r="N203" s="5"/>
      <c r="O203" s="5"/>
      <c r="P203" s="5"/>
      <c r="Q203" s="5"/>
      <c r="R203" s="5">
        <f t="shared" si="535"/>
        <v>8755</v>
      </c>
      <c r="T203" s="62">
        <f>'24-25'!T203*1.03</f>
        <v>15450</v>
      </c>
      <c r="U203" s="5"/>
      <c r="V203" s="5"/>
      <c r="W203" s="5"/>
      <c r="X203" s="5"/>
      <c r="Y203" s="5"/>
      <c r="Z203" s="5"/>
      <c r="AA203" s="5">
        <f t="shared" si="536"/>
        <v>15450</v>
      </c>
      <c r="AC203" s="62">
        <f>'24-25'!AC203*1.03</f>
        <v>34608</v>
      </c>
      <c r="AD203" s="5"/>
      <c r="AE203" s="5"/>
      <c r="AF203" s="5"/>
      <c r="AG203" s="5"/>
      <c r="AH203" s="5"/>
      <c r="AI203" s="5"/>
      <c r="AJ203" s="5">
        <f t="shared" si="537"/>
        <v>34608</v>
      </c>
      <c r="AL203" s="62">
        <f>'24-25'!AL203*1.03</f>
        <v>16871.400000000001</v>
      </c>
      <c r="AM203" s="5"/>
      <c r="AN203" s="5"/>
      <c r="AO203" s="5"/>
      <c r="AP203" s="5"/>
      <c r="AQ203" s="5"/>
      <c r="AR203" s="5"/>
      <c r="AS203" s="5">
        <f t="shared" si="538"/>
        <v>16871.400000000001</v>
      </c>
      <c r="AU203" s="79"/>
      <c r="AV203" s="5"/>
      <c r="AW203" s="5"/>
      <c r="AX203" s="5"/>
      <c r="AY203" s="5"/>
      <c r="AZ203" s="5"/>
      <c r="BA203" s="5"/>
      <c r="BB203" s="5">
        <f t="shared" si="539"/>
        <v>0</v>
      </c>
      <c r="BD203" s="62">
        <f>'24-25'!BD203*1.1</f>
        <v>6600.0000000000009</v>
      </c>
      <c r="BE203" s="5"/>
      <c r="BF203" s="5"/>
      <c r="BG203" s="5"/>
      <c r="BH203" s="5"/>
      <c r="BI203" s="5"/>
      <c r="BJ203" s="5"/>
      <c r="BK203" s="5">
        <f t="shared" si="540"/>
        <v>6600.0000000000009</v>
      </c>
      <c r="BM203" s="79"/>
      <c r="BN203" s="5"/>
      <c r="BO203" s="5"/>
      <c r="BP203" s="5"/>
      <c r="BQ203" s="5"/>
      <c r="BR203" s="5"/>
      <c r="BS203" s="5"/>
      <c r="BT203" s="5">
        <f t="shared" si="541"/>
        <v>0</v>
      </c>
      <c r="BV203" s="5">
        <f t="shared" si="542"/>
        <v>95159.4</v>
      </c>
      <c r="BW203" s="5">
        <f t="shared" si="542"/>
        <v>0</v>
      </c>
      <c r="BX203" s="5">
        <f t="shared" si="542"/>
        <v>0</v>
      </c>
      <c r="BY203" s="5">
        <f t="shared" si="542"/>
        <v>0</v>
      </c>
      <c r="BZ203" s="5">
        <f t="shared" si="542"/>
        <v>0</v>
      </c>
      <c r="CA203" s="5">
        <f t="shared" si="542"/>
        <v>0</v>
      </c>
      <c r="CB203" s="5"/>
      <c r="CC203" s="5">
        <f t="shared" si="543"/>
        <v>95159.4</v>
      </c>
    </row>
    <row r="204" spans="1:82">
      <c r="A204" s="29" t="s">
        <v>184</v>
      </c>
      <c r="B204" s="62">
        <f>'24-25'!B204*1.03</f>
        <v>113815</v>
      </c>
      <c r="C204" s="5"/>
      <c r="D204" s="5"/>
      <c r="E204" s="5"/>
      <c r="F204" s="5"/>
      <c r="G204" s="5"/>
      <c r="H204" s="5"/>
      <c r="I204" s="5">
        <f t="shared" si="534"/>
        <v>113815</v>
      </c>
      <c r="K204" s="62">
        <f>'24-25'!K204*1.03</f>
        <v>105111.5</v>
      </c>
      <c r="L204" s="5"/>
      <c r="M204" s="5"/>
      <c r="N204" s="5"/>
      <c r="O204" s="5"/>
      <c r="P204" s="5"/>
      <c r="Q204" s="5"/>
      <c r="R204" s="5">
        <f t="shared" si="535"/>
        <v>105111.5</v>
      </c>
      <c r="T204" s="62">
        <f>'24-25'!T204*1.03</f>
        <v>121849</v>
      </c>
      <c r="U204" s="5"/>
      <c r="V204" s="5"/>
      <c r="W204" s="5"/>
      <c r="X204" s="5"/>
      <c r="Y204" s="5"/>
      <c r="Z204" s="5"/>
      <c r="AA204" s="5">
        <f t="shared" si="536"/>
        <v>121849</v>
      </c>
      <c r="AC204" s="62">
        <f>'24-25'!AC204*1.03</f>
        <v>295661.5</v>
      </c>
      <c r="AD204" s="5"/>
      <c r="AE204" s="5"/>
      <c r="AF204" s="5"/>
      <c r="AG204" s="5"/>
      <c r="AH204" s="5"/>
      <c r="AI204" s="5"/>
      <c r="AJ204" s="5">
        <f t="shared" si="537"/>
        <v>295661.5</v>
      </c>
      <c r="AL204" s="62">
        <f>'24-25'!AL204*1.03</f>
        <v>497181</v>
      </c>
      <c r="AM204" s="5"/>
      <c r="AN204" s="5"/>
      <c r="AO204" s="5"/>
      <c r="AP204" s="5"/>
      <c r="AQ204" s="5"/>
      <c r="AR204" s="5"/>
      <c r="AS204" s="5">
        <f t="shared" si="538"/>
        <v>497181</v>
      </c>
      <c r="AU204" s="62"/>
      <c r="AV204" s="5"/>
      <c r="AW204" s="5"/>
      <c r="AX204" s="5"/>
      <c r="AY204" s="5"/>
      <c r="AZ204" s="5"/>
      <c r="BA204" s="5"/>
      <c r="BB204" s="5">
        <f t="shared" si="539"/>
        <v>0</v>
      </c>
      <c r="BD204" s="62">
        <f>'24-25'!BD204*1.1</f>
        <v>0</v>
      </c>
      <c r="BE204" s="5"/>
      <c r="BF204" s="5"/>
      <c r="BG204" s="5"/>
      <c r="BH204" s="5"/>
      <c r="BI204" s="5"/>
      <c r="BJ204" s="5"/>
      <c r="BK204" s="5">
        <f t="shared" si="540"/>
        <v>0</v>
      </c>
      <c r="BM204" s="62"/>
      <c r="BN204" s="5"/>
      <c r="BO204" s="5"/>
      <c r="BP204" s="5"/>
      <c r="BQ204" s="5"/>
      <c r="BR204" s="5"/>
      <c r="BS204" s="5"/>
      <c r="BT204" s="5">
        <f t="shared" si="541"/>
        <v>0</v>
      </c>
      <c r="BV204" s="5">
        <f t="shared" si="542"/>
        <v>1133618</v>
      </c>
      <c r="BW204" s="5">
        <f t="shared" si="542"/>
        <v>0</v>
      </c>
      <c r="BX204" s="5">
        <f t="shared" si="542"/>
        <v>0</v>
      </c>
      <c r="BY204" s="5">
        <f t="shared" si="542"/>
        <v>0</v>
      </c>
      <c r="BZ204" s="5">
        <f t="shared" si="542"/>
        <v>0</v>
      </c>
      <c r="CA204" s="5">
        <f t="shared" si="542"/>
        <v>0</v>
      </c>
      <c r="CB204" s="5"/>
      <c r="CC204" s="5">
        <f t="shared" si="543"/>
        <v>1133618</v>
      </c>
    </row>
    <row r="205" spans="1:82">
      <c r="A205" s="29" t="s">
        <v>185</v>
      </c>
      <c r="B205" s="11">
        <v>90000</v>
      </c>
      <c r="C205" s="5"/>
      <c r="D205" s="5"/>
      <c r="E205" s="5"/>
      <c r="F205" s="5"/>
      <c r="G205" s="5"/>
      <c r="H205" s="5"/>
      <c r="I205" s="5">
        <f t="shared" si="534"/>
        <v>90000</v>
      </c>
      <c r="K205" s="11">
        <v>100000</v>
      </c>
      <c r="L205" s="5"/>
      <c r="M205" s="5"/>
      <c r="N205" s="5"/>
      <c r="O205" s="5"/>
      <c r="P205" s="5"/>
      <c r="Q205" s="5"/>
      <c r="R205" s="5">
        <f t="shared" si="535"/>
        <v>100000</v>
      </c>
      <c r="T205" s="11">
        <v>145000</v>
      </c>
      <c r="U205" s="5"/>
      <c r="V205" s="5"/>
      <c r="W205" s="5"/>
      <c r="X205" s="5"/>
      <c r="Y205" s="5"/>
      <c r="Z205" s="5"/>
      <c r="AA205" s="5">
        <f t="shared" si="536"/>
        <v>145000</v>
      </c>
      <c r="AC205" s="11">
        <v>225000</v>
      </c>
      <c r="AD205" s="5"/>
      <c r="AE205" s="5"/>
      <c r="AF205" s="5">
        <v>0</v>
      </c>
      <c r="AG205" s="5"/>
      <c r="AH205" s="5"/>
      <c r="AI205" s="5"/>
      <c r="AJ205" s="5">
        <f t="shared" si="537"/>
        <v>225000</v>
      </c>
      <c r="AL205" s="11">
        <v>150000</v>
      </c>
      <c r="AM205" s="5"/>
      <c r="AN205" s="5"/>
      <c r="AO205" s="5">
        <v>0</v>
      </c>
      <c r="AP205" s="5"/>
      <c r="AQ205" s="5"/>
      <c r="AR205" s="5"/>
      <c r="AS205" s="5">
        <f t="shared" si="538"/>
        <v>150000</v>
      </c>
      <c r="AU205" s="11"/>
      <c r="AV205" s="5"/>
      <c r="AW205" s="5"/>
      <c r="AX205" s="5"/>
      <c r="AY205" s="5"/>
      <c r="AZ205" s="5"/>
      <c r="BA205" s="5"/>
      <c r="BB205" s="5">
        <f t="shared" si="539"/>
        <v>0</v>
      </c>
      <c r="BD205" s="11">
        <v>40000</v>
      </c>
      <c r="BE205" s="5"/>
      <c r="BF205" s="5"/>
      <c r="BG205" s="5"/>
      <c r="BH205" s="5"/>
      <c r="BI205" s="5"/>
      <c r="BJ205" s="5"/>
      <c r="BK205" s="5">
        <f t="shared" si="540"/>
        <v>40000</v>
      </c>
      <c r="BM205" s="11"/>
      <c r="BN205" s="5"/>
      <c r="BO205" s="5"/>
      <c r="BP205" s="5"/>
      <c r="BQ205" s="5"/>
      <c r="BR205" s="5"/>
      <c r="BS205" s="5"/>
      <c r="BT205" s="5">
        <f t="shared" si="541"/>
        <v>0</v>
      </c>
      <c r="BV205" s="5">
        <f t="shared" si="542"/>
        <v>750000</v>
      </c>
      <c r="BW205" s="5">
        <f t="shared" si="542"/>
        <v>0</v>
      </c>
      <c r="BX205" s="5">
        <f t="shared" si="542"/>
        <v>0</v>
      </c>
      <c r="BY205" s="5">
        <f t="shared" si="542"/>
        <v>0</v>
      </c>
      <c r="BZ205" s="5">
        <f t="shared" si="542"/>
        <v>0</v>
      </c>
      <c r="CA205" s="5">
        <f t="shared" si="542"/>
        <v>0</v>
      </c>
      <c r="CB205" s="5"/>
      <c r="CC205" s="5">
        <f t="shared" si="543"/>
        <v>750000</v>
      </c>
    </row>
    <row r="206" spans="1:82">
      <c r="A206" s="29" t="s">
        <v>186</v>
      </c>
      <c r="B206" s="11">
        <v>0</v>
      </c>
      <c r="C206" s="5"/>
      <c r="D206" s="5"/>
      <c r="E206" s="5"/>
      <c r="F206" s="5"/>
      <c r="G206" s="5"/>
      <c r="H206" s="5"/>
      <c r="I206" s="5">
        <f t="shared" si="534"/>
        <v>0</v>
      </c>
      <c r="K206" s="11">
        <v>0</v>
      </c>
      <c r="L206" s="5"/>
      <c r="M206" s="5"/>
      <c r="N206" s="5"/>
      <c r="O206" s="5"/>
      <c r="P206" s="5"/>
      <c r="Q206" s="5"/>
      <c r="R206" s="5">
        <f t="shared" si="535"/>
        <v>0</v>
      </c>
      <c r="T206" s="11">
        <v>0</v>
      </c>
      <c r="U206" s="5"/>
      <c r="V206" s="5"/>
      <c r="W206" s="5"/>
      <c r="X206" s="5"/>
      <c r="Y206" s="5"/>
      <c r="Z206" s="5"/>
      <c r="AA206" s="5">
        <f t="shared" si="536"/>
        <v>0</v>
      </c>
      <c r="AC206" s="11">
        <v>0</v>
      </c>
      <c r="AD206" s="5"/>
      <c r="AE206" s="5"/>
      <c r="AF206" s="5"/>
      <c r="AG206" s="5"/>
      <c r="AH206" s="5"/>
      <c r="AI206" s="5"/>
      <c r="AJ206" s="5">
        <f t="shared" si="537"/>
        <v>0</v>
      </c>
      <c r="AL206" s="11">
        <v>0</v>
      </c>
      <c r="AM206" s="5"/>
      <c r="AN206" s="5"/>
      <c r="AO206" s="5"/>
      <c r="AP206" s="5"/>
      <c r="AQ206" s="5"/>
      <c r="AR206" s="5"/>
      <c r="AS206" s="5">
        <f t="shared" si="538"/>
        <v>0</v>
      </c>
      <c r="AU206" s="11"/>
      <c r="AV206" s="5"/>
      <c r="AW206" s="5"/>
      <c r="AX206" s="5"/>
      <c r="AY206" s="5"/>
      <c r="AZ206" s="5"/>
      <c r="BA206" s="5"/>
      <c r="BB206" s="5">
        <f t="shared" si="539"/>
        <v>0</v>
      </c>
      <c r="BD206" s="11">
        <v>0</v>
      </c>
      <c r="BE206" s="5"/>
      <c r="BF206" s="5"/>
      <c r="BG206" s="5"/>
      <c r="BH206" s="5"/>
      <c r="BI206" s="5"/>
      <c r="BJ206" s="5"/>
      <c r="BK206" s="5">
        <f t="shared" si="540"/>
        <v>0</v>
      </c>
      <c r="BM206" s="11"/>
      <c r="BN206" s="5"/>
      <c r="BO206" s="5"/>
      <c r="BP206" s="5"/>
      <c r="BQ206" s="5"/>
      <c r="BR206" s="5"/>
      <c r="BS206" s="5"/>
      <c r="BT206" s="5">
        <f t="shared" si="541"/>
        <v>0</v>
      </c>
      <c r="BV206" s="5">
        <f t="shared" si="542"/>
        <v>0</v>
      </c>
      <c r="BW206" s="5">
        <f t="shared" si="542"/>
        <v>0</v>
      </c>
      <c r="BX206" s="5">
        <f t="shared" si="542"/>
        <v>0</v>
      </c>
      <c r="BY206" s="5">
        <f t="shared" si="542"/>
        <v>0</v>
      </c>
      <c r="BZ206" s="5">
        <f t="shared" si="542"/>
        <v>0</v>
      </c>
      <c r="CA206" s="5">
        <f t="shared" si="542"/>
        <v>0</v>
      </c>
      <c r="CB206" s="5"/>
      <c r="CC206" s="5">
        <f t="shared" si="543"/>
        <v>0</v>
      </c>
    </row>
    <row r="207" spans="1:82">
      <c r="A207" s="29" t="s">
        <v>187</v>
      </c>
      <c r="B207" s="62">
        <f>'24-25'!B207*1.03</f>
        <v>28634</v>
      </c>
      <c r="C207" s="5"/>
      <c r="D207" s="5"/>
      <c r="E207" s="5"/>
      <c r="F207" s="5"/>
      <c r="G207" s="5"/>
      <c r="H207" s="5"/>
      <c r="I207" s="5">
        <f t="shared" si="534"/>
        <v>28634</v>
      </c>
      <c r="K207" s="62">
        <f>'24-25'!K207*1.03</f>
        <v>23771.37</v>
      </c>
      <c r="L207" s="5"/>
      <c r="M207" s="5"/>
      <c r="N207" s="5"/>
      <c r="O207" s="5"/>
      <c r="P207" s="5"/>
      <c r="Q207" s="5"/>
      <c r="R207" s="5">
        <f t="shared" si="535"/>
        <v>23771.37</v>
      </c>
      <c r="T207" s="62">
        <f>'24-25'!T207*1.03</f>
        <v>23885.7</v>
      </c>
      <c r="U207" s="5"/>
      <c r="V207" s="5"/>
      <c r="W207" s="5"/>
      <c r="X207" s="5"/>
      <c r="Y207" s="5"/>
      <c r="Z207" s="5"/>
      <c r="AA207" s="5">
        <f t="shared" si="536"/>
        <v>23885.7</v>
      </c>
      <c r="AC207" s="62">
        <f>'24-25'!AC207*1.03</f>
        <v>36173.599999999999</v>
      </c>
      <c r="AD207" s="5"/>
      <c r="AE207" s="5"/>
      <c r="AF207" s="5"/>
      <c r="AG207" s="5"/>
      <c r="AH207" s="5"/>
      <c r="AI207" s="5"/>
      <c r="AJ207" s="5">
        <f t="shared" si="537"/>
        <v>36173.599999999999</v>
      </c>
      <c r="AL207" s="62">
        <f>'24-25'!AL207*1.03</f>
        <v>37038.800000000003</v>
      </c>
      <c r="AM207" s="5"/>
      <c r="AN207" s="5"/>
      <c r="AO207" s="5"/>
      <c r="AP207" s="5"/>
      <c r="AQ207" s="5"/>
      <c r="AR207" s="5"/>
      <c r="AS207" s="5">
        <f t="shared" si="538"/>
        <v>37038.800000000003</v>
      </c>
      <c r="AU207" s="62"/>
      <c r="AV207" s="5"/>
      <c r="AW207" s="5"/>
      <c r="AX207" s="5"/>
      <c r="AY207" s="5"/>
      <c r="AZ207" s="5"/>
      <c r="BA207" s="5"/>
      <c r="BB207" s="5">
        <f t="shared" si="539"/>
        <v>0</v>
      </c>
      <c r="BD207" s="62">
        <f>'24-25'!BD207*1.03</f>
        <v>0</v>
      </c>
      <c r="BE207" s="5"/>
      <c r="BF207" s="5"/>
      <c r="BG207" s="5"/>
      <c r="BH207" s="5"/>
      <c r="BI207" s="5"/>
      <c r="BJ207" s="5"/>
      <c r="BK207" s="5">
        <f t="shared" si="540"/>
        <v>0</v>
      </c>
      <c r="BM207" s="62"/>
      <c r="BN207" s="5"/>
      <c r="BO207" s="5"/>
      <c r="BP207" s="5"/>
      <c r="BQ207" s="5"/>
      <c r="BR207" s="5"/>
      <c r="BS207" s="5"/>
      <c r="BT207" s="5">
        <f t="shared" si="541"/>
        <v>0</v>
      </c>
      <c r="BV207" s="5">
        <f t="shared" si="542"/>
        <v>149503.46999999997</v>
      </c>
      <c r="BW207" s="5">
        <f t="shared" si="542"/>
        <v>0</v>
      </c>
      <c r="BX207" s="5">
        <f t="shared" si="542"/>
        <v>0</v>
      </c>
      <c r="BY207" s="5">
        <f t="shared" si="542"/>
        <v>0</v>
      </c>
      <c r="BZ207" s="5">
        <f t="shared" si="542"/>
        <v>0</v>
      </c>
      <c r="CA207" s="5">
        <f t="shared" si="542"/>
        <v>0</v>
      </c>
      <c r="CB207" s="5"/>
      <c r="CC207" s="5">
        <f t="shared" si="543"/>
        <v>149503.46999999997</v>
      </c>
    </row>
    <row r="208" spans="1:82">
      <c r="A208" s="78" t="s">
        <v>188</v>
      </c>
      <c r="B208" s="62">
        <f>'24-25'!B208*1.03</f>
        <v>41327.72</v>
      </c>
      <c r="C208" s="5"/>
      <c r="D208" s="5"/>
      <c r="E208" s="5"/>
      <c r="F208" s="5"/>
      <c r="G208" s="5"/>
      <c r="H208" s="5"/>
      <c r="I208" s="5">
        <f t="shared" si="534"/>
        <v>41327.72</v>
      </c>
      <c r="K208" s="62">
        <f>'24-25'!K208*1.03</f>
        <v>26162</v>
      </c>
      <c r="L208" s="5"/>
      <c r="M208" s="5"/>
      <c r="N208" s="5"/>
      <c r="O208" s="5"/>
      <c r="P208" s="5"/>
      <c r="Q208" s="5"/>
      <c r="R208" s="5">
        <f t="shared" si="535"/>
        <v>26162</v>
      </c>
      <c r="T208" s="62">
        <f>'24-25'!T208*1.03</f>
        <v>29154.768</v>
      </c>
      <c r="U208" s="5"/>
      <c r="V208" s="5"/>
      <c r="W208" s="5"/>
      <c r="X208" s="5"/>
      <c r="Y208" s="5"/>
      <c r="Z208" s="5"/>
      <c r="AA208" s="5">
        <f t="shared" si="536"/>
        <v>29154.768</v>
      </c>
      <c r="AC208" s="62">
        <f>'24-25'!AC208*1.03</f>
        <v>55456.642</v>
      </c>
      <c r="AD208" s="5"/>
      <c r="AE208" s="5"/>
      <c r="AF208" s="5"/>
      <c r="AG208" s="5"/>
      <c r="AH208" s="5"/>
      <c r="AI208" s="5"/>
      <c r="AJ208" s="5">
        <f t="shared" si="537"/>
        <v>55456.642</v>
      </c>
      <c r="AL208" s="62">
        <f>'24-25'!AL208*1.03</f>
        <v>33660.400000000001</v>
      </c>
      <c r="AM208" s="5"/>
      <c r="AN208" s="5"/>
      <c r="AO208" s="5"/>
      <c r="AP208" s="5"/>
      <c r="AQ208" s="5"/>
      <c r="AR208" s="5"/>
      <c r="AS208" s="5">
        <f t="shared" si="538"/>
        <v>33660.400000000001</v>
      </c>
      <c r="AU208" s="84"/>
      <c r="AV208" s="5"/>
      <c r="AW208" s="5"/>
      <c r="AX208" s="5"/>
      <c r="AY208" s="5"/>
      <c r="AZ208" s="5"/>
      <c r="BA208" s="5"/>
      <c r="BB208" s="5">
        <f t="shared" si="539"/>
        <v>0</v>
      </c>
      <c r="BD208" s="62">
        <f>'24-25'!BD208*1.03</f>
        <v>11845</v>
      </c>
      <c r="BE208" s="5"/>
      <c r="BF208" s="5"/>
      <c r="BG208" s="5"/>
      <c r="BH208" s="5"/>
      <c r="BI208" s="5"/>
      <c r="BJ208" s="5"/>
      <c r="BK208" s="5">
        <f t="shared" si="540"/>
        <v>11845</v>
      </c>
      <c r="BM208" s="84"/>
      <c r="BN208" s="5"/>
      <c r="BO208" s="5"/>
      <c r="BP208" s="5"/>
      <c r="BQ208" s="5"/>
      <c r="BR208" s="5"/>
      <c r="BS208" s="5"/>
      <c r="BT208" s="5">
        <f t="shared" si="541"/>
        <v>0</v>
      </c>
      <c r="BV208" s="5">
        <f t="shared" si="542"/>
        <v>197606.53</v>
      </c>
      <c r="BW208" s="5">
        <f t="shared" si="542"/>
        <v>0</v>
      </c>
      <c r="BX208" s="5">
        <f t="shared" si="542"/>
        <v>0</v>
      </c>
      <c r="BY208" s="5">
        <f t="shared" si="542"/>
        <v>0</v>
      </c>
      <c r="BZ208" s="5">
        <f t="shared" si="542"/>
        <v>0</v>
      </c>
      <c r="CA208" s="5">
        <f t="shared" si="542"/>
        <v>0</v>
      </c>
      <c r="CB208" s="5"/>
      <c r="CC208" s="5">
        <f t="shared" si="543"/>
        <v>197606.53</v>
      </c>
    </row>
    <row r="209" spans="1:81" ht="15">
      <c r="A209" s="70" t="s">
        <v>189</v>
      </c>
      <c r="B209" s="71">
        <f t="shared" ref="B209:I209" si="544">SUM(B199:B208)</f>
        <v>477201.72</v>
      </c>
      <c r="C209" s="71">
        <f t="shared" si="544"/>
        <v>0</v>
      </c>
      <c r="D209" s="71">
        <f t="shared" si="544"/>
        <v>0</v>
      </c>
      <c r="E209" s="71">
        <f t="shared" si="544"/>
        <v>0</v>
      </c>
      <c r="F209" s="71">
        <f t="shared" si="544"/>
        <v>0</v>
      </c>
      <c r="G209" s="71">
        <f t="shared" si="544"/>
        <v>0</v>
      </c>
      <c r="H209" s="71">
        <f t="shared" si="544"/>
        <v>0</v>
      </c>
      <c r="I209" s="71">
        <f t="shared" si="544"/>
        <v>477201.72</v>
      </c>
      <c r="J209" s="7"/>
      <c r="K209" s="71">
        <f>SUM(K199:K208)</f>
        <v>415209.87</v>
      </c>
      <c r="L209" s="71">
        <f t="shared" ref="L209:R209" si="545">SUM(L199:L208)</f>
        <v>0</v>
      </c>
      <c r="M209" s="71">
        <f t="shared" si="545"/>
        <v>0</v>
      </c>
      <c r="N209" s="71">
        <f t="shared" si="545"/>
        <v>0</v>
      </c>
      <c r="O209" s="71">
        <f t="shared" si="545"/>
        <v>0</v>
      </c>
      <c r="P209" s="71">
        <f t="shared" si="545"/>
        <v>0</v>
      </c>
      <c r="Q209" s="71">
        <f t="shared" si="545"/>
        <v>0</v>
      </c>
      <c r="R209" s="71">
        <f t="shared" si="545"/>
        <v>415209.87</v>
      </c>
      <c r="T209" s="71">
        <f t="shared" ref="T209:AA209" si="546">SUM(T199:T208)</f>
        <v>517134.46799999999</v>
      </c>
      <c r="U209" s="71">
        <f t="shared" si="546"/>
        <v>0</v>
      </c>
      <c r="V209" s="71">
        <f t="shared" si="546"/>
        <v>0</v>
      </c>
      <c r="W209" s="71">
        <f t="shared" si="546"/>
        <v>0</v>
      </c>
      <c r="X209" s="71">
        <f t="shared" si="546"/>
        <v>0</v>
      </c>
      <c r="Y209" s="71">
        <f t="shared" si="546"/>
        <v>0</v>
      </c>
      <c r="Z209" s="71">
        <f t="shared" si="546"/>
        <v>0</v>
      </c>
      <c r="AA209" s="71">
        <f t="shared" si="546"/>
        <v>517134.46799999999</v>
      </c>
      <c r="AC209" s="71">
        <f t="shared" ref="AC209:AJ209" si="547">SUM(AC199:AC208)</f>
        <v>1063534.7420000001</v>
      </c>
      <c r="AD209" s="71">
        <f t="shared" si="547"/>
        <v>0</v>
      </c>
      <c r="AE209" s="71">
        <f t="shared" si="547"/>
        <v>0</v>
      </c>
      <c r="AF209" s="71">
        <f t="shared" si="547"/>
        <v>0</v>
      </c>
      <c r="AG209" s="71">
        <f t="shared" si="547"/>
        <v>0</v>
      </c>
      <c r="AH209" s="71">
        <f t="shared" si="547"/>
        <v>0</v>
      </c>
      <c r="AI209" s="71">
        <f t="shared" si="547"/>
        <v>0</v>
      </c>
      <c r="AJ209" s="71">
        <f t="shared" si="547"/>
        <v>1063534.7420000001</v>
      </c>
      <c r="AL209" s="71">
        <f t="shared" ref="AL209:AS209" si="548">SUM(AL199:AL208)</f>
        <v>1139026.5999999999</v>
      </c>
      <c r="AM209" s="71">
        <f t="shared" si="548"/>
        <v>0</v>
      </c>
      <c r="AN209" s="71">
        <f t="shared" si="548"/>
        <v>0</v>
      </c>
      <c r="AO209" s="71">
        <f t="shared" si="548"/>
        <v>0</v>
      </c>
      <c r="AP209" s="71">
        <f t="shared" si="548"/>
        <v>0</v>
      </c>
      <c r="AQ209" s="71">
        <f t="shared" si="548"/>
        <v>0</v>
      </c>
      <c r="AR209" s="71">
        <f t="shared" si="548"/>
        <v>0</v>
      </c>
      <c r="AS209" s="71">
        <f t="shared" si="548"/>
        <v>1139026.5999999999</v>
      </c>
      <c r="AU209" s="71">
        <f t="shared" ref="AU209:BB209" si="549">SUM(AU199:AU208)</f>
        <v>0</v>
      </c>
      <c r="AV209" s="71">
        <f t="shared" si="549"/>
        <v>0</v>
      </c>
      <c r="AW209" s="71">
        <f t="shared" si="549"/>
        <v>0</v>
      </c>
      <c r="AX209" s="71">
        <f t="shared" si="549"/>
        <v>0</v>
      </c>
      <c r="AY209" s="71">
        <f t="shared" si="549"/>
        <v>0</v>
      </c>
      <c r="AZ209" s="71">
        <f t="shared" si="549"/>
        <v>0</v>
      </c>
      <c r="BA209" s="71">
        <f t="shared" si="549"/>
        <v>0</v>
      </c>
      <c r="BB209" s="71">
        <f t="shared" si="549"/>
        <v>0</v>
      </c>
      <c r="BD209" s="71">
        <f t="shared" ref="BD209:BK209" si="550">SUM(BD199:BD208)</f>
        <v>107120</v>
      </c>
      <c r="BE209" s="71">
        <f t="shared" si="550"/>
        <v>0</v>
      </c>
      <c r="BF209" s="71">
        <f t="shared" si="550"/>
        <v>0</v>
      </c>
      <c r="BG209" s="71">
        <f t="shared" si="550"/>
        <v>0</v>
      </c>
      <c r="BH209" s="71">
        <f t="shared" si="550"/>
        <v>0</v>
      </c>
      <c r="BI209" s="71">
        <f t="shared" si="550"/>
        <v>0</v>
      </c>
      <c r="BJ209" s="71">
        <f t="shared" si="550"/>
        <v>0</v>
      </c>
      <c r="BK209" s="71">
        <f t="shared" si="550"/>
        <v>107120</v>
      </c>
      <c r="BM209" s="71">
        <f t="shared" ref="BM209:BT209" si="551">SUM(BM199:BM208)</f>
        <v>0</v>
      </c>
      <c r="BN209" s="71">
        <f t="shared" si="551"/>
        <v>0</v>
      </c>
      <c r="BO209" s="71">
        <f t="shared" si="551"/>
        <v>0</v>
      </c>
      <c r="BP209" s="71">
        <f t="shared" si="551"/>
        <v>0</v>
      </c>
      <c r="BQ209" s="71">
        <f t="shared" si="551"/>
        <v>0</v>
      </c>
      <c r="BR209" s="71">
        <f t="shared" si="551"/>
        <v>0</v>
      </c>
      <c r="BS209" s="71">
        <f t="shared" si="551"/>
        <v>0</v>
      </c>
      <c r="BT209" s="71">
        <f t="shared" si="551"/>
        <v>0</v>
      </c>
      <c r="BV209" s="71">
        <f t="shared" ref="BV209:CC209" si="552">SUM(BV199:BV208)</f>
        <v>3719227.4</v>
      </c>
      <c r="BW209" s="71">
        <f t="shared" si="552"/>
        <v>0</v>
      </c>
      <c r="BX209" s="71">
        <f t="shared" si="552"/>
        <v>0</v>
      </c>
      <c r="BY209" s="71">
        <f t="shared" si="552"/>
        <v>0</v>
      </c>
      <c r="BZ209" s="71">
        <f t="shared" si="552"/>
        <v>0</v>
      </c>
      <c r="CA209" s="71">
        <f t="shared" si="552"/>
        <v>0</v>
      </c>
      <c r="CB209" s="71">
        <f t="shared" si="552"/>
        <v>0</v>
      </c>
      <c r="CC209" s="71">
        <f t="shared" si="552"/>
        <v>3719227.4</v>
      </c>
    </row>
    <row r="210" spans="1:81">
      <c r="A210" s="85"/>
      <c r="B210" s="5"/>
      <c r="C210" s="5"/>
      <c r="D210" s="5"/>
      <c r="E210" s="5"/>
      <c r="F210" s="5"/>
      <c r="G210" s="5"/>
      <c r="H210" s="5"/>
      <c r="I210" s="5"/>
      <c r="J210" s="7"/>
      <c r="K210" s="5"/>
      <c r="L210" s="5"/>
      <c r="M210" s="5"/>
      <c r="N210" s="5"/>
      <c r="O210" s="5"/>
      <c r="P210" s="5"/>
      <c r="Q210" s="5"/>
      <c r="R210" s="5"/>
      <c r="T210" s="5"/>
      <c r="U210" s="5"/>
      <c r="V210" s="5"/>
      <c r="W210" s="5"/>
      <c r="X210" s="5"/>
      <c r="Y210" s="5"/>
      <c r="Z210" s="5"/>
      <c r="AA210" s="5"/>
      <c r="AC210" s="5"/>
      <c r="AD210" s="5"/>
      <c r="AE210" s="5"/>
      <c r="AF210" s="5"/>
      <c r="AG210" s="5"/>
      <c r="AH210" s="5"/>
      <c r="AI210" s="5"/>
      <c r="AJ210" s="5"/>
      <c r="AL210" s="5"/>
      <c r="AM210" s="5"/>
      <c r="AN210" s="5"/>
      <c r="AO210" s="5"/>
      <c r="AP210" s="5"/>
      <c r="AQ210" s="5"/>
      <c r="AR210" s="5"/>
      <c r="AS210" s="5"/>
      <c r="AU210" s="5"/>
      <c r="AV210" s="5"/>
      <c r="AW210" s="5"/>
      <c r="AX210" s="5"/>
      <c r="AY210" s="5"/>
      <c r="AZ210" s="5"/>
      <c r="BA210" s="5"/>
      <c r="BB210" s="5"/>
      <c r="BD210" s="5"/>
      <c r="BE210" s="5"/>
      <c r="BF210" s="5"/>
      <c r="BG210" s="5"/>
      <c r="BH210" s="5"/>
      <c r="BI210" s="5"/>
      <c r="BJ210" s="5"/>
      <c r="BK210" s="5"/>
      <c r="BM210" s="5"/>
      <c r="BN210" s="5"/>
      <c r="BO210" s="5"/>
      <c r="BP210" s="5"/>
      <c r="BQ210" s="5"/>
      <c r="BR210" s="5"/>
      <c r="BS210" s="5"/>
      <c r="BT210" s="5"/>
      <c r="BV210" s="5"/>
      <c r="BW210" s="5"/>
      <c r="BX210" s="5"/>
      <c r="BY210" s="5"/>
      <c r="BZ210" s="5"/>
      <c r="CA210" s="5"/>
      <c r="CB210" s="5"/>
      <c r="CC210" s="5"/>
    </row>
    <row r="211" spans="1:81" ht="15">
      <c r="A211" s="70" t="s">
        <v>190</v>
      </c>
      <c r="B211" s="71">
        <f>B142+B154+B170+B197+B209</f>
        <v>7384521.012867</v>
      </c>
      <c r="C211" s="71">
        <f t="shared" ref="C211:H211" si="553">C142+C154+C170+C197+C209</f>
        <v>1307091.6147444751</v>
      </c>
      <c r="D211" s="71">
        <f t="shared" si="553"/>
        <v>405132.5</v>
      </c>
      <c r="E211" s="71">
        <f t="shared" si="553"/>
        <v>0</v>
      </c>
      <c r="F211" s="71">
        <f t="shared" si="553"/>
        <v>0</v>
      </c>
      <c r="G211" s="71">
        <f t="shared" si="553"/>
        <v>275000</v>
      </c>
      <c r="H211" s="71">
        <f t="shared" si="553"/>
        <v>0</v>
      </c>
      <c r="I211" s="71">
        <f>I142+I154+I170+I197+I209</f>
        <v>9371745.1276114769</v>
      </c>
      <c r="J211" s="7"/>
      <c r="K211" s="71">
        <f>K142+K154+K170+K197+K209</f>
        <v>8366316.4603882497</v>
      </c>
      <c r="L211" s="71">
        <f t="shared" ref="L211:Q211" si="554">L142+L154+L170+L197+L209</f>
        <v>964226.71654464281</v>
      </c>
      <c r="M211" s="71">
        <f t="shared" si="554"/>
        <v>343329.91750000004</v>
      </c>
      <c r="N211" s="71">
        <f t="shared" si="554"/>
        <v>0</v>
      </c>
      <c r="O211" s="71">
        <f t="shared" si="554"/>
        <v>0</v>
      </c>
      <c r="P211" s="71">
        <f t="shared" si="554"/>
        <v>800000</v>
      </c>
      <c r="Q211" s="71">
        <f t="shared" si="554"/>
        <v>0</v>
      </c>
      <c r="R211" s="71">
        <f>R142+R154+R170+R197+R209</f>
        <v>10473873.094432892</v>
      </c>
      <c r="T211" s="71">
        <f>T142+T154+T170+T197+T209</f>
        <v>10034846.035804002</v>
      </c>
      <c r="U211" s="71">
        <f t="shared" ref="U211:Z211" si="555">U142+U154+U170+U197+U209</f>
        <v>1141868.3114026615</v>
      </c>
      <c r="V211" s="71">
        <f t="shared" si="555"/>
        <v>232972.27499999999</v>
      </c>
      <c r="W211" s="71">
        <f t="shared" si="555"/>
        <v>0</v>
      </c>
      <c r="X211" s="71">
        <f t="shared" si="555"/>
        <v>0</v>
      </c>
      <c r="Y211" s="71">
        <f t="shared" si="555"/>
        <v>800000</v>
      </c>
      <c r="Z211" s="71">
        <f t="shared" si="555"/>
        <v>0</v>
      </c>
      <c r="AA211" s="71">
        <f>AA142+AA154+AA170+AA197+AA209</f>
        <v>12209686.622206662</v>
      </c>
      <c r="AC211" s="71">
        <f>AC142+AC154+AC170+AC197+AC209</f>
        <v>20017106.066600002</v>
      </c>
      <c r="AD211" s="71">
        <f t="shared" ref="AD211:AI211" si="556">AD142+AD154+AD170+AD197+AD209</f>
        <v>2783554.5791198462</v>
      </c>
      <c r="AE211" s="71">
        <f t="shared" si="556"/>
        <v>977030.45</v>
      </c>
      <c r="AF211" s="71">
        <f t="shared" si="556"/>
        <v>0</v>
      </c>
      <c r="AG211" s="71">
        <f t="shared" si="556"/>
        <v>0</v>
      </c>
      <c r="AH211" s="71">
        <f t="shared" si="556"/>
        <v>1250000</v>
      </c>
      <c r="AI211" s="71">
        <f t="shared" si="556"/>
        <v>0</v>
      </c>
      <c r="AJ211" s="71">
        <f>AJ142+AJ154+AJ170+AJ197+AJ209</f>
        <v>25027691.095719848</v>
      </c>
      <c r="AL211" s="71">
        <f>AL142+AL154+AL170+AL197+AL209</f>
        <v>17893543.057019752</v>
      </c>
      <c r="AM211" s="71">
        <f t="shared" ref="AM211:AR211" si="557">AM142+AM154+AM170+AM197+AM209</f>
        <v>2591788.8280038303</v>
      </c>
      <c r="AN211" s="71">
        <f t="shared" si="557"/>
        <v>616524.35</v>
      </c>
      <c r="AO211" s="71">
        <f t="shared" si="557"/>
        <v>0</v>
      </c>
      <c r="AP211" s="71">
        <f t="shared" si="557"/>
        <v>0</v>
      </c>
      <c r="AQ211" s="71">
        <f t="shared" si="557"/>
        <v>2000000</v>
      </c>
      <c r="AR211" s="71">
        <f t="shared" si="557"/>
        <v>0</v>
      </c>
      <c r="AS211" s="71">
        <f>AS142+AS154+AS170+AS197+AS209</f>
        <v>23101856.235023584</v>
      </c>
      <c r="AU211" s="71">
        <f>AU142+AU154+AU170+AU197+AU209</f>
        <v>1128319.55125</v>
      </c>
      <c r="AV211" s="71">
        <f t="shared" ref="AV211:BA211" si="558">AV142+AV154+AV170+AV197+AV209</f>
        <v>217784.22063125001</v>
      </c>
      <c r="AW211" s="71">
        <f t="shared" si="558"/>
        <v>2835</v>
      </c>
      <c r="AX211" s="71">
        <f t="shared" si="558"/>
        <v>0</v>
      </c>
      <c r="AY211" s="71">
        <f t="shared" si="558"/>
        <v>0</v>
      </c>
      <c r="AZ211" s="71">
        <f t="shared" si="558"/>
        <v>0</v>
      </c>
      <c r="BA211" s="71">
        <f t="shared" si="558"/>
        <v>0</v>
      </c>
      <c r="BB211" s="71">
        <f>BB142+BB154+BB170+BB197+BB209</f>
        <v>1348938.77188125</v>
      </c>
      <c r="BD211" s="71">
        <f>BD142+BD154+BD170+BD197+BD209</f>
        <v>2888058.5925000003</v>
      </c>
      <c r="BE211" s="71">
        <f t="shared" ref="BE211:BJ211" si="559">BE142+BE154+BE170+BE197+BE209</f>
        <v>420499.4172932331</v>
      </c>
      <c r="BF211" s="71">
        <f t="shared" si="559"/>
        <v>406208.02</v>
      </c>
      <c r="BG211" s="71">
        <f t="shared" si="559"/>
        <v>0</v>
      </c>
      <c r="BH211" s="71">
        <f t="shared" si="559"/>
        <v>0</v>
      </c>
      <c r="BI211" s="71">
        <f t="shared" si="559"/>
        <v>50000</v>
      </c>
      <c r="BJ211" s="71">
        <f t="shared" si="559"/>
        <v>0</v>
      </c>
      <c r="BK211" s="71">
        <f>BK142+BK154+BK170+BK197+BK209</f>
        <v>3764766.0297932327</v>
      </c>
      <c r="BM211" s="71">
        <f>BM142+BM154+BM170+BM197+BM209</f>
        <v>435250.05999999994</v>
      </c>
      <c r="BN211" s="71">
        <f t="shared" ref="BN211:BS211" si="560">BN142+BN154+BN170+BN197+BN209</f>
        <v>0</v>
      </c>
      <c r="BO211" s="71">
        <f t="shared" si="560"/>
        <v>27871.75</v>
      </c>
      <c r="BP211" s="71">
        <f t="shared" si="560"/>
        <v>0</v>
      </c>
      <c r="BQ211" s="71">
        <f t="shared" si="560"/>
        <v>0</v>
      </c>
      <c r="BR211" s="71">
        <f t="shared" si="560"/>
        <v>0</v>
      </c>
      <c r="BS211" s="71">
        <f t="shared" si="560"/>
        <v>0</v>
      </c>
      <c r="BT211" s="71">
        <f>BT142+BT154+BT170+BT197+BT209</f>
        <v>463121.80999999994</v>
      </c>
      <c r="BV211" s="71">
        <f>BV142+BV154+BV170+BV197+BV209</f>
        <v>68147960.836429</v>
      </c>
      <c r="BW211" s="71">
        <f t="shared" ref="BW211:CB211" si="561">BW142+BW154+BW170+BW197+BW209</f>
        <v>9426813.6877399385</v>
      </c>
      <c r="BX211" s="71">
        <f t="shared" si="561"/>
        <v>3011904.2625000002</v>
      </c>
      <c r="BY211" s="71">
        <f t="shared" si="561"/>
        <v>0</v>
      </c>
      <c r="BZ211" s="71">
        <f t="shared" si="561"/>
        <v>0</v>
      </c>
      <c r="CA211" s="71">
        <f t="shared" si="561"/>
        <v>5175000</v>
      </c>
      <c r="CB211" s="71">
        <f t="shared" si="561"/>
        <v>0</v>
      </c>
      <c r="CC211" s="71">
        <f>CC142+CC154+CC170+CC197+CC209</f>
        <v>85761678.786668956</v>
      </c>
    </row>
    <row r="212" spans="1:81">
      <c r="A212" s="86"/>
      <c r="B212" s="52"/>
      <c r="C212" s="52"/>
      <c r="D212" s="52"/>
      <c r="E212" s="52"/>
      <c r="F212" s="52"/>
      <c r="G212" s="52"/>
      <c r="H212" s="52"/>
      <c r="I212" s="52"/>
      <c r="J212" s="7"/>
      <c r="K212" s="52"/>
      <c r="L212" s="52"/>
      <c r="M212" s="52"/>
      <c r="N212" s="52"/>
      <c r="O212" s="52"/>
      <c r="P212" s="52"/>
      <c r="Q212" s="52"/>
      <c r="R212" s="52"/>
      <c r="T212" s="52"/>
      <c r="U212" s="52"/>
      <c r="V212" s="52"/>
      <c r="W212" s="52"/>
      <c r="X212" s="52"/>
      <c r="Y212" s="52"/>
      <c r="Z212" s="52"/>
      <c r="AA212" s="52"/>
      <c r="AC212" s="52"/>
      <c r="AD212" s="52"/>
      <c r="AE212" s="52"/>
      <c r="AF212" s="52"/>
      <c r="AG212" s="52"/>
      <c r="AH212" s="52"/>
      <c r="AI212" s="52"/>
      <c r="AJ212" s="52"/>
      <c r="AL212" s="52"/>
      <c r="AM212" s="52"/>
      <c r="AN212" s="52"/>
      <c r="AO212" s="52"/>
      <c r="AP212" s="52"/>
      <c r="AQ212" s="52"/>
      <c r="AR212" s="52"/>
      <c r="AS212" s="52"/>
      <c r="AU212" s="52"/>
      <c r="AV212" s="52"/>
      <c r="AW212" s="52"/>
      <c r="AX212" s="52"/>
      <c r="AY212" s="52"/>
      <c r="AZ212" s="52"/>
      <c r="BA212" s="52"/>
      <c r="BB212" s="52"/>
      <c r="BD212" s="52"/>
      <c r="BE212" s="52"/>
      <c r="BF212" s="52"/>
      <c r="BG212" s="52"/>
      <c r="BH212" s="52"/>
      <c r="BI212" s="52"/>
      <c r="BJ212" s="52"/>
      <c r="BK212" s="52"/>
      <c r="BM212" s="52"/>
      <c r="BN212" s="52"/>
      <c r="BO212" s="52"/>
      <c r="BP212" s="52"/>
      <c r="BQ212" s="52"/>
      <c r="BR212" s="52"/>
      <c r="BS212" s="52"/>
      <c r="BT212" s="52"/>
      <c r="BV212" s="52"/>
      <c r="BW212" s="52"/>
      <c r="BX212" s="52"/>
      <c r="BY212" s="52"/>
      <c r="BZ212" s="52"/>
      <c r="CA212" s="52"/>
      <c r="CB212" s="52"/>
      <c r="CC212" s="52"/>
    </row>
    <row r="213" spans="1:81" ht="15">
      <c r="A213" s="43" t="s">
        <v>191</v>
      </c>
      <c r="B213" s="103">
        <v>0</v>
      </c>
      <c r="C213" s="9"/>
      <c r="D213" s="9"/>
      <c r="E213" s="9"/>
      <c r="F213" s="9"/>
      <c r="G213" s="9"/>
      <c r="H213" s="9"/>
      <c r="I213" s="9">
        <f t="shared" ref="I213:I218" si="562">SUM(B213:H213)</f>
        <v>0</v>
      </c>
      <c r="K213" s="9">
        <v>0</v>
      </c>
      <c r="L213" s="9"/>
      <c r="M213" s="9"/>
      <c r="N213" s="9"/>
      <c r="O213" s="9"/>
      <c r="P213" s="9"/>
      <c r="Q213" s="9"/>
      <c r="R213" s="9">
        <f t="shared" ref="R213:R218" si="563">SUM(K213:Q213)</f>
        <v>0</v>
      </c>
      <c r="T213" s="9"/>
      <c r="U213" s="9"/>
      <c r="V213" s="9"/>
      <c r="W213" s="9"/>
      <c r="X213" s="9"/>
      <c r="Y213" s="9"/>
      <c r="Z213" s="9"/>
      <c r="AA213" s="9">
        <f t="shared" ref="AA213:AA218" si="564">SUM(T213:Z213)</f>
        <v>0</v>
      </c>
      <c r="AC213" s="9">
        <v>2493883.33</v>
      </c>
      <c r="AD213" s="9"/>
      <c r="AE213" s="9"/>
      <c r="AF213" s="9"/>
      <c r="AG213" s="9"/>
      <c r="AH213" s="9"/>
      <c r="AI213" s="9"/>
      <c r="AJ213" s="9">
        <f t="shared" ref="AJ213:AJ218" si="565">SUM(AC213:AI213)</f>
        <v>2493883.33</v>
      </c>
      <c r="AL213" s="9">
        <v>3776131.68</v>
      </c>
      <c r="AM213" s="9"/>
      <c r="AN213" s="9"/>
      <c r="AO213" s="9"/>
      <c r="AP213" s="9"/>
      <c r="AQ213" s="9"/>
      <c r="AR213" s="9"/>
      <c r="AS213" s="9">
        <f t="shared" ref="AS213:AS218" si="566">SUM(AL213:AR213)</f>
        <v>3776131.68</v>
      </c>
      <c r="AU213" s="9"/>
      <c r="AV213" s="9"/>
      <c r="AW213" s="9"/>
      <c r="AX213" s="9"/>
      <c r="AY213" s="9"/>
      <c r="AZ213" s="9"/>
      <c r="BA213" s="9"/>
      <c r="BB213" s="9">
        <f t="shared" ref="BB213:BB218" si="567">SUM(AU213:BA213)</f>
        <v>0</v>
      </c>
      <c r="BD213" s="9">
        <f>(750*1.03)*BD17</f>
        <v>267285</v>
      </c>
      <c r="BE213" s="9"/>
      <c r="BF213" s="9"/>
      <c r="BG213" s="9"/>
      <c r="BH213" s="9"/>
      <c r="BI213" s="9"/>
      <c r="BJ213" s="9"/>
      <c r="BK213" s="9">
        <f t="shared" ref="BK213:BK218" si="568">SUM(BD213:BJ213)</f>
        <v>267285</v>
      </c>
      <c r="BM213" s="9">
        <v>0</v>
      </c>
      <c r="BN213" s="9"/>
      <c r="BO213" s="9"/>
      <c r="BP213" s="9"/>
      <c r="BQ213" s="9"/>
      <c r="BR213" s="9"/>
      <c r="BS213" s="9"/>
      <c r="BT213" s="9">
        <f t="shared" ref="BT213:BT218" si="569">SUM(BM213:BS213)</f>
        <v>0</v>
      </c>
      <c r="BV213" s="9">
        <f t="shared" ref="BV213:CA217" si="570">B213+K213+T213+AC213+AL213+AU213+BD213+BM213</f>
        <v>6537300.0099999998</v>
      </c>
      <c r="BW213" s="9">
        <f t="shared" si="570"/>
        <v>0</v>
      </c>
      <c r="BX213" s="9">
        <f t="shared" si="570"/>
        <v>0</v>
      </c>
      <c r="BY213" s="9">
        <f t="shared" si="570"/>
        <v>0</v>
      </c>
      <c r="BZ213" s="9">
        <f t="shared" si="570"/>
        <v>0</v>
      </c>
      <c r="CA213" s="9">
        <f t="shared" si="570"/>
        <v>0</v>
      </c>
      <c r="CB213" s="9"/>
      <c r="CC213" s="9">
        <f t="shared" ref="CC213:CC218" si="571">SUM(BV213:CB213)</f>
        <v>6537300.0099999998</v>
      </c>
    </row>
    <row r="214" spans="1:81" ht="15">
      <c r="A214" s="43" t="s">
        <v>192</v>
      </c>
      <c r="B214" s="9">
        <v>241444.2</v>
      </c>
      <c r="C214" s="9"/>
      <c r="D214" s="9"/>
      <c r="E214" s="9"/>
      <c r="F214" s="9"/>
      <c r="G214" s="9"/>
      <c r="H214" s="9"/>
      <c r="I214" s="9">
        <f t="shared" si="562"/>
        <v>241444.2</v>
      </c>
      <c r="K214" s="9">
        <v>274114.86</v>
      </c>
      <c r="L214" s="9"/>
      <c r="M214" s="9"/>
      <c r="N214" s="9"/>
      <c r="O214" s="9"/>
      <c r="P214" s="9"/>
      <c r="Q214" s="9"/>
      <c r="R214" s="9">
        <f t="shared" si="563"/>
        <v>274114.86</v>
      </c>
      <c r="T214" s="9">
        <v>330690.90000000002</v>
      </c>
      <c r="U214" s="9"/>
      <c r="V214" s="9"/>
      <c r="W214" s="9"/>
      <c r="X214" s="9"/>
      <c r="Y214" s="9"/>
      <c r="Z214" s="9"/>
      <c r="AA214" s="9">
        <f t="shared" si="564"/>
        <v>330690.90000000002</v>
      </c>
      <c r="AC214" s="9">
        <v>0</v>
      </c>
      <c r="AD214" s="9"/>
      <c r="AE214" s="9"/>
      <c r="AF214" s="9"/>
      <c r="AG214" s="9"/>
      <c r="AH214" s="9"/>
      <c r="AI214" s="9"/>
      <c r="AJ214" s="9">
        <f t="shared" si="565"/>
        <v>0</v>
      </c>
      <c r="AL214" s="9">
        <v>0</v>
      </c>
      <c r="AM214" s="9"/>
      <c r="AN214" s="9"/>
      <c r="AO214" s="9"/>
      <c r="AP214" s="9"/>
      <c r="AQ214" s="9"/>
      <c r="AR214" s="9"/>
      <c r="AS214" s="9">
        <f t="shared" si="566"/>
        <v>0</v>
      </c>
      <c r="AU214" s="9"/>
      <c r="AV214" s="9"/>
      <c r="AW214" s="9"/>
      <c r="AX214" s="9"/>
      <c r="AY214" s="9"/>
      <c r="AZ214" s="9"/>
      <c r="BA214" s="9"/>
      <c r="BB214" s="9">
        <f t="shared" si="567"/>
        <v>0</v>
      </c>
      <c r="BD214" s="9">
        <v>0</v>
      </c>
      <c r="BE214" s="9"/>
      <c r="BF214" s="9"/>
      <c r="BG214" s="9"/>
      <c r="BH214" s="9"/>
      <c r="BI214" s="9"/>
      <c r="BJ214" s="9"/>
      <c r="BK214" s="9">
        <f t="shared" si="568"/>
        <v>0</v>
      </c>
      <c r="BM214" s="9">
        <v>0</v>
      </c>
      <c r="BN214" s="9"/>
      <c r="BO214" s="9"/>
      <c r="BP214" s="9"/>
      <c r="BQ214" s="9"/>
      <c r="BR214" s="9"/>
      <c r="BS214" s="9"/>
      <c r="BT214" s="9">
        <f t="shared" si="569"/>
        <v>0</v>
      </c>
      <c r="BV214" s="9">
        <f t="shared" si="570"/>
        <v>846249.96</v>
      </c>
      <c r="BW214" s="9">
        <f t="shared" si="570"/>
        <v>0</v>
      </c>
      <c r="BX214" s="9">
        <f t="shared" si="570"/>
        <v>0</v>
      </c>
      <c r="BY214" s="9">
        <f t="shared" si="570"/>
        <v>0</v>
      </c>
      <c r="BZ214" s="9">
        <f t="shared" si="570"/>
        <v>0</v>
      </c>
      <c r="CA214" s="9">
        <f t="shared" si="570"/>
        <v>0</v>
      </c>
      <c r="CB214" s="9"/>
      <c r="CC214" s="9">
        <f t="shared" si="571"/>
        <v>846249.96</v>
      </c>
    </row>
    <row r="215" spans="1:81" ht="15">
      <c r="A215" s="43" t="s">
        <v>193</v>
      </c>
      <c r="B215" s="9">
        <v>630858.9</v>
      </c>
      <c r="C215" s="9"/>
      <c r="D215" s="9"/>
      <c r="E215" s="9"/>
      <c r="F215" s="9"/>
      <c r="G215" s="9"/>
      <c r="H215" s="9"/>
      <c r="I215" s="9">
        <f t="shared" si="562"/>
        <v>630858.9</v>
      </c>
      <c r="K215" s="9">
        <v>716222.64</v>
      </c>
      <c r="L215" s="9"/>
      <c r="M215" s="9"/>
      <c r="N215" s="9"/>
      <c r="O215" s="9"/>
      <c r="P215" s="9"/>
      <c r="Q215" s="9"/>
      <c r="R215" s="9">
        <f t="shared" si="563"/>
        <v>716222.64</v>
      </c>
      <c r="T215" s="9">
        <v>864047.67</v>
      </c>
      <c r="U215" s="9"/>
      <c r="V215" s="9"/>
      <c r="W215" s="9"/>
      <c r="X215" s="9"/>
      <c r="Y215" s="9"/>
      <c r="Z215" s="9"/>
      <c r="AA215" s="9">
        <f t="shared" si="564"/>
        <v>864047.67</v>
      </c>
      <c r="AC215" s="9">
        <v>0</v>
      </c>
      <c r="AD215" s="9"/>
      <c r="AE215" s="9"/>
      <c r="AF215" s="9"/>
      <c r="AG215" s="9"/>
      <c r="AH215" s="9"/>
      <c r="AI215" s="9"/>
      <c r="AJ215" s="9">
        <f t="shared" si="565"/>
        <v>0</v>
      </c>
      <c r="AL215" s="9">
        <v>0</v>
      </c>
      <c r="AM215" s="9"/>
      <c r="AN215" s="9"/>
      <c r="AO215" s="9"/>
      <c r="AP215" s="9"/>
      <c r="AQ215" s="9"/>
      <c r="AR215" s="9"/>
      <c r="AS215" s="9">
        <f t="shared" si="566"/>
        <v>0</v>
      </c>
      <c r="AU215" s="9"/>
      <c r="AV215" s="9"/>
      <c r="AW215" s="9"/>
      <c r="AX215" s="9"/>
      <c r="AY215" s="9"/>
      <c r="AZ215" s="9"/>
      <c r="BA215" s="9"/>
      <c r="BB215" s="9">
        <f t="shared" si="567"/>
        <v>0</v>
      </c>
      <c r="BD215" s="9">
        <v>0</v>
      </c>
      <c r="BE215" s="9"/>
      <c r="BF215" s="9"/>
      <c r="BG215" s="9"/>
      <c r="BH215" s="9"/>
      <c r="BI215" s="9"/>
      <c r="BJ215" s="9"/>
      <c r="BK215" s="9">
        <f t="shared" si="568"/>
        <v>0</v>
      </c>
      <c r="BM215" s="9">
        <v>0</v>
      </c>
      <c r="BN215" s="9"/>
      <c r="BO215" s="9"/>
      <c r="BP215" s="9"/>
      <c r="BQ215" s="9"/>
      <c r="BR215" s="9"/>
      <c r="BS215" s="9"/>
      <c r="BT215" s="9">
        <f t="shared" si="569"/>
        <v>0</v>
      </c>
      <c r="BV215" s="9">
        <f t="shared" si="570"/>
        <v>2211129.21</v>
      </c>
      <c r="BW215" s="9">
        <f t="shared" si="570"/>
        <v>0</v>
      </c>
      <c r="BX215" s="9">
        <f t="shared" si="570"/>
        <v>0</v>
      </c>
      <c r="BY215" s="9">
        <f t="shared" si="570"/>
        <v>0</v>
      </c>
      <c r="BZ215" s="9">
        <f t="shared" si="570"/>
        <v>0</v>
      </c>
      <c r="CA215" s="9">
        <f t="shared" si="570"/>
        <v>0</v>
      </c>
      <c r="CB215" s="9"/>
      <c r="CC215" s="9">
        <f t="shared" si="571"/>
        <v>2211129.21</v>
      </c>
    </row>
    <row r="216" spans="1:81" ht="15">
      <c r="A216" s="43" t="s">
        <v>194</v>
      </c>
      <c r="B216" s="103">
        <f>3750*12</f>
        <v>45000</v>
      </c>
      <c r="C216" s="9"/>
      <c r="D216" s="9"/>
      <c r="E216" s="9"/>
      <c r="F216" s="9"/>
      <c r="G216" s="9"/>
      <c r="H216" s="9"/>
      <c r="I216" s="9">
        <f t="shared" si="562"/>
        <v>45000</v>
      </c>
      <c r="K216" s="9">
        <v>0</v>
      </c>
      <c r="L216" s="9"/>
      <c r="M216" s="9"/>
      <c r="N216" s="9"/>
      <c r="O216" s="9"/>
      <c r="P216" s="9"/>
      <c r="Q216" s="9"/>
      <c r="R216" s="9">
        <f t="shared" si="563"/>
        <v>0</v>
      </c>
      <c r="T216" s="9"/>
      <c r="U216" s="9"/>
      <c r="V216" s="9"/>
      <c r="W216" s="9"/>
      <c r="X216" s="9"/>
      <c r="Y216" s="9"/>
      <c r="Z216" s="9"/>
      <c r="AA216" s="9">
        <f t="shared" si="564"/>
        <v>0</v>
      </c>
      <c r="AC216" s="9">
        <v>0</v>
      </c>
      <c r="AD216" s="9"/>
      <c r="AE216" s="9"/>
      <c r="AF216" s="9"/>
      <c r="AG216" s="9"/>
      <c r="AH216" s="9"/>
      <c r="AI216" s="9"/>
      <c r="AJ216" s="9">
        <f t="shared" si="565"/>
        <v>0</v>
      </c>
      <c r="AL216" s="9">
        <v>0</v>
      </c>
      <c r="AM216" s="9"/>
      <c r="AN216" s="9"/>
      <c r="AO216" s="9"/>
      <c r="AP216" s="9"/>
      <c r="AQ216" s="9"/>
      <c r="AR216" s="9"/>
      <c r="AS216" s="9">
        <f t="shared" si="566"/>
        <v>0</v>
      </c>
      <c r="AU216" s="9"/>
      <c r="AV216" s="9"/>
      <c r="AW216" s="9"/>
      <c r="AX216" s="9"/>
      <c r="AY216" s="9"/>
      <c r="AZ216" s="9"/>
      <c r="BA216" s="9"/>
      <c r="BB216" s="9">
        <f t="shared" si="567"/>
        <v>0</v>
      </c>
      <c r="BD216" s="9">
        <v>0</v>
      </c>
      <c r="BE216" s="9"/>
      <c r="BF216" s="9"/>
      <c r="BG216" s="9"/>
      <c r="BH216" s="9"/>
      <c r="BI216" s="9"/>
      <c r="BJ216" s="9"/>
      <c r="BK216" s="9">
        <f t="shared" si="568"/>
        <v>0</v>
      </c>
      <c r="BM216" s="9">
        <v>0</v>
      </c>
      <c r="BN216" s="9"/>
      <c r="BO216" s="9"/>
      <c r="BP216" s="9"/>
      <c r="BQ216" s="9"/>
      <c r="BR216" s="9"/>
      <c r="BS216" s="9"/>
      <c r="BT216" s="9">
        <f t="shared" si="569"/>
        <v>0</v>
      </c>
      <c r="BV216" s="9">
        <f t="shared" si="570"/>
        <v>45000</v>
      </c>
      <c r="BW216" s="9">
        <f t="shared" si="570"/>
        <v>0</v>
      </c>
      <c r="BX216" s="9">
        <f t="shared" si="570"/>
        <v>0</v>
      </c>
      <c r="BY216" s="9">
        <f t="shared" si="570"/>
        <v>0</v>
      </c>
      <c r="BZ216" s="9">
        <f t="shared" si="570"/>
        <v>0</v>
      </c>
      <c r="CA216" s="9">
        <f t="shared" si="570"/>
        <v>0</v>
      </c>
      <c r="CB216" s="9"/>
      <c r="CC216" s="9">
        <f t="shared" si="571"/>
        <v>45000</v>
      </c>
    </row>
    <row r="217" spans="1:81" ht="15">
      <c r="B217" s="9">
        <v>0</v>
      </c>
      <c r="C217" s="9">
        <v>0</v>
      </c>
      <c r="D217" s="9">
        <v>0</v>
      </c>
      <c r="E217" s="9"/>
      <c r="F217" s="9">
        <v>0</v>
      </c>
      <c r="G217" s="9">
        <v>0</v>
      </c>
      <c r="H217" s="9">
        <v>0</v>
      </c>
      <c r="I217" s="9">
        <f t="shared" si="562"/>
        <v>0</v>
      </c>
      <c r="K217" s="9">
        <v>0</v>
      </c>
      <c r="L217" s="9">
        <v>0</v>
      </c>
      <c r="M217" s="9">
        <v>0</v>
      </c>
      <c r="N217" s="9"/>
      <c r="O217" s="9">
        <v>0</v>
      </c>
      <c r="P217" s="9">
        <v>0</v>
      </c>
      <c r="Q217" s="9">
        <v>0</v>
      </c>
      <c r="R217" s="9">
        <f t="shared" si="563"/>
        <v>0</v>
      </c>
      <c r="T217" s="9">
        <v>0</v>
      </c>
      <c r="U217" s="9">
        <v>0</v>
      </c>
      <c r="V217" s="9">
        <v>0</v>
      </c>
      <c r="W217" s="9"/>
      <c r="X217" s="9">
        <v>0</v>
      </c>
      <c r="Y217" s="9">
        <v>0</v>
      </c>
      <c r="Z217" s="9">
        <v>0</v>
      </c>
      <c r="AA217" s="9">
        <f t="shared" si="564"/>
        <v>0</v>
      </c>
      <c r="AC217" s="9">
        <v>0</v>
      </c>
      <c r="AD217" s="9">
        <v>0</v>
      </c>
      <c r="AE217" s="9">
        <v>0</v>
      </c>
      <c r="AF217" s="9"/>
      <c r="AG217" s="9">
        <v>0</v>
      </c>
      <c r="AH217" s="9">
        <v>0</v>
      </c>
      <c r="AI217" s="9">
        <v>0</v>
      </c>
      <c r="AJ217" s="9">
        <f t="shared" si="565"/>
        <v>0</v>
      </c>
      <c r="AL217" s="9">
        <v>0</v>
      </c>
      <c r="AM217" s="9">
        <v>0</v>
      </c>
      <c r="AN217" s="9">
        <v>0</v>
      </c>
      <c r="AO217" s="9"/>
      <c r="AP217" s="9">
        <v>0</v>
      </c>
      <c r="AQ217" s="9">
        <v>0</v>
      </c>
      <c r="AR217" s="9">
        <v>0</v>
      </c>
      <c r="AS217" s="9">
        <f t="shared" si="566"/>
        <v>0</v>
      </c>
      <c r="AU217" s="9">
        <v>0</v>
      </c>
      <c r="AV217" s="9">
        <v>0</v>
      </c>
      <c r="AW217" s="9">
        <v>0</v>
      </c>
      <c r="AX217" s="9"/>
      <c r="AY217" s="9">
        <v>0</v>
      </c>
      <c r="AZ217" s="9">
        <v>0</v>
      </c>
      <c r="BA217" s="9">
        <v>0</v>
      </c>
      <c r="BB217" s="9">
        <f t="shared" si="567"/>
        <v>0</v>
      </c>
      <c r="BD217" s="9">
        <v>0</v>
      </c>
      <c r="BE217" s="9">
        <v>0</v>
      </c>
      <c r="BF217" s="9">
        <v>0</v>
      </c>
      <c r="BG217" s="9"/>
      <c r="BH217" s="9">
        <v>0</v>
      </c>
      <c r="BI217" s="9">
        <v>0</v>
      </c>
      <c r="BJ217" s="9">
        <v>0</v>
      </c>
      <c r="BK217" s="9">
        <f t="shared" si="568"/>
        <v>0</v>
      </c>
      <c r="BM217" s="9">
        <v>0</v>
      </c>
      <c r="BN217" s="9">
        <v>0</v>
      </c>
      <c r="BO217" s="9">
        <v>0</v>
      </c>
      <c r="BP217" s="9"/>
      <c r="BQ217" s="9">
        <v>0</v>
      </c>
      <c r="BR217" s="9">
        <v>0</v>
      </c>
      <c r="BS217" s="9">
        <v>0</v>
      </c>
      <c r="BT217" s="9">
        <f t="shared" si="569"/>
        <v>0</v>
      </c>
      <c r="BV217" s="9">
        <f t="shared" si="570"/>
        <v>0</v>
      </c>
      <c r="BW217" s="9">
        <f t="shared" si="570"/>
        <v>0</v>
      </c>
      <c r="BX217" s="9">
        <f t="shared" si="570"/>
        <v>0</v>
      </c>
      <c r="BY217" s="9">
        <f t="shared" si="570"/>
        <v>0</v>
      </c>
      <c r="BZ217" s="9">
        <f t="shared" si="570"/>
        <v>0</v>
      </c>
      <c r="CA217" s="9">
        <f t="shared" si="570"/>
        <v>0</v>
      </c>
      <c r="CB217" s="9">
        <v>0</v>
      </c>
      <c r="CC217" s="9">
        <f t="shared" si="571"/>
        <v>0</v>
      </c>
    </row>
    <row r="218" spans="1:81" ht="15.75" thickBot="1">
      <c r="A218" s="43"/>
      <c r="B218" s="35"/>
      <c r="C218" s="35"/>
      <c r="D218" s="35"/>
      <c r="E218" s="35"/>
      <c r="F218" s="35"/>
      <c r="G218" s="35"/>
      <c r="H218" s="35"/>
      <c r="I218" s="5">
        <f t="shared" si="562"/>
        <v>0</v>
      </c>
      <c r="J218" s="7"/>
      <c r="K218" s="35"/>
      <c r="L218" s="35"/>
      <c r="M218" s="35"/>
      <c r="N218" s="35"/>
      <c r="O218" s="35"/>
      <c r="P218" s="35"/>
      <c r="Q218" s="35"/>
      <c r="R218" s="5">
        <f t="shared" si="563"/>
        <v>0</v>
      </c>
      <c r="T218" s="35"/>
      <c r="U218" s="35"/>
      <c r="V218" s="35"/>
      <c r="W218" s="35"/>
      <c r="X218" s="35"/>
      <c r="Y218" s="35"/>
      <c r="Z218" s="35"/>
      <c r="AA218" s="5">
        <f t="shared" si="564"/>
        <v>0</v>
      </c>
      <c r="AC218" s="35"/>
      <c r="AD218" s="35"/>
      <c r="AE218" s="35"/>
      <c r="AF218" s="35"/>
      <c r="AG218" s="35"/>
      <c r="AH218" s="35"/>
      <c r="AI218" s="35"/>
      <c r="AJ218" s="5">
        <f t="shared" si="565"/>
        <v>0</v>
      </c>
      <c r="AL218" s="35"/>
      <c r="AM218" s="35"/>
      <c r="AN218" s="35"/>
      <c r="AO218" s="35"/>
      <c r="AP218" s="35"/>
      <c r="AQ218" s="35"/>
      <c r="AR218" s="35"/>
      <c r="AS218" s="5">
        <f t="shared" si="566"/>
        <v>0</v>
      </c>
      <c r="AU218" s="35"/>
      <c r="AV218" s="35"/>
      <c r="AW218" s="35"/>
      <c r="AX218" s="35"/>
      <c r="AY218" s="35"/>
      <c r="AZ218" s="35"/>
      <c r="BA218" s="35"/>
      <c r="BB218" s="5">
        <f t="shared" si="567"/>
        <v>0</v>
      </c>
      <c r="BD218" s="35"/>
      <c r="BE218" s="35"/>
      <c r="BF218" s="35"/>
      <c r="BG218" s="35"/>
      <c r="BH218" s="35"/>
      <c r="BI218" s="35"/>
      <c r="BJ218" s="35"/>
      <c r="BK218" s="5">
        <f t="shared" si="568"/>
        <v>0</v>
      </c>
      <c r="BM218" s="35"/>
      <c r="BN218" s="35"/>
      <c r="BO218" s="35"/>
      <c r="BP218" s="35"/>
      <c r="BQ218" s="35"/>
      <c r="BR218" s="35"/>
      <c r="BS218" s="35"/>
      <c r="BT218" s="5">
        <f t="shared" si="569"/>
        <v>0</v>
      </c>
      <c r="BV218" s="35"/>
      <c r="BW218" s="35"/>
      <c r="BX218" s="35"/>
      <c r="BY218" s="35"/>
      <c r="BZ218" s="35"/>
      <c r="CA218" s="35"/>
      <c r="CB218" s="35"/>
      <c r="CC218" s="5">
        <f t="shared" si="571"/>
        <v>0</v>
      </c>
    </row>
    <row r="219" spans="1:81" ht="15.75" thickBot="1">
      <c r="A219" s="87" t="s">
        <v>195</v>
      </c>
      <c r="B219" s="88">
        <f>(B97+B103)-B211-B213-B214-B216-B215</f>
        <v>654674.39542029204</v>
      </c>
      <c r="C219" s="88">
        <f t="shared" ref="C219:H219" si="572">(C97+C103)-C211-C213-C214-C216-C215</f>
        <v>-553766.06225828722</v>
      </c>
      <c r="D219" s="88">
        <f t="shared" si="572"/>
        <v>-43810.453999999969</v>
      </c>
      <c r="E219" s="88">
        <f t="shared" si="572"/>
        <v>0</v>
      </c>
      <c r="F219" s="88">
        <f t="shared" si="572"/>
        <v>0</v>
      </c>
      <c r="G219" s="88">
        <f t="shared" si="572"/>
        <v>0</v>
      </c>
      <c r="H219" s="88">
        <f t="shared" si="572"/>
        <v>0</v>
      </c>
      <c r="I219" s="88">
        <f>(I97+I103)-I211-I213-I214-I216-I215</f>
        <v>57097.879162003868</v>
      </c>
      <c r="J219" s="7"/>
      <c r="K219" s="88">
        <f>(K97+K103)-K211-K213-K214-K216-K215</f>
        <v>734593.04548259184</v>
      </c>
      <c r="L219" s="88">
        <f t="shared" ref="L219:R219" si="573">(L97+L103)-L211-L213-L214-L216-L215</f>
        <v>-474616.71654464287</v>
      </c>
      <c r="M219" s="88">
        <f t="shared" si="573"/>
        <v>-61810.63750000007</v>
      </c>
      <c r="N219" s="88">
        <f t="shared" si="573"/>
        <v>0</v>
      </c>
      <c r="O219" s="88">
        <f t="shared" si="573"/>
        <v>0</v>
      </c>
      <c r="P219" s="88">
        <f t="shared" si="573"/>
        <v>0</v>
      </c>
      <c r="Q219" s="88">
        <f t="shared" si="573"/>
        <v>0</v>
      </c>
      <c r="R219" s="88">
        <f t="shared" si="573"/>
        <v>198165.6914379485</v>
      </c>
      <c r="T219" s="88">
        <f>(T97+T103)-T211-T213-T214-T216-T215</f>
        <v>947322.57776682859</v>
      </c>
      <c r="U219" s="88">
        <f t="shared" ref="U219:AA219" si="574">(U97+U103)-U211-U213-U214-U216-U215</f>
        <v>-419419.75649905717</v>
      </c>
      <c r="V219" s="88">
        <f t="shared" si="574"/>
        <v>-68012.264999999985</v>
      </c>
      <c r="W219" s="88">
        <f t="shared" si="574"/>
        <v>0</v>
      </c>
      <c r="X219" s="88">
        <f t="shared" si="574"/>
        <v>0</v>
      </c>
      <c r="Y219" s="88">
        <f t="shared" si="574"/>
        <v>0</v>
      </c>
      <c r="Z219" s="88">
        <f t="shared" si="574"/>
        <v>0</v>
      </c>
      <c r="AA219" s="88">
        <f t="shared" si="574"/>
        <v>459890.55626777222</v>
      </c>
      <c r="AC219" s="88">
        <f>(AC97+AC103)-AC211-AC213-AC214-AC216-AC215</f>
        <v>1689980.6906540599</v>
      </c>
      <c r="AD219" s="88">
        <f t="shared" ref="AD219:AJ219" si="575">(AD97+AD103)-AD211-AD213-AD214-AD216-AD215</f>
        <v>-911715.83660487621</v>
      </c>
      <c r="AE219" s="88">
        <f t="shared" si="575"/>
        <v>-121249.24999999988</v>
      </c>
      <c r="AF219" s="88">
        <f t="shared" si="575"/>
        <v>0</v>
      </c>
      <c r="AG219" s="88">
        <f t="shared" si="575"/>
        <v>0</v>
      </c>
      <c r="AH219" s="88">
        <f t="shared" si="575"/>
        <v>0</v>
      </c>
      <c r="AI219" s="88">
        <f t="shared" si="575"/>
        <v>0</v>
      </c>
      <c r="AJ219" s="88">
        <f t="shared" si="575"/>
        <v>657015.60404918529</v>
      </c>
      <c r="AL219" s="88">
        <f>(AL97+AL103)-AL211-AL213-AL214-AL216-AL215</f>
        <v>1237450.3484051744</v>
      </c>
      <c r="AM219" s="88">
        <f t="shared" ref="AM219:AS219" si="576">(AM97+AM103)-AM211-AM213-AM214-AM216-AM215</f>
        <v>-1204183.8914120204</v>
      </c>
      <c r="AN219" s="88">
        <f t="shared" si="576"/>
        <v>-58637.623999999953</v>
      </c>
      <c r="AO219" s="88">
        <f t="shared" si="576"/>
        <v>0</v>
      </c>
      <c r="AP219" s="88">
        <f t="shared" si="576"/>
        <v>0</v>
      </c>
      <c r="AQ219" s="88">
        <f t="shared" si="576"/>
        <v>0</v>
      </c>
      <c r="AR219" s="88">
        <f t="shared" si="576"/>
        <v>0</v>
      </c>
      <c r="AS219" s="88">
        <f t="shared" si="576"/>
        <v>-25371.167006846983</v>
      </c>
      <c r="AU219" s="88">
        <f>(AU97+AU103)-AU211-AU213-AU214-AU216-AU215</f>
        <v>342239.33763888897</v>
      </c>
      <c r="AV219" s="88">
        <f t="shared" ref="AV219:BB219" si="577">(AV97+AV103)-AV211-AV213-AV214-AV216-AV215</f>
        <v>-110846.55396458332</v>
      </c>
      <c r="AW219" s="88">
        <f t="shared" si="577"/>
        <v>-652.67999999999984</v>
      </c>
      <c r="AX219" s="88">
        <f t="shared" si="577"/>
        <v>0</v>
      </c>
      <c r="AY219" s="88">
        <f t="shared" si="577"/>
        <v>0</v>
      </c>
      <c r="AZ219" s="88">
        <f t="shared" si="577"/>
        <v>0</v>
      </c>
      <c r="BA219" s="88">
        <f t="shared" si="577"/>
        <v>0</v>
      </c>
      <c r="BB219" s="88">
        <f t="shared" si="577"/>
        <v>230740.1036743056</v>
      </c>
      <c r="BD219" s="88">
        <f>(BD97+BD103)-BD211-BD213-BD214-BD216-BD215</f>
        <v>387196.07667293213</v>
      </c>
      <c r="BE219" s="88">
        <f t="shared" ref="BE219:BK219" si="578">(BE97+BE103)-BE211-BE213-BE214-BE216-BE215</f>
        <v>-312146.78571428574</v>
      </c>
      <c r="BF219" s="88">
        <f t="shared" si="578"/>
        <v>-12567.280000000028</v>
      </c>
      <c r="BG219" s="88">
        <f t="shared" si="578"/>
        <v>0</v>
      </c>
      <c r="BH219" s="88">
        <f t="shared" si="578"/>
        <v>0</v>
      </c>
      <c r="BI219" s="88">
        <f t="shared" si="578"/>
        <v>0</v>
      </c>
      <c r="BJ219" s="88">
        <f t="shared" si="578"/>
        <v>0</v>
      </c>
      <c r="BK219" s="88">
        <f t="shared" si="578"/>
        <v>62482.01095864689</v>
      </c>
      <c r="BM219" s="88">
        <f>(BM97+BM103)-BM211-BM213-BM214-BM216-BM215</f>
        <v>-435250.05999999994</v>
      </c>
      <c r="BN219" s="88">
        <f t="shared" ref="BN219:BT219" si="579">(BN97+BN103)-BN211-BN213-BN214-BN216-BN215</f>
        <v>0</v>
      </c>
      <c r="BO219" s="88">
        <f t="shared" si="579"/>
        <v>-27871.75</v>
      </c>
      <c r="BP219" s="88">
        <f t="shared" si="579"/>
        <v>0</v>
      </c>
      <c r="BQ219" s="88">
        <f t="shared" si="579"/>
        <v>0</v>
      </c>
      <c r="BR219" s="88">
        <f t="shared" si="579"/>
        <v>0</v>
      </c>
      <c r="BS219" s="88">
        <f t="shared" si="579"/>
        <v>0</v>
      </c>
      <c r="BT219" s="88">
        <f t="shared" si="579"/>
        <v>-463121.80999999994</v>
      </c>
      <c r="BV219" s="88">
        <f>(BV97+BV103)-BV211-BV213-BV214-BV216-BV215</f>
        <v>5558206.4120407626</v>
      </c>
      <c r="BW219" s="88">
        <f t="shared" ref="BW219:CC219" si="580">(BW97+BW103)-BW211-BW213-BW214-BW216-BW215</f>
        <v>-3986695.6029977528</v>
      </c>
      <c r="BX219" s="88">
        <f t="shared" si="580"/>
        <v>-394611.94050000003</v>
      </c>
      <c r="BY219" s="88">
        <f t="shared" si="580"/>
        <v>0</v>
      </c>
      <c r="BZ219" s="88">
        <f t="shared" si="580"/>
        <v>0</v>
      </c>
      <c r="CA219" s="88">
        <f t="shared" si="580"/>
        <v>0</v>
      </c>
      <c r="CB219" s="88">
        <f t="shared" si="580"/>
        <v>0</v>
      </c>
      <c r="CC219" s="88">
        <f t="shared" si="580"/>
        <v>1176898.8685429916</v>
      </c>
    </row>
    <row r="220" spans="1:81">
      <c r="A220" s="89"/>
      <c r="B220" s="90">
        <f t="shared" ref="B220:I220" si="581">B219/(B97)</f>
        <v>7.3094903640583783E-2</v>
      </c>
      <c r="C220" s="90">
        <f t="shared" si="581"/>
        <v>-0.73509528573762328</v>
      </c>
      <c r="D220" s="90">
        <f t="shared" si="581"/>
        <v>-0.12125043153331409</v>
      </c>
      <c r="E220" s="90" t="e">
        <f t="shared" si="581"/>
        <v>#DIV/0!</v>
      </c>
      <c r="F220" s="90" t="e">
        <f t="shared" si="581"/>
        <v>#DIV/0!</v>
      </c>
      <c r="G220" s="90">
        <f t="shared" si="581"/>
        <v>0</v>
      </c>
      <c r="H220" s="90" t="e">
        <f t="shared" si="581"/>
        <v>#DIV/0!</v>
      </c>
      <c r="I220" s="90">
        <f t="shared" si="581"/>
        <v>5.5187582480226783E-3</v>
      </c>
      <c r="J220" s="7"/>
      <c r="K220" s="90">
        <f t="shared" ref="K220:R220" si="582">K219/(K97)</f>
        <v>7.2795071318264584E-2</v>
      </c>
      <c r="L220" s="90">
        <f t="shared" si="582"/>
        <v>-0.96937708899867836</v>
      </c>
      <c r="M220" s="90">
        <f t="shared" si="582"/>
        <v>-0.21956093912999519</v>
      </c>
      <c r="N220" s="90" t="e">
        <f t="shared" si="582"/>
        <v>#DIV/0!</v>
      </c>
      <c r="O220" s="90" t="e">
        <f t="shared" si="582"/>
        <v>#DIV/0!</v>
      </c>
      <c r="P220" s="90">
        <f t="shared" si="582"/>
        <v>0</v>
      </c>
      <c r="Q220" s="90" t="e">
        <f t="shared" si="582"/>
        <v>#DIV/0!</v>
      </c>
      <c r="R220" s="90">
        <f t="shared" si="582"/>
        <v>1.6991879406088917E-2</v>
      </c>
      <c r="T220" s="90">
        <f t="shared" ref="T220:AA220" si="583">T219/(T97)</f>
        <v>7.779664930393515E-2</v>
      </c>
      <c r="U220" s="90">
        <f t="shared" si="583"/>
        <v>-0.58055311157071932</v>
      </c>
      <c r="V220" s="90">
        <f t="shared" si="583"/>
        <v>-0.41229547088412505</v>
      </c>
      <c r="W220" s="90" t="e">
        <f t="shared" si="583"/>
        <v>#DIV/0!</v>
      </c>
      <c r="X220" s="90" t="e">
        <f t="shared" si="583"/>
        <v>#DIV/0!</v>
      </c>
      <c r="Y220" s="90">
        <f t="shared" si="583"/>
        <v>0</v>
      </c>
      <c r="Z220" s="90" t="e">
        <f t="shared" si="583"/>
        <v>#DIV/0!</v>
      </c>
      <c r="AA220" s="90">
        <f t="shared" si="583"/>
        <v>3.3170808037776875E-2</v>
      </c>
      <c r="AC220" s="90">
        <f t="shared" ref="AC220:AJ220" si="584">AC219/(AC97)</f>
        <v>6.9831113569456579E-2</v>
      </c>
      <c r="AD220" s="90">
        <f t="shared" si="584"/>
        <v>-0.48706964755944238</v>
      </c>
      <c r="AE220" s="90">
        <f t="shared" si="584"/>
        <v>-0.14168253520876584</v>
      </c>
      <c r="AF220" s="90" t="e">
        <f t="shared" si="584"/>
        <v>#DIV/0!</v>
      </c>
      <c r="AG220" s="90" t="e">
        <f t="shared" si="584"/>
        <v>#DIV/0!</v>
      </c>
      <c r="AH220" s="90">
        <f t="shared" si="584"/>
        <v>0</v>
      </c>
      <c r="AI220" s="90" t="e">
        <f t="shared" si="584"/>
        <v>#DIV/0!</v>
      </c>
      <c r="AJ220" s="90">
        <f t="shared" si="584"/>
        <v>2.3316127718068458E-2</v>
      </c>
      <c r="AL220" s="90">
        <f t="shared" ref="AL220:AS220" si="585">AL219/(AL97)</f>
        <v>5.4020325282657343E-2</v>
      </c>
      <c r="AM220" s="90">
        <f t="shared" si="585"/>
        <v>-0.86781464929758589</v>
      </c>
      <c r="AN220" s="90">
        <f t="shared" si="585"/>
        <v>-0.10510668432716923</v>
      </c>
      <c r="AO220" s="90" t="e">
        <f t="shared" si="585"/>
        <v>#DIV/0!</v>
      </c>
      <c r="AP220" s="90" t="e">
        <f t="shared" si="585"/>
        <v>#DIV/0!</v>
      </c>
      <c r="AQ220" s="90">
        <f t="shared" si="585"/>
        <v>0</v>
      </c>
      <c r="AR220" s="90" t="e">
        <f t="shared" si="585"/>
        <v>#DIV/0!</v>
      </c>
      <c r="AS220" s="90">
        <f t="shared" si="585"/>
        <v>-9.4483033981114072E-4</v>
      </c>
      <c r="AU220" s="90">
        <f t="shared" ref="AU220:BB220" si="586">AU219/(AU97)</f>
        <v>0.23272739379888074</v>
      </c>
      <c r="AV220" s="90">
        <f t="shared" si="586"/>
        <v>-1.0365529510766394</v>
      </c>
      <c r="AW220" s="90">
        <f t="shared" si="586"/>
        <v>-0.29907621247113153</v>
      </c>
      <c r="AX220" s="90" t="e">
        <f t="shared" si="586"/>
        <v>#DIV/0!</v>
      </c>
      <c r="AY220" s="90" t="e">
        <f t="shared" si="586"/>
        <v>#DIV/0!</v>
      </c>
      <c r="AZ220" s="90" t="e">
        <f t="shared" si="586"/>
        <v>#DIV/0!</v>
      </c>
      <c r="BA220" s="90" t="e">
        <f t="shared" si="586"/>
        <v>#DIV/0!</v>
      </c>
      <c r="BB220" s="90">
        <f t="shared" si="586"/>
        <v>0.14606772758998685</v>
      </c>
      <c r="BD220" s="90">
        <f t="shared" ref="BD220:BK220" si="587">BD219/(BD97)</f>
        <v>0.10929900942036022</v>
      </c>
      <c r="BE220" s="90">
        <f t="shared" si="587"/>
        <v>-2.8808417586687853</v>
      </c>
      <c r="BF220" s="90">
        <f t="shared" si="587"/>
        <v>-3.1925760529766374E-2</v>
      </c>
      <c r="BG220" s="90" t="e">
        <f t="shared" si="587"/>
        <v>#DIV/0!</v>
      </c>
      <c r="BH220" s="90" t="e">
        <f t="shared" si="587"/>
        <v>#DIV/0!</v>
      </c>
      <c r="BI220" s="90">
        <f t="shared" si="587"/>
        <v>0</v>
      </c>
      <c r="BJ220" s="90" t="e">
        <f t="shared" si="587"/>
        <v>#DIV/0!</v>
      </c>
      <c r="BK220" s="90">
        <f t="shared" si="587"/>
        <v>1.5259862440180311E-2</v>
      </c>
      <c r="BM220" s="90" t="e">
        <f t="shared" ref="BM220:BT220" si="588">BM219/(BM97)</f>
        <v>#DIV/0!</v>
      </c>
      <c r="BN220" s="90" t="e">
        <f t="shared" si="588"/>
        <v>#DIV/0!</v>
      </c>
      <c r="BO220" s="90" t="e">
        <f t="shared" si="588"/>
        <v>#DIV/0!</v>
      </c>
      <c r="BP220" s="90" t="e">
        <f t="shared" si="588"/>
        <v>#DIV/0!</v>
      </c>
      <c r="BQ220" s="90" t="e">
        <f t="shared" si="588"/>
        <v>#DIV/0!</v>
      </c>
      <c r="BR220" s="90" t="e">
        <f t="shared" si="588"/>
        <v>#DIV/0!</v>
      </c>
      <c r="BS220" s="90" t="e">
        <f t="shared" si="588"/>
        <v>#DIV/0!</v>
      </c>
      <c r="BT220" s="90" t="e">
        <f t="shared" si="588"/>
        <v>#DIV/0!</v>
      </c>
      <c r="BV220" s="90">
        <f t="shared" ref="BV220:CC220" si="589">BV219/(BV97)</f>
        <v>6.6688463195475542E-2</v>
      </c>
      <c r="BW220" s="90">
        <f t="shared" si="589"/>
        <v>-0.7328325490174884</v>
      </c>
      <c r="BX220" s="90">
        <f t="shared" si="589"/>
        <v>-0.15077106106300647</v>
      </c>
      <c r="BY220" s="90" t="e">
        <f t="shared" si="589"/>
        <v>#DIV/0!</v>
      </c>
      <c r="BZ220" s="90" t="e">
        <f t="shared" si="589"/>
        <v>#DIV/0!</v>
      </c>
      <c r="CA220" s="90">
        <f t="shared" si="589"/>
        <v>0</v>
      </c>
      <c r="CB220" s="90" t="e">
        <f t="shared" si="589"/>
        <v>#DIV/0!</v>
      </c>
      <c r="CC220" s="90">
        <f t="shared" si="589"/>
        <v>1.2185960972054946E-2</v>
      </c>
    </row>
    <row r="221" spans="1:81">
      <c r="B221" s="91"/>
      <c r="C221" s="91"/>
      <c r="D221" s="91"/>
      <c r="E221" s="91"/>
      <c r="F221" s="91"/>
      <c r="G221" s="91"/>
      <c r="H221" s="91"/>
      <c r="I221" s="91"/>
      <c r="K221" s="91"/>
      <c r="L221" s="91"/>
      <c r="M221" s="91"/>
      <c r="N221" s="91"/>
      <c r="O221" s="91"/>
      <c r="P221" s="91"/>
      <c r="Q221" s="91"/>
      <c r="R221" s="91"/>
      <c r="T221" s="91"/>
      <c r="U221" s="91"/>
      <c r="V221" s="91"/>
      <c r="W221" s="91"/>
      <c r="X221" s="91"/>
      <c r="Y221" s="91"/>
      <c r="Z221" s="91"/>
      <c r="AA221" s="91"/>
      <c r="AC221" s="91"/>
      <c r="AD221" s="91"/>
      <c r="AE221" s="91"/>
      <c r="AF221" s="91"/>
      <c r="AG221" s="91"/>
      <c r="AH221" s="91"/>
      <c r="AI221" s="91"/>
      <c r="AJ221" s="91"/>
      <c r="AL221" s="91"/>
      <c r="AM221" s="91"/>
      <c r="AN221" s="91"/>
      <c r="AO221" s="91"/>
      <c r="AP221" s="91"/>
      <c r="AQ221" s="91"/>
      <c r="AR221" s="91"/>
      <c r="AS221" s="91"/>
      <c r="AU221" s="91"/>
      <c r="AV221" s="91"/>
      <c r="AW221" s="91"/>
      <c r="AX221" s="91"/>
      <c r="AY221" s="91"/>
      <c r="AZ221" s="91"/>
      <c r="BA221" s="91"/>
      <c r="BB221" s="91"/>
      <c r="BD221" s="91"/>
      <c r="BE221" s="91"/>
      <c r="BF221" s="91"/>
      <c r="BG221" s="91"/>
      <c r="BH221" s="91"/>
      <c r="BI221" s="91"/>
      <c r="BJ221" s="91"/>
      <c r="BK221" s="91"/>
      <c r="BM221" s="91"/>
      <c r="BN221" s="91"/>
      <c r="BO221" s="91"/>
      <c r="BP221" s="91"/>
      <c r="BQ221" s="91"/>
      <c r="BR221" s="91"/>
      <c r="BS221" s="91"/>
      <c r="BT221" s="91"/>
      <c r="BV221" s="91"/>
      <c r="BW221" s="91"/>
      <c r="BX221" s="91"/>
      <c r="BY221" s="91"/>
      <c r="BZ221" s="91"/>
      <c r="CA221" s="91"/>
      <c r="CB221" s="91"/>
      <c r="CC221" s="91"/>
    </row>
    <row r="222" spans="1:81" ht="15">
      <c r="A222" s="1" t="str">
        <f t="shared" ref="A222:I222" si="590">A1</f>
        <v>Pinecrest Academy of Nevada - FY26</v>
      </c>
      <c r="B222" s="1" t="str">
        <f t="shared" si="590"/>
        <v>Operating</v>
      </c>
      <c r="C222" s="1" t="str">
        <f t="shared" si="590"/>
        <v>SPED</v>
      </c>
      <c r="D222" s="1" t="str">
        <f t="shared" si="590"/>
        <v>NSLP</v>
      </c>
      <c r="E222" s="1" t="str">
        <f t="shared" si="590"/>
        <v>Other</v>
      </c>
      <c r="F222" s="1" t="str">
        <f t="shared" si="590"/>
        <v>Title I</v>
      </c>
      <c r="G222" s="1" t="str">
        <f t="shared" si="590"/>
        <v>SGF</v>
      </c>
      <c r="H222" s="1" t="str">
        <f t="shared" si="590"/>
        <v>Title III</v>
      </c>
      <c r="I222" s="1" t="str">
        <f t="shared" si="590"/>
        <v>Horizon</v>
      </c>
      <c r="J222" s="2"/>
      <c r="K222" s="1" t="str">
        <f t="shared" ref="K222:R222" si="591">K1</f>
        <v>Operating</v>
      </c>
      <c r="L222" s="1" t="str">
        <f t="shared" si="591"/>
        <v>SPED</v>
      </c>
      <c r="M222" s="1" t="str">
        <f t="shared" si="591"/>
        <v>NSLP</v>
      </c>
      <c r="N222" s="1" t="str">
        <f t="shared" si="591"/>
        <v>Other</v>
      </c>
      <c r="O222" s="1" t="str">
        <f t="shared" si="591"/>
        <v>Title I</v>
      </c>
      <c r="P222" s="1" t="str">
        <f t="shared" si="591"/>
        <v>SGF</v>
      </c>
      <c r="Q222" s="1" t="str">
        <f t="shared" si="591"/>
        <v>Title III</v>
      </c>
      <c r="R222" s="1" t="str">
        <f t="shared" si="591"/>
        <v>St. Rose</v>
      </c>
      <c r="T222" s="1" t="str">
        <f t="shared" ref="T222:AA222" si="592">T1</f>
        <v>Operating</v>
      </c>
      <c r="U222" s="1" t="str">
        <f t="shared" si="592"/>
        <v>SPED</v>
      </c>
      <c r="V222" s="1" t="str">
        <f t="shared" si="592"/>
        <v>NSLP</v>
      </c>
      <c r="W222" s="1" t="str">
        <f t="shared" si="592"/>
        <v>Other</v>
      </c>
      <c r="X222" s="1" t="str">
        <f t="shared" si="592"/>
        <v>Title I</v>
      </c>
      <c r="Y222" s="1" t="str">
        <f t="shared" si="592"/>
        <v>SGF</v>
      </c>
      <c r="Z222" s="1" t="str">
        <f t="shared" si="592"/>
        <v>Title III</v>
      </c>
      <c r="AA222" s="1" t="str">
        <f t="shared" si="592"/>
        <v>Inspirada</v>
      </c>
      <c r="AC222" s="1" t="str">
        <f t="shared" ref="AC222:AJ222" si="593">AC1</f>
        <v>Operating</v>
      </c>
      <c r="AD222" s="1" t="str">
        <f t="shared" si="593"/>
        <v>SPED</v>
      </c>
      <c r="AE222" s="1" t="str">
        <f t="shared" si="593"/>
        <v>NSLP</v>
      </c>
      <c r="AF222" s="1" t="str">
        <f t="shared" si="593"/>
        <v>Other</v>
      </c>
      <c r="AG222" s="1" t="str">
        <f t="shared" si="593"/>
        <v>Title I</v>
      </c>
      <c r="AH222" s="1" t="str">
        <f t="shared" si="593"/>
        <v>SGF</v>
      </c>
      <c r="AI222" s="1" t="str">
        <f t="shared" si="593"/>
        <v>Title III</v>
      </c>
      <c r="AJ222" s="1" t="str">
        <f t="shared" si="593"/>
        <v>Cadence</v>
      </c>
      <c r="AL222" s="1" t="str">
        <f t="shared" ref="AL222:AS222" si="594">AL1</f>
        <v>Operating</v>
      </c>
      <c r="AM222" s="1" t="str">
        <f t="shared" si="594"/>
        <v>SPED</v>
      </c>
      <c r="AN222" s="1" t="str">
        <f t="shared" si="594"/>
        <v>NSLP</v>
      </c>
      <c r="AO222" s="1" t="str">
        <f t="shared" si="594"/>
        <v>Other</v>
      </c>
      <c r="AP222" s="1" t="str">
        <f t="shared" si="594"/>
        <v>Title I</v>
      </c>
      <c r="AQ222" s="1" t="str">
        <f t="shared" si="594"/>
        <v>SGF</v>
      </c>
      <c r="AR222" s="1" t="str">
        <f t="shared" si="594"/>
        <v>Title III</v>
      </c>
      <c r="AS222" s="1" t="str">
        <f t="shared" si="594"/>
        <v>Sloan</v>
      </c>
      <c r="AU222" s="1" t="str">
        <f t="shared" ref="AU222:BB222" si="595">AU1</f>
        <v>Operating</v>
      </c>
      <c r="AV222" s="1" t="str">
        <f t="shared" si="595"/>
        <v>SPED</v>
      </c>
      <c r="AW222" s="1" t="str">
        <f t="shared" si="595"/>
        <v>NSLP</v>
      </c>
      <c r="AX222" s="1" t="str">
        <f t="shared" si="595"/>
        <v>Other</v>
      </c>
      <c r="AY222" s="1" t="str">
        <f t="shared" si="595"/>
        <v>Title I</v>
      </c>
      <c r="AZ222" s="1" t="str">
        <f t="shared" si="595"/>
        <v>SGF</v>
      </c>
      <c r="BA222" s="1" t="str">
        <f t="shared" si="595"/>
        <v>Title III</v>
      </c>
      <c r="BB222" s="1" t="str">
        <f t="shared" si="595"/>
        <v>Virtual</v>
      </c>
      <c r="BD222" s="1" t="str">
        <f t="shared" ref="BD222:BK222" si="596">BD1</f>
        <v>Operating</v>
      </c>
      <c r="BE222" s="1" t="str">
        <f t="shared" si="596"/>
        <v>SPED</v>
      </c>
      <c r="BF222" s="1" t="str">
        <f t="shared" si="596"/>
        <v>NSLP</v>
      </c>
      <c r="BG222" s="1" t="str">
        <f t="shared" si="596"/>
        <v>Other</v>
      </c>
      <c r="BH222" s="1" t="str">
        <f t="shared" si="596"/>
        <v>Title I</v>
      </c>
      <c r="BI222" s="1" t="str">
        <f t="shared" si="596"/>
        <v>SGF</v>
      </c>
      <c r="BJ222" s="1" t="str">
        <f t="shared" si="596"/>
        <v>Title III</v>
      </c>
      <c r="BK222" s="1" t="str">
        <f t="shared" si="596"/>
        <v>Springs</v>
      </c>
      <c r="BM222" s="1" t="str">
        <f t="shared" ref="BM222:BT222" si="597">BM1</f>
        <v>Operating</v>
      </c>
      <c r="BN222" s="1" t="str">
        <f t="shared" si="597"/>
        <v>SPED</v>
      </c>
      <c r="BO222" s="1" t="str">
        <f t="shared" si="597"/>
        <v>NSLP</v>
      </c>
      <c r="BP222" s="1" t="str">
        <f t="shared" si="597"/>
        <v>Other</v>
      </c>
      <c r="BQ222" s="1" t="str">
        <f t="shared" si="597"/>
        <v>Title I</v>
      </c>
      <c r="BR222" s="1" t="str">
        <f t="shared" si="597"/>
        <v>SGF</v>
      </c>
      <c r="BS222" s="1" t="str">
        <f t="shared" si="597"/>
        <v>Title III</v>
      </c>
      <c r="BT222" s="1" t="str">
        <f t="shared" si="597"/>
        <v>Exec. Office</v>
      </c>
      <c r="BV222" s="1" t="str">
        <f t="shared" ref="BV222:CC222" si="598">BV1</f>
        <v>Operating</v>
      </c>
      <c r="BW222" s="1" t="str">
        <f t="shared" si="598"/>
        <v>SPED</v>
      </c>
      <c r="BX222" s="1" t="str">
        <f t="shared" si="598"/>
        <v>NSLP</v>
      </c>
      <c r="BY222" s="1" t="str">
        <f t="shared" si="598"/>
        <v>Other</v>
      </c>
      <c r="BZ222" s="1" t="str">
        <f t="shared" si="598"/>
        <v>Title I</v>
      </c>
      <c r="CA222" s="1" t="str">
        <f t="shared" si="598"/>
        <v>SGF</v>
      </c>
      <c r="CB222" s="1" t="str">
        <f t="shared" si="598"/>
        <v>Title III</v>
      </c>
      <c r="CC222" s="1" t="str">
        <f t="shared" si="598"/>
        <v>Systemwide</v>
      </c>
    </row>
    <row r="224" spans="1:81" s="14" customFormat="1">
      <c r="A224" s="7"/>
      <c r="B224" s="92"/>
      <c r="C224" s="92"/>
      <c r="D224" s="92"/>
      <c r="E224" s="92"/>
      <c r="F224" s="92"/>
      <c r="G224" s="92"/>
      <c r="H224" s="92"/>
      <c r="I224" s="92"/>
      <c r="K224" s="92"/>
      <c r="L224" s="92"/>
      <c r="M224" s="92"/>
      <c r="N224" s="92"/>
      <c r="O224" s="92"/>
      <c r="P224" s="92"/>
      <c r="Q224" s="92"/>
      <c r="R224" s="92"/>
      <c r="T224" s="92"/>
      <c r="U224" s="92"/>
      <c r="V224" s="92"/>
      <c r="W224" s="92"/>
      <c r="X224" s="92"/>
      <c r="Y224" s="92"/>
      <c r="Z224" s="92"/>
      <c r="AA224" s="92"/>
      <c r="AC224" s="92"/>
      <c r="AD224" s="92"/>
      <c r="AE224" s="92"/>
      <c r="AF224" s="92"/>
      <c r="AG224" s="92"/>
      <c r="AH224" s="92"/>
      <c r="AI224" s="92"/>
      <c r="AJ224" s="92"/>
      <c r="AL224" s="92"/>
      <c r="AM224" s="92"/>
      <c r="AN224" s="92"/>
      <c r="AO224" s="92"/>
      <c r="AP224" s="92"/>
      <c r="AQ224" s="92"/>
      <c r="AR224" s="92"/>
      <c r="AS224" s="92"/>
      <c r="AU224" s="92"/>
      <c r="AV224" s="92"/>
      <c r="AW224" s="92"/>
      <c r="AX224" s="92"/>
      <c r="AY224" s="92"/>
      <c r="AZ224" s="92"/>
      <c r="BA224" s="92"/>
      <c r="BB224" s="92"/>
      <c r="BD224" s="92"/>
      <c r="BE224" s="92"/>
      <c r="BF224" s="92"/>
      <c r="BG224" s="92"/>
      <c r="BH224" s="92"/>
      <c r="BI224" s="92"/>
      <c r="BJ224" s="92"/>
      <c r="BK224" s="92"/>
      <c r="BM224" s="92"/>
      <c r="BN224" s="92"/>
      <c r="BO224" s="92"/>
      <c r="BP224" s="92"/>
      <c r="BQ224" s="92"/>
      <c r="BR224" s="92"/>
      <c r="BS224" s="92"/>
      <c r="BT224" s="92"/>
      <c r="BV224" s="92"/>
      <c r="BW224" s="92"/>
      <c r="BX224" s="92"/>
      <c r="BY224" s="92"/>
      <c r="BZ224" s="92"/>
      <c r="CA224" s="92"/>
      <c r="CB224" s="92"/>
      <c r="CC224" s="92"/>
    </row>
    <row r="225" spans="1:81" s="14" customFormat="1">
      <c r="A225" s="7"/>
      <c r="B225" s="137"/>
      <c r="C225" s="138"/>
      <c r="D225" s="138"/>
      <c r="E225" s="139"/>
      <c r="F225" s="95"/>
      <c r="G225" s="95"/>
      <c r="H225" s="95"/>
      <c r="I225" s="95"/>
      <c r="K225" s="92"/>
      <c r="L225" s="95"/>
      <c r="M225" s="95"/>
      <c r="N225" s="95"/>
      <c r="O225" s="95"/>
      <c r="P225" s="95"/>
      <c r="Q225" s="95"/>
      <c r="R225" s="95"/>
      <c r="S225" s="7"/>
      <c r="T225" s="92"/>
      <c r="U225" s="95"/>
      <c r="V225" s="95"/>
      <c r="W225" s="95"/>
      <c r="X225" s="95"/>
      <c r="Y225" s="95"/>
      <c r="Z225" s="95"/>
      <c r="AA225" s="95"/>
      <c r="AB225" s="7"/>
      <c r="AC225" s="92"/>
      <c r="AD225" s="95"/>
      <c r="AE225" s="95"/>
      <c r="AF225" s="95"/>
      <c r="AG225" s="95"/>
      <c r="AH225" s="95"/>
      <c r="AI225" s="95"/>
      <c r="AJ225" s="95"/>
      <c r="AK225" s="7"/>
      <c r="AL225" s="92"/>
      <c r="AM225" s="95"/>
      <c r="AN225" s="95"/>
      <c r="AO225" s="95"/>
      <c r="AP225" s="95"/>
      <c r="AQ225" s="95"/>
      <c r="AR225" s="95"/>
      <c r="AS225" s="95"/>
      <c r="AT225" s="7"/>
      <c r="AU225" s="92"/>
      <c r="AV225" s="95"/>
      <c r="AW225" s="95"/>
      <c r="AX225" s="95"/>
      <c r="AY225" s="95"/>
      <c r="AZ225" s="95"/>
      <c r="BA225" s="95"/>
      <c r="BB225" s="95"/>
      <c r="BC225" s="7"/>
      <c r="BD225" s="92"/>
      <c r="BE225" s="95"/>
      <c r="BF225" s="95"/>
      <c r="BG225" s="95"/>
      <c r="BH225" s="95"/>
      <c r="BI225" s="95"/>
      <c r="BJ225" s="95"/>
      <c r="BK225" s="95"/>
      <c r="BL225" s="7"/>
      <c r="BM225" s="92"/>
      <c r="BN225" s="95"/>
      <c r="BO225" s="95"/>
      <c r="BP225" s="95"/>
      <c r="BQ225" s="95"/>
      <c r="BR225" s="95"/>
      <c r="BS225" s="95"/>
      <c r="BT225" s="95"/>
      <c r="BU225" s="7"/>
      <c r="BV225" s="92"/>
      <c r="BW225" s="95"/>
      <c r="BX225" s="95"/>
      <c r="BY225" s="95"/>
      <c r="BZ225" s="95"/>
      <c r="CA225" s="95"/>
      <c r="CB225" s="95"/>
      <c r="CC225" s="95"/>
    </row>
    <row r="226" spans="1:81">
      <c r="B226" s="139"/>
      <c r="C226" s="138"/>
      <c r="D226" s="138"/>
      <c r="E226" s="139"/>
    </row>
    <row r="227" spans="1:81">
      <c r="B227" s="139"/>
      <c r="C227" s="138"/>
      <c r="D227" s="138"/>
      <c r="E227" s="138"/>
    </row>
  </sheetData>
  <pageMargins left="0.7" right="0.7" top="0.75" bottom="0.75" header="0.3" footer="0.3"/>
  <pageSetup scale="42" fitToHeight="0" orientation="portrait" r:id="rId1"/>
  <rowBreaks count="2" manualBreakCount="2">
    <brk id="80" max="9" man="1"/>
    <brk id="170" max="9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27"/>
  <sheetViews>
    <sheetView zoomScale="75" zoomScaleNormal="75" workbookViewId="0">
      <pane xSplit="1" ySplit="1" topLeftCell="V145" activePane="bottomRight" state="frozen"/>
      <selection activeCell="E165" sqref="E164:E165"/>
      <selection pane="topRight" activeCell="E165" sqref="E164:E165"/>
      <selection pane="bottomLeft" activeCell="E165" sqref="E164:E165"/>
      <selection pane="bottomRight" activeCell="E165" sqref="E164:E165"/>
    </sheetView>
  </sheetViews>
  <sheetFormatPr defaultColWidth="8.625" defaultRowHeight="14.25"/>
  <cols>
    <col min="1" max="1" width="56.5" style="7" customWidth="1"/>
    <col min="2" max="7" width="15.625" style="92" customWidth="1"/>
    <col min="8" max="8" width="15.625" style="92" hidden="1" customWidth="1"/>
    <col min="9" max="9" width="15.625" style="92" customWidth="1"/>
    <col min="10" max="10" width="10.125" style="14" bestFit="1" customWidth="1"/>
    <col min="11" max="16" width="15.625" style="92" customWidth="1"/>
    <col min="17" max="17" width="15.625" style="92" hidden="1" customWidth="1"/>
    <col min="18" max="18" width="15.625" style="92" customWidth="1"/>
    <col min="19" max="19" width="8.625" style="7"/>
    <col min="20" max="25" width="15.625" style="92" customWidth="1"/>
    <col min="26" max="26" width="15.625" style="92" hidden="1" customWidth="1"/>
    <col min="27" max="27" width="15.625" style="92" customWidth="1"/>
    <col min="28" max="28" width="8.625" style="7"/>
    <col min="29" max="34" width="15.625" style="92" customWidth="1"/>
    <col min="35" max="35" width="15.625" style="92" hidden="1" customWidth="1"/>
    <col min="36" max="36" width="15.625" style="92" customWidth="1"/>
    <col min="37" max="37" width="8.625" style="7"/>
    <col min="38" max="43" width="15.625" style="92" customWidth="1"/>
    <col min="44" max="44" width="15.625" style="92" hidden="1" customWidth="1"/>
    <col min="45" max="45" width="15.625" style="92" customWidth="1"/>
    <col min="46" max="46" width="8.625" style="7"/>
    <col min="47" max="52" width="15.625" style="92" customWidth="1"/>
    <col min="53" max="53" width="15.625" style="92" hidden="1" customWidth="1"/>
    <col min="54" max="54" width="15.625" style="92" customWidth="1"/>
    <col min="55" max="55" width="8.625" style="7"/>
    <col min="56" max="61" width="15.625" style="92" customWidth="1"/>
    <col min="62" max="62" width="15.625" style="92" hidden="1" customWidth="1"/>
    <col min="63" max="63" width="15.625" style="92" customWidth="1"/>
    <col min="64" max="64" width="8.625" style="7"/>
    <col min="65" max="70" width="15.625" style="92" customWidth="1"/>
    <col min="71" max="71" width="15.625" style="92" hidden="1" customWidth="1"/>
    <col min="72" max="72" width="15.625" style="92" customWidth="1"/>
    <col min="73" max="73" width="8.625" style="7"/>
    <col min="74" max="79" width="15.625" style="92" customWidth="1"/>
    <col min="80" max="80" width="15.625" style="92" hidden="1" customWidth="1"/>
    <col min="81" max="81" width="15.625" style="92" customWidth="1"/>
    <col min="82" max="16384" width="8.625" style="7"/>
  </cols>
  <sheetData>
    <row r="1" spans="1:82" s="3" customFormat="1" ht="15">
      <c r="A1" s="1" t="s">
        <v>254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196</v>
      </c>
      <c r="J1" s="2"/>
      <c r="K1" s="1" t="s">
        <v>0</v>
      </c>
      <c r="L1" s="1" t="s">
        <v>1</v>
      </c>
      <c r="M1" s="1" t="s">
        <v>2</v>
      </c>
      <c r="N1" s="1" t="s">
        <v>3</v>
      </c>
      <c r="O1" s="1" t="s">
        <v>4</v>
      </c>
      <c r="P1" s="1" t="s">
        <v>5</v>
      </c>
      <c r="Q1" s="1" t="s">
        <v>6</v>
      </c>
      <c r="R1" s="1" t="s">
        <v>198</v>
      </c>
      <c r="T1" s="1" t="s">
        <v>0</v>
      </c>
      <c r="U1" s="1" t="s">
        <v>1</v>
      </c>
      <c r="V1" s="1" t="s">
        <v>2</v>
      </c>
      <c r="W1" s="1" t="s">
        <v>3</v>
      </c>
      <c r="X1" s="1" t="s">
        <v>4</v>
      </c>
      <c r="Y1" s="1" t="s">
        <v>5</v>
      </c>
      <c r="Z1" s="1" t="s">
        <v>6</v>
      </c>
      <c r="AA1" s="1" t="s">
        <v>199</v>
      </c>
      <c r="AC1" s="1" t="s">
        <v>0</v>
      </c>
      <c r="AD1" s="1" t="s">
        <v>1</v>
      </c>
      <c r="AE1" s="1" t="s">
        <v>2</v>
      </c>
      <c r="AF1" s="1" t="s">
        <v>3</v>
      </c>
      <c r="AG1" s="1" t="s">
        <v>4</v>
      </c>
      <c r="AH1" s="1" t="s">
        <v>5</v>
      </c>
      <c r="AI1" s="1" t="s">
        <v>6</v>
      </c>
      <c r="AJ1" s="1" t="s">
        <v>200</v>
      </c>
      <c r="AL1" s="1" t="s">
        <v>0</v>
      </c>
      <c r="AM1" s="1" t="s">
        <v>1</v>
      </c>
      <c r="AN1" s="1" t="s">
        <v>2</v>
      </c>
      <c r="AO1" s="1" t="s">
        <v>3</v>
      </c>
      <c r="AP1" s="1" t="s">
        <v>4</v>
      </c>
      <c r="AQ1" s="1" t="s">
        <v>5</v>
      </c>
      <c r="AR1" s="1" t="s">
        <v>6</v>
      </c>
      <c r="AS1" s="1" t="s">
        <v>201</v>
      </c>
      <c r="AU1" s="1" t="s">
        <v>0</v>
      </c>
      <c r="AV1" s="1" t="s">
        <v>1</v>
      </c>
      <c r="AW1" s="1" t="s">
        <v>2</v>
      </c>
      <c r="AX1" s="1" t="s">
        <v>3</v>
      </c>
      <c r="AY1" s="1" t="s">
        <v>4</v>
      </c>
      <c r="AZ1" s="1" t="s">
        <v>5</v>
      </c>
      <c r="BA1" s="1" t="s">
        <v>6</v>
      </c>
      <c r="BB1" s="1" t="s">
        <v>202</v>
      </c>
      <c r="BD1" s="1" t="s">
        <v>0</v>
      </c>
      <c r="BE1" s="1" t="s">
        <v>1</v>
      </c>
      <c r="BF1" s="1" t="s">
        <v>2</v>
      </c>
      <c r="BG1" s="1" t="s">
        <v>3</v>
      </c>
      <c r="BH1" s="1" t="s">
        <v>4</v>
      </c>
      <c r="BI1" s="1" t="s">
        <v>5</v>
      </c>
      <c r="BJ1" s="1" t="s">
        <v>6</v>
      </c>
      <c r="BK1" s="1" t="s">
        <v>203</v>
      </c>
      <c r="BM1" s="1" t="s">
        <v>0</v>
      </c>
      <c r="BN1" s="1" t="s">
        <v>1</v>
      </c>
      <c r="BO1" s="1" t="s">
        <v>2</v>
      </c>
      <c r="BP1" s="1" t="s">
        <v>3</v>
      </c>
      <c r="BQ1" s="1" t="s">
        <v>4</v>
      </c>
      <c r="BR1" s="1" t="s">
        <v>5</v>
      </c>
      <c r="BS1" s="1" t="s">
        <v>6</v>
      </c>
      <c r="BT1" s="1" t="s">
        <v>204</v>
      </c>
      <c r="BV1" s="1" t="s">
        <v>0</v>
      </c>
      <c r="BW1" s="1" t="s">
        <v>1</v>
      </c>
      <c r="BX1" s="1" t="s">
        <v>2</v>
      </c>
      <c r="BY1" s="1" t="s">
        <v>3</v>
      </c>
      <c r="BZ1" s="1" t="s">
        <v>4</v>
      </c>
      <c r="CA1" s="1" t="s">
        <v>5</v>
      </c>
      <c r="CB1" s="1" t="s">
        <v>6</v>
      </c>
      <c r="CC1" s="1" t="s">
        <v>205</v>
      </c>
    </row>
    <row r="2" spans="1:82">
      <c r="A2" s="4" t="s">
        <v>7</v>
      </c>
      <c r="B2" s="5">
        <v>9700</v>
      </c>
      <c r="C2" s="5"/>
      <c r="D2" s="5"/>
      <c r="E2" s="5"/>
      <c r="F2" s="5"/>
      <c r="G2" s="5"/>
      <c r="H2" s="5"/>
      <c r="I2" s="5">
        <f>SUM(B2:H2)</f>
        <v>9700</v>
      </c>
      <c r="J2" s="6"/>
      <c r="K2" s="5">
        <v>9700</v>
      </c>
      <c r="L2" s="5"/>
      <c r="M2" s="5"/>
      <c r="N2" s="5"/>
      <c r="O2" s="5"/>
      <c r="P2" s="5"/>
      <c r="Q2" s="5"/>
      <c r="R2" s="5">
        <f>SUM(K2:Q2)</f>
        <v>9700</v>
      </c>
      <c r="T2" s="5">
        <v>9700</v>
      </c>
      <c r="U2" s="5"/>
      <c r="V2" s="5"/>
      <c r="W2" s="5"/>
      <c r="X2" s="5"/>
      <c r="Y2" s="5"/>
      <c r="Z2" s="5"/>
      <c r="AA2" s="5">
        <f>SUM(T2:Z2)</f>
        <v>9700</v>
      </c>
      <c r="AC2" s="5">
        <v>9700</v>
      </c>
      <c r="AD2" s="5"/>
      <c r="AE2" s="5"/>
      <c r="AF2" s="5"/>
      <c r="AG2" s="5"/>
      <c r="AH2" s="5"/>
      <c r="AI2" s="5"/>
      <c r="AJ2" s="5">
        <f>SUM(AC2:AI2)</f>
        <v>9700</v>
      </c>
      <c r="AL2" s="5">
        <v>9700</v>
      </c>
      <c r="AM2" s="5"/>
      <c r="AN2" s="5"/>
      <c r="AO2" s="5"/>
      <c r="AP2" s="5"/>
      <c r="AQ2" s="5"/>
      <c r="AR2" s="5"/>
      <c r="AS2" s="5">
        <f>SUM(AL2:AR2)</f>
        <v>9700</v>
      </c>
      <c r="AU2" s="5">
        <v>9700</v>
      </c>
      <c r="AV2" s="5"/>
      <c r="AW2" s="5"/>
      <c r="AX2" s="5"/>
      <c r="AY2" s="5"/>
      <c r="AZ2" s="5"/>
      <c r="BA2" s="5"/>
      <c r="BB2" s="5">
        <f>SUM(AU2:BA2)</f>
        <v>9700</v>
      </c>
      <c r="BD2" s="5">
        <v>9700</v>
      </c>
      <c r="BE2" s="5"/>
      <c r="BF2" s="5"/>
      <c r="BG2" s="5"/>
      <c r="BH2" s="5"/>
      <c r="BI2" s="5"/>
      <c r="BJ2" s="5"/>
      <c r="BK2" s="5">
        <f>SUM(BD2:BJ2)</f>
        <v>9700</v>
      </c>
      <c r="BM2" s="5">
        <v>9700</v>
      </c>
      <c r="BN2" s="5"/>
      <c r="BO2" s="5"/>
      <c r="BP2" s="5"/>
      <c r="BQ2" s="5"/>
      <c r="BR2" s="5"/>
      <c r="BS2" s="5"/>
      <c r="BT2" s="5">
        <f>SUM(BM2:BS2)</f>
        <v>9700</v>
      </c>
      <c r="BV2" s="5">
        <v>9700</v>
      </c>
      <c r="BW2" s="5"/>
      <c r="BX2" s="5"/>
      <c r="BY2" s="5"/>
      <c r="BZ2" s="5"/>
      <c r="CA2" s="5"/>
      <c r="CB2" s="5"/>
      <c r="CC2" s="5">
        <f>SUM(BV2:CB2)</f>
        <v>9700</v>
      </c>
    </row>
    <row r="3" spans="1:82" ht="15">
      <c r="A3" s="8" t="s">
        <v>8</v>
      </c>
      <c r="B3" s="9">
        <f t="shared" ref="B3" si="0">B4+B5+B6+B7+B8+B9+B10+B11+B12+B13+B14+B15+B16</f>
        <v>930</v>
      </c>
      <c r="C3" s="9"/>
      <c r="D3" s="9"/>
      <c r="E3" s="9"/>
      <c r="F3" s="9"/>
      <c r="G3" s="9"/>
      <c r="H3" s="9"/>
      <c r="I3" s="9">
        <f t="shared" ref="I3:I16" si="1">SUM(B3:H3)</f>
        <v>930</v>
      </c>
      <c r="J3" s="6"/>
      <c r="K3" s="9">
        <f t="shared" ref="K3" si="2">K4+K5+K6+K7+K8+K9+K10+K11+K12+K13+K14+K15+K16</f>
        <v>1032</v>
      </c>
      <c r="L3" s="9"/>
      <c r="M3" s="9"/>
      <c r="N3" s="9"/>
      <c r="O3" s="9"/>
      <c r="P3" s="9"/>
      <c r="Q3" s="9"/>
      <c r="R3" s="9">
        <f t="shared" ref="R3:R16" si="3">SUM(K3:Q3)</f>
        <v>1032</v>
      </c>
      <c r="T3" s="9">
        <f t="shared" ref="T3" si="4">T4+T5+T6+T7+T8+T9+T10+T11+T12+T13+T14+T15+T16</f>
        <v>1245</v>
      </c>
      <c r="U3" s="9"/>
      <c r="V3" s="9"/>
      <c r="W3" s="9"/>
      <c r="X3" s="9"/>
      <c r="Y3" s="9"/>
      <c r="Z3" s="9"/>
      <c r="AA3" s="9">
        <f t="shared" ref="AA3:AA16" si="5">SUM(T3:Z3)</f>
        <v>1245</v>
      </c>
      <c r="AC3" s="9">
        <f t="shared" ref="AC3" si="6">AC4+AC5+AC6+AC7+AC8+AC9+AC10+AC11+AC12+AC13+AC14+AC15+AC16</f>
        <v>2515</v>
      </c>
      <c r="AD3" s="9"/>
      <c r="AE3" s="9"/>
      <c r="AF3" s="9"/>
      <c r="AG3" s="9"/>
      <c r="AH3" s="9"/>
      <c r="AI3" s="9"/>
      <c r="AJ3" s="9">
        <f t="shared" ref="AJ3:AJ16" si="7">SUM(AC3:AI3)</f>
        <v>2515</v>
      </c>
      <c r="AL3" s="9">
        <f t="shared" ref="AL3" si="8">AL4+AL5+AL6+AL7+AL8+AL9+AL10+AL11+AL12+AL13+AL14+AL15+AL16</f>
        <v>2371</v>
      </c>
      <c r="AM3" s="9"/>
      <c r="AN3" s="9"/>
      <c r="AO3" s="9"/>
      <c r="AP3" s="9"/>
      <c r="AQ3" s="9"/>
      <c r="AR3" s="9"/>
      <c r="AS3" s="9">
        <f t="shared" ref="AS3:AS16" si="9">SUM(AL3:AR3)</f>
        <v>2371</v>
      </c>
      <c r="AU3" s="9">
        <f t="shared" ref="AU3" si="10">AU4+AU5+AU6+AU7+AU8+AU9+AU10+AU11+AU12+AU13+AU14+AU15+AU16</f>
        <v>140</v>
      </c>
      <c r="AV3" s="9"/>
      <c r="AW3" s="9"/>
      <c r="AX3" s="9"/>
      <c r="AY3" s="9"/>
      <c r="AZ3" s="9"/>
      <c r="BA3" s="9"/>
      <c r="BB3" s="9">
        <f t="shared" ref="BB3:BB16" si="11">SUM(AU3:BA3)</f>
        <v>140</v>
      </c>
      <c r="BD3" s="9">
        <f t="shared" ref="BD3" si="12">BD4+BD5+BD6+BD7+BD8+BD9+BD10+BD11+BD12+BD13+BD14+BD15+BD16</f>
        <v>421</v>
      </c>
      <c r="BE3" s="9"/>
      <c r="BF3" s="9"/>
      <c r="BG3" s="9"/>
      <c r="BH3" s="9"/>
      <c r="BI3" s="9"/>
      <c r="BJ3" s="9"/>
      <c r="BK3" s="9">
        <f t="shared" ref="BK3:BK16" si="13">SUM(BD3:BJ3)</f>
        <v>421</v>
      </c>
      <c r="BM3" s="9">
        <f t="shared" ref="BM3" si="14">BM4+BM5+BM6+BM7+BM8+BM9+BM10+BM11+BM12+BM13+BM14+BM15+BM16</f>
        <v>0</v>
      </c>
      <c r="BN3" s="9"/>
      <c r="BO3" s="9"/>
      <c r="BP3" s="9"/>
      <c r="BQ3" s="9"/>
      <c r="BR3" s="9"/>
      <c r="BS3" s="9"/>
      <c r="BT3" s="9">
        <f t="shared" ref="BT3:BT16" si="15">SUM(BM3:BS3)</f>
        <v>0</v>
      </c>
      <c r="BV3" s="9">
        <f t="shared" ref="BV3" si="16">BV4+BV5+BV6+BV7+BV8+BV9+BV10+BV11+BV12+BV13+BV14+BV15+BV16</f>
        <v>8654</v>
      </c>
      <c r="BW3" s="9"/>
      <c r="BX3" s="9"/>
      <c r="BY3" s="9"/>
      <c r="BZ3" s="9"/>
      <c r="CA3" s="9"/>
      <c r="CB3" s="9"/>
      <c r="CC3" s="9">
        <f t="shared" ref="CC3:CC16" si="17">SUM(BV3:CB3)</f>
        <v>8654</v>
      </c>
    </row>
    <row r="4" spans="1:82">
      <c r="A4" s="10" t="s">
        <v>9</v>
      </c>
      <c r="B4" s="5">
        <f>25*6</f>
        <v>150</v>
      </c>
      <c r="C4" s="11"/>
      <c r="D4" s="11"/>
      <c r="E4" s="11"/>
      <c r="F4" s="11"/>
      <c r="G4" s="11"/>
      <c r="H4" s="11"/>
      <c r="I4" s="11">
        <f t="shared" si="1"/>
        <v>150</v>
      </c>
      <c r="J4" s="12">
        <f>I4/25</f>
        <v>6</v>
      </c>
      <c r="K4" s="5">
        <f>25*4</f>
        <v>100</v>
      </c>
      <c r="L4" s="11"/>
      <c r="M4" s="11"/>
      <c r="N4" s="11"/>
      <c r="O4" s="11"/>
      <c r="P4" s="11"/>
      <c r="Q4" s="11"/>
      <c r="R4" s="11">
        <f t="shared" si="3"/>
        <v>100</v>
      </c>
      <c r="S4" s="12">
        <f>R4/25</f>
        <v>4</v>
      </c>
      <c r="T4" s="5">
        <f>25*5</f>
        <v>125</v>
      </c>
      <c r="U4" s="11"/>
      <c r="V4" s="11"/>
      <c r="W4" s="11"/>
      <c r="X4" s="11"/>
      <c r="Y4" s="11"/>
      <c r="Z4" s="11"/>
      <c r="AA4" s="11">
        <f t="shared" si="5"/>
        <v>125</v>
      </c>
      <c r="AB4" s="12">
        <f>AA4/25</f>
        <v>5</v>
      </c>
      <c r="AC4" s="5">
        <f>25*5</f>
        <v>125</v>
      </c>
      <c r="AD4" s="11"/>
      <c r="AE4" s="11"/>
      <c r="AF4" s="11"/>
      <c r="AG4" s="11"/>
      <c r="AH4" s="11"/>
      <c r="AI4" s="11"/>
      <c r="AJ4" s="11">
        <f t="shared" si="7"/>
        <v>125</v>
      </c>
      <c r="AK4" s="12">
        <f>AJ4/25</f>
        <v>5</v>
      </c>
      <c r="AL4" s="5">
        <f>25*5</f>
        <v>125</v>
      </c>
      <c r="AM4" s="11"/>
      <c r="AN4" s="11"/>
      <c r="AO4" s="11"/>
      <c r="AP4" s="11"/>
      <c r="AQ4" s="11"/>
      <c r="AR4" s="11"/>
      <c r="AS4" s="11">
        <f t="shared" si="9"/>
        <v>125</v>
      </c>
      <c r="AT4" s="12">
        <f>AS4/25</f>
        <v>5</v>
      </c>
      <c r="AU4" s="5">
        <v>0</v>
      </c>
      <c r="AV4" s="11"/>
      <c r="AW4" s="11"/>
      <c r="AX4" s="11"/>
      <c r="AY4" s="11"/>
      <c r="AZ4" s="11"/>
      <c r="BA4" s="11"/>
      <c r="BB4" s="11">
        <f t="shared" si="11"/>
        <v>0</v>
      </c>
      <c r="BD4" s="5">
        <f>25*3</f>
        <v>75</v>
      </c>
      <c r="BE4" s="11"/>
      <c r="BF4" s="11"/>
      <c r="BG4" s="11"/>
      <c r="BH4" s="11"/>
      <c r="BI4" s="11"/>
      <c r="BJ4" s="11"/>
      <c r="BK4" s="11">
        <f t="shared" si="13"/>
        <v>75</v>
      </c>
      <c r="BL4" s="12">
        <f>BK4/25</f>
        <v>3</v>
      </c>
      <c r="BM4" s="5">
        <v>0</v>
      </c>
      <c r="BN4" s="11"/>
      <c r="BO4" s="11"/>
      <c r="BP4" s="11"/>
      <c r="BQ4" s="11"/>
      <c r="BR4" s="11"/>
      <c r="BS4" s="11"/>
      <c r="BT4" s="11">
        <f t="shared" si="15"/>
        <v>0</v>
      </c>
      <c r="BV4" s="5">
        <f>B4+K4+T4+AC4+AL4+AU4+BD4+BM4</f>
        <v>700</v>
      </c>
      <c r="BW4" s="5">
        <f t="shared" ref="BW4:CA16" si="18">C4+L4+U4+AD4+AM4+AV4+BE4+BN4</f>
        <v>0</v>
      </c>
      <c r="BX4" s="5">
        <f t="shared" si="18"/>
        <v>0</v>
      </c>
      <c r="BY4" s="5">
        <f t="shared" si="18"/>
        <v>0</v>
      </c>
      <c r="BZ4" s="5">
        <f t="shared" si="18"/>
        <v>0</v>
      </c>
      <c r="CA4" s="5">
        <f t="shared" si="18"/>
        <v>0</v>
      </c>
      <c r="CB4" s="11"/>
      <c r="CC4" s="11">
        <f t="shared" si="17"/>
        <v>700</v>
      </c>
      <c r="CD4" s="12">
        <f>J4+S4+AB4+AK4+AT4+BC4+BL4+BU4</f>
        <v>28</v>
      </c>
    </row>
    <row r="5" spans="1:82">
      <c r="A5" s="8" t="s">
        <v>10</v>
      </c>
      <c r="B5" s="5">
        <f>26*6</f>
        <v>156</v>
      </c>
      <c r="C5" s="11"/>
      <c r="D5" s="11"/>
      <c r="E5" s="11"/>
      <c r="F5" s="11"/>
      <c r="G5" s="11"/>
      <c r="H5" s="11"/>
      <c r="I5" s="11">
        <f t="shared" si="1"/>
        <v>156</v>
      </c>
      <c r="J5" s="12">
        <f>I5/26</f>
        <v>6</v>
      </c>
      <c r="K5" s="5">
        <f>26*4</f>
        <v>104</v>
      </c>
      <c r="L5" s="11"/>
      <c r="M5" s="11"/>
      <c r="N5" s="11"/>
      <c r="O5" s="11"/>
      <c r="P5" s="11"/>
      <c r="Q5" s="11"/>
      <c r="R5" s="11">
        <f t="shared" si="3"/>
        <v>104</v>
      </c>
      <c r="S5" s="12">
        <f>R5/26</f>
        <v>4</v>
      </c>
      <c r="T5" s="5">
        <f>26*5</f>
        <v>130</v>
      </c>
      <c r="U5" s="11"/>
      <c r="V5" s="11"/>
      <c r="W5" s="11"/>
      <c r="X5" s="11"/>
      <c r="Y5" s="11"/>
      <c r="Z5" s="11"/>
      <c r="AA5" s="11">
        <f t="shared" si="5"/>
        <v>130</v>
      </c>
      <c r="AB5" s="12">
        <f>AA5/26</f>
        <v>5</v>
      </c>
      <c r="AC5" s="5">
        <f>26*5</f>
        <v>130</v>
      </c>
      <c r="AD5" s="11"/>
      <c r="AE5" s="11"/>
      <c r="AF5" s="11"/>
      <c r="AG5" s="11"/>
      <c r="AH5" s="11"/>
      <c r="AI5" s="11"/>
      <c r="AJ5" s="11">
        <f t="shared" si="7"/>
        <v>130</v>
      </c>
      <c r="AK5" s="12">
        <f>AJ5/26</f>
        <v>5</v>
      </c>
      <c r="AL5" s="5">
        <f>25*5</f>
        <v>125</v>
      </c>
      <c r="AM5" s="11"/>
      <c r="AN5" s="11"/>
      <c r="AO5" s="11"/>
      <c r="AP5" s="11"/>
      <c r="AQ5" s="11"/>
      <c r="AR5" s="11"/>
      <c r="AS5" s="11">
        <f t="shared" si="9"/>
        <v>125</v>
      </c>
      <c r="AT5" s="12">
        <f t="shared" ref="AT5" si="19">AS5/25</f>
        <v>5</v>
      </c>
      <c r="AU5" s="5">
        <v>0</v>
      </c>
      <c r="AV5" s="11"/>
      <c r="AW5" s="11"/>
      <c r="AX5" s="11"/>
      <c r="AY5" s="11"/>
      <c r="AZ5" s="11"/>
      <c r="BA5" s="11"/>
      <c r="BB5" s="11">
        <f t="shared" si="11"/>
        <v>0</v>
      </c>
      <c r="BD5" s="5">
        <f>25*3</f>
        <v>75</v>
      </c>
      <c r="BE5" s="11"/>
      <c r="BF5" s="11"/>
      <c r="BG5" s="11"/>
      <c r="BH5" s="11"/>
      <c r="BI5" s="11"/>
      <c r="BJ5" s="11"/>
      <c r="BK5" s="11">
        <f t="shared" si="13"/>
        <v>75</v>
      </c>
      <c r="BL5" s="12">
        <f t="shared" ref="BL5:BL7" si="20">BK5/25</f>
        <v>3</v>
      </c>
      <c r="BM5" s="5">
        <v>0</v>
      </c>
      <c r="BN5" s="11"/>
      <c r="BO5" s="11"/>
      <c r="BP5" s="11"/>
      <c r="BQ5" s="11"/>
      <c r="BR5" s="11"/>
      <c r="BS5" s="11"/>
      <c r="BT5" s="11">
        <f t="shared" si="15"/>
        <v>0</v>
      </c>
      <c r="BV5" s="5">
        <f t="shared" ref="BV5:BV16" si="21">B5+K5+T5+AC5+AL5+AU5+BD5+BM5</f>
        <v>720</v>
      </c>
      <c r="BW5" s="5">
        <f t="shared" si="18"/>
        <v>0</v>
      </c>
      <c r="BX5" s="5">
        <f t="shared" si="18"/>
        <v>0</v>
      </c>
      <c r="BY5" s="5">
        <f t="shared" si="18"/>
        <v>0</v>
      </c>
      <c r="BZ5" s="5">
        <f t="shared" si="18"/>
        <v>0</v>
      </c>
      <c r="CA5" s="5">
        <f t="shared" si="18"/>
        <v>0</v>
      </c>
      <c r="CB5" s="11"/>
      <c r="CC5" s="11">
        <f t="shared" si="17"/>
        <v>720</v>
      </c>
      <c r="CD5" s="12">
        <f t="shared" ref="CD5:CD16" si="22">J5+S5+AB5+AK5+AT5+BC5+BL5+BU5</f>
        <v>28</v>
      </c>
    </row>
    <row r="6" spans="1:82">
      <c r="A6" s="8" t="s">
        <v>11</v>
      </c>
      <c r="B6" s="5">
        <f>26*6</f>
        <v>156</v>
      </c>
      <c r="C6" s="11"/>
      <c r="D6" s="11"/>
      <c r="E6" s="11"/>
      <c r="F6" s="11"/>
      <c r="G6" s="11"/>
      <c r="H6" s="11"/>
      <c r="I6" s="11">
        <f t="shared" si="1"/>
        <v>156</v>
      </c>
      <c r="J6" s="12">
        <f t="shared" ref="J6:J9" si="23">I6/26</f>
        <v>6</v>
      </c>
      <c r="K6" s="5">
        <f>27*4</f>
        <v>108</v>
      </c>
      <c r="L6" s="11"/>
      <c r="M6" s="11"/>
      <c r="N6" s="11"/>
      <c r="O6" s="11"/>
      <c r="P6" s="11"/>
      <c r="Q6" s="11"/>
      <c r="R6" s="11">
        <f t="shared" si="3"/>
        <v>108</v>
      </c>
      <c r="S6" s="12">
        <f>R6/27</f>
        <v>4</v>
      </c>
      <c r="T6" s="5">
        <f>26*5</f>
        <v>130</v>
      </c>
      <c r="U6" s="11"/>
      <c r="V6" s="11"/>
      <c r="W6" s="11"/>
      <c r="X6" s="11"/>
      <c r="Y6" s="11"/>
      <c r="Z6" s="11"/>
      <c r="AA6" s="11">
        <f t="shared" si="5"/>
        <v>130</v>
      </c>
      <c r="AB6" s="12">
        <f t="shared" ref="AB6:AB8" si="24">AA6/26</f>
        <v>5</v>
      </c>
      <c r="AC6" s="5">
        <f>27*5</f>
        <v>135</v>
      </c>
      <c r="AD6" s="11"/>
      <c r="AE6" s="11"/>
      <c r="AF6" s="11"/>
      <c r="AG6" s="11"/>
      <c r="AH6" s="11"/>
      <c r="AI6" s="11"/>
      <c r="AJ6" s="11">
        <f t="shared" si="7"/>
        <v>135</v>
      </c>
      <c r="AK6" s="12">
        <f>AJ6/27</f>
        <v>5</v>
      </c>
      <c r="AL6" s="5">
        <f>26*5</f>
        <v>130</v>
      </c>
      <c r="AM6" s="11"/>
      <c r="AN6" s="11"/>
      <c r="AO6" s="11"/>
      <c r="AP6" s="11"/>
      <c r="AQ6" s="11"/>
      <c r="AR6" s="11"/>
      <c r="AS6" s="11">
        <f t="shared" si="9"/>
        <v>130</v>
      </c>
      <c r="AT6" s="12">
        <f>AS6/26</f>
        <v>5</v>
      </c>
      <c r="AU6" s="5">
        <v>0</v>
      </c>
      <c r="AV6" s="11"/>
      <c r="AW6" s="11"/>
      <c r="AX6" s="11"/>
      <c r="AY6" s="11"/>
      <c r="AZ6" s="11"/>
      <c r="BA6" s="11"/>
      <c r="BB6" s="11">
        <f t="shared" si="11"/>
        <v>0</v>
      </c>
      <c r="BD6" s="5">
        <f>25*3</f>
        <v>75</v>
      </c>
      <c r="BE6" s="11"/>
      <c r="BF6" s="11"/>
      <c r="BG6" s="11"/>
      <c r="BH6" s="11"/>
      <c r="BI6" s="11"/>
      <c r="BJ6" s="11"/>
      <c r="BK6" s="11">
        <f t="shared" si="13"/>
        <v>75</v>
      </c>
      <c r="BL6" s="12">
        <f t="shared" si="20"/>
        <v>3</v>
      </c>
      <c r="BM6" s="5">
        <v>0</v>
      </c>
      <c r="BN6" s="11"/>
      <c r="BO6" s="11"/>
      <c r="BP6" s="11"/>
      <c r="BQ6" s="11"/>
      <c r="BR6" s="11"/>
      <c r="BS6" s="11"/>
      <c r="BT6" s="11">
        <f t="shared" si="15"/>
        <v>0</v>
      </c>
      <c r="BV6" s="5">
        <f t="shared" si="21"/>
        <v>734</v>
      </c>
      <c r="BW6" s="5">
        <f t="shared" si="18"/>
        <v>0</v>
      </c>
      <c r="BX6" s="5">
        <f t="shared" si="18"/>
        <v>0</v>
      </c>
      <c r="BY6" s="5">
        <f t="shared" si="18"/>
        <v>0</v>
      </c>
      <c r="BZ6" s="5">
        <f t="shared" si="18"/>
        <v>0</v>
      </c>
      <c r="CA6" s="5">
        <f t="shared" si="18"/>
        <v>0</v>
      </c>
      <c r="CB6" s="11"/>
      <c r="CC6" s="11">
        <f t="shared" si="17"/>
        <v>734</v>
      </c>
      <c r="CD6" s="12">
        <f t="shared" si="22"/>
        <v>28</v>
      </c>
    </row>
    <row r="7" spans="1:82">
      <c r="A7" s="13" t="s">
        <v>12</v>
      </c>
      <c r="B7" s="5">
        <f>26*6</f>
        <v>156</v>
      </c>
      <c r="C7" s="11"/>
      <c r="D7" s="11"/>
      <c r="E7" s="11"/>
      <c r="F7" s="11"/>
      <c r="G7" s="11"/>
      <c r="H7" s="11"/>
      <c r="I7" s="11">
        <f t="shared" si="1"/>
        <v>156</v>
      </c>
      <c r="J7" s="12">
        <f t="shared" si="23"/>
        <v>6</v>
      </c>
      <c r="K7" s="5">
        <f>28*4</f>
        <v>112</v>
      </c>
      <c r="L7" s="11"/>
      <c r="M7" s="11"/>
      <c r="N7" s="11"/>
      <c r="O7" s="11"/>
      <c r="P7" s="11"/>
      <c r="Q7" s="11"/>
      <c r="R7" s="11">
        <f t="shared" si="3"/>
        <v>112</v>
      </c>
      <c r="S7" s="12">
        <f>R7/28</f>
        <v>4</v>
      </c>
      <c r="T7" s="5">
        <f t="shared" ref="T7:T8" si="25">26*5</f>
        <v>130</v>
      </c>
      <c r="U7" s="11"/>
      <c r="V7" s="11"/>
      <c r="W7" s="11"/>
      <c r="X7" s="11"/>
      <c r="Y7" s="11"/>
      <c r="Z7" s="11"/>
      <c r="AA7" s="11">
        <f t="shared" si="5"/>
        <v>130</v>
      </c>
      <c r="AB7" s="12">
        <f t="shared" si="24"/>
        <v>5</v>
      </c>
      <c r="AC7" s="5">
        <f>27*5</f>
        <v>135</v>
      </c>
      <c r="AD7" s="11"/>
      <c r="AE7" s="11"/>
      <c r="AF7" s="11"/>
      <c r="AG7" s="11"/>
      <c r="AH7" s="11"/>
      <c r="AI7" s="11"/>
      <c r="AJ7" s="11">
        <f t="shared" si="7"/>
        <v>135</v>
      </c>
      <c r="AK7" s="12">
        <f t="shared" ref="AK7" si="26">AJ7/27</f>
        <v>5</v>
      </c>
      <c r="AL7" s="5">
        <f>27*5</f>
        <v>135</v>
      </c>
      <c r="AM7" s="11"/>
      <c r="AN7" s="11"/>
      <c r="AO7" s="11"/>
      <c r="AP7" s="11"/>
      <c r="AQ7" s="11"/>
      <c r="AR7" s="11"/>
      <c r="AS7" s="11">
        <f t="shared" si="9"/>
        <v>135</v>
      </c>
      <c r="AT7" s="12">
        <f t="shared" ref="AT7:AT8" si="27">AS7/27</f>
        <v>5</v>
      </c>
      <c r="AU7" s="5">
        <v>0</v>
      </c>
      <c r="AV7" s="11"/>
      <c r="AW7" s="11"/>
      <c r="AX7" s="11"/>
      <c r="AY7" s="11"/>
      <c r="AZ7" s="11"/>
      <c r="BA7" s="11"/>
      <c r="BB7" s="11">
        <f t="shared" si="11"/>
        <v>0</v>
      </c>
      <c r="BD7" s="5">
        <f>25*3</f>
        <v>75</v>
      </c>
      <c r="BE7" s="11"/>
      <c r="BF7" s="11"/>
      <c r="BG7" s="11"/>
      <c r="BH7" s="11"/>
      <c r="BI7" s="11"/>
      <c r="BJ7" s="11"/>
      <c r="BK7" s="11">
        <f t="shared" si="13"/>
        <v>75</v>
      </c>
      <c r="BL7" s="12">
        <f t="shared" si="20"/>
        <v>3</v>
      </c>
      <c r="BM7" s="5">
        <v>0</v>
      </c>
      <c r="BN7" s="11"/>
      <c r="BO7" s="11"/>
      <c r="BP7" s="11"/>
      <c r="BQ7" s="11"/>
      <c r="BR7" s="11"/>
      <c r="BS7" s="11"/>
      <c r="BT7" s="11">
        <f t="shared" si="15"/>
        <v>0</v>
      </c>
      <c r="BV7" s="5">
        <f t="shared" si="21"/>
        <v>743</v>
      </c>
      <c r="BW7" s="5">
        <f t="shared" si="18"/>
        <v>0</v>
      </c>
      <c r="BX7" s="5">
        <f t="shared" si="18"/>
        <v>0</v>
      </c>
      <c r="BY7" s="5">
        <f t="shared" si="18"/>
        <v>0</v>
      </c>
      <c r="BZ7" s="5">
        <f t="shared" si="18"/>
        <v>0</v>
      </c>
      <c r="CA7" s="5">
        <f t="shared" si="18"/>
        <v>0</v>
      </c>
      <c r="CB7" s="11"/>
      <c r="CC7" s="11">
        <f t="shared" si="17"/>
        <v>743</v>
      </c>
      <c r="CD7" s="12">
        <f t="shared" si="22"/>
        <v>28</v>
      </c>
    </row>
    <row r="8" spans="1:82">
      <c r="A8" s="13" t="s">
        <v>13</v>
      </c>
      <c r="B8" s="5">
        <f>26*6</f>
        <v>156</v>
      </c>
      <c r="C8" s="11"/>
      <c r="D8" s="11"/>
      <c r="E8" s="11"/>
      <c r="F8" s="11"/>
      <c r="G8" s="11"/>
      <c r="H8" s="11"/>
      <c r="I8" s="11">
        <f t="shared" si="1"/>
        <v>156</v>
      </c>
      <c r="J8" s="12">
        <f t="shared" si="23"/>
        <v>6</v>
      </c>
      <c r="K8" s="5">
        <f>28*4</f>
        <v>112</v>
      </c>
      <c r="L8" s="11"/>
      <c r="M8" s="11"/>
      <c r="N8" s="11"/>
      <c r="O8" s="11"/>
      <c r="P8" s="11"/>
      <c r="Q8" s="11"/>
      <c r="R8" s="11">
        <f t="shared" si="3"/>
        <v>112</v>
      </c>
      <c r="S8" s="12">
        <f t="shared" ref="S8" si="28">R8/28</f>
        <v>4</v>
      </c>
      <c r="T8" s="5">
        <f t="shared" si="25"/>
        <v>130</v>
      </c>
      <c r="U8" s="11"/>
      <c r="V8" s="11"/>
      <c r="W8" s="11"/>
      <c r="X8" s="11"/>
      <c r="Y8" s="11"/>
      <c r="Z8" s="11"/>
      <c r="AA8" s="11">
        <f t="shared" si="5"/>
        <v>130</v>
      </c>
      <c r="AB8" s="12">
        <f t="shared" si="24"/>
        <v>5</v>
      </c>
      <c r="AC8" s="5">
        <f>28*5</f>
        <v>140</v>
      </c>
      <c r="AD8" s="11"/>
      <c r="AE8" s="11"/>
      <c r="AF8" s="11"/>
      <c r="AG8" s="11"/>
      <c r="AH8" s="11"/>
      <c r="AI8" s="11"/>
      <c r="AJ8" s="11">
        <f t="shared" si="7"/>
        <v>140</v>
      </c>
      <c r="AK8" s="12">
        <f>AJ8/28</f>
        <v>5</v>
      </c>
      <c r="AL8" s="5">
        <f t="shared" ref="AL8" si="29">27*5</f>
        <v>135</v>
      </c>
      <c r="AM8" s="11"/>
      <c r="AN8" s="11"/>
      <c r="AO8" s="11"/>
      <c r="AP8" s="11"/>
      <c r="AQ8" s="11"/>
      <c r="AR8" s="11"/>
      <c r="AS8" s="11">
        <f t="shared" si="9"/>
        <v>135</v>
      </c>
      <c r="AT8" s="12">
        <f t="shared" si="27"/>
        <v>5</v>
      </c>
      <c r="AU8" s="5">
        <v>0</v>
      </c>
      <c r="AV8" s="11"/>
      <c r="AW8" s="11"/>
      <c r="AX8" s="11"/>
      <c r="AY8" s="11"/>
      <c r="AZ8" s="11"/>
      <c r="BA8" s="11"/>
      <c r="BB8" s="11">
        <f t="shared" si="11"/>
        <v>0</v>
      </c>
      <c r="BD8" s="5">
        <f>24*2</f>
        <v>48</v>
      </c>
      <c r="BE8" s="11"/>
      <c r="BF8" s="11"/>
      <c r="BG8" s="11"/>
      <c r="BH8" s="11"/>
      <c r="BI8" s="11"/>
      <c r="BJ8" s="11"/>
      <c r="BK8" s="11">
        <f t="shared" si="13"/>
        <v>48</v>
      </c>
      <c r="BL8" s="12">
        <f t="shared" ref="BL8:BL9" si="30">BK8/24</f>
        <v>2</v>
      </c>
      <c r="BM8" s="5">
        <v>0</v>
      </c>
      <c r="BN8" s="11"/>
      <c r="BO8" s="11"/>
      <c r="BP8" s="11"/>
      <c r="BQ8" s="11"/>
      <c r="BR8" s="11"/>
      <c r="BS8" s="11"/>
      <c r="BT8" s="11">
        <f t="shared" si="15"/>
        <v>0</v>
      </c>
      <c r="BV8" s="5">
        <f t="shared" si="21"/>
        <v>721</v>
      </c>
      <c r="BW8" s="5">
        <f t="shared" si="18"/>
        <v>0</v>
      </c>
      <c r="BX8" s="5">
        <f t="shared" si="18"/>
        <v>0</v>
      </c>
      <c r="BY8" s="5">
        <f t="shared" si="18"/>
        <v>0</v>
      </c>
      <c r="BZ8" s="5">
        <f t="shared" si="18"/>
        <v>0</v>
      </c>
      <c r="CA8" s="5">
        <f t="shared" si="18"/>
        <v>0</v>
      </c>
      <c r="CB8" s="11"/>
      <c r="CC8" s="11">
        <f t="shared" si="17"/>
        <v>721</v>
      </c>
      <c r="CD8" s="12">
        <f t="shared" si="22"/>
        <v>27</v>
      </c>
    </row>
    <row r="9" spans="1:82">
      <c r="A9" s="13" t="s">
        <v>14</v>
      </c>
      <c r="B9" s="5">
        <f>26*6</f>
        <v>156</v>
      </c>
      <c r="C9" s="11"/>
      <c r="D9" s="11"/>
      <c r="E9" s="11"/>
      <c r="F9" s="11"/>
      <c r="G9" s="11"/>
      <c r="H9" s="11"/>
      <c r="I9" s="11">
        <f t="shared" si="1"/>
        <v>156</v>
      </c>
      <c r="J9" s="12">
        <f t="shared" si="23"/>
        <v>6</v>
      </c>
      <c r="K9" s="5">
        <f>25*5-1</f>
        <v>124</v>
      </c>
      <c r="L9" s="11"/>
      <c r="M9" s="11"/>
      <c r="N9" s="11"/>
      <c r="O9" s="11"/>
      <c r="P9" s="11"/>
      <c r="Q9" s="11"/>
      <c r="R9" s="11">
        <f t="shared" si="3"/>
        <v>124</v>
      </c>
      <c r="S9" s="12">
        <f>R9/31</f>
        <v>4</v>
      </c>
      <c r="T9" s="5">
        <f>25*6</f>
        <v>150</v>
      </c>
      <c r="U9" s="11"/>
      <c r="V9" s="11"/>
      <c r="W9" s="11"/>
      <c r="X9" s="11"/>
      <c r="Y9" s="11"/>
      <c r="Z9" s="11"/>
      <c r="AA9" s="11">
        <f t="shared" si="5"/>
        <v>150</v>
      </c>
      <c r="AB9" s="12">
        <f>AA9/25</f>
        <v>6</v>
      </c>
      <c r="AC9" s="5">
        <f>29*5</f>
        <v>145</v>
      </c>
      <c r="AD9" s="11"/>
      <c r="AE9" s="11"/>
      <c r="AF9" s="11"/>
      <c r="AG9" s="11"/>
      <c r="AH9" s="11"/>
      <c r="AI9" s="11"/>
      <c r="AJ9" s="11">
        <f t="shared" si="7"/>
        <v>145</v>
      </c>
      <c r="AK9" s="12">
        <f>AJ9/29</f>
        <v>5</v>
      </c>
      <c r="AL9" s="5">
        <f>28*5</f>
        <v>140</v>
      </c>
      <c r="AM9" s="11"/>
      <c r="AN9" s="11"/>
      <c r="AO9" s="11"/>
      <c r="AP9" s="11"/>
      <c r="AQ9" s="11"/>
      <c r="AR9" s="11"/>
      <c r="AS9" s="11">
        <f t="shared" si="9"/>
        <v>140</v>
      </c>
      <c r="AT9" s="12">
        <f>AS9/28</f>
        <v>5</v>
      </c>
      <c r="AU9" s="5">
        <v>0</v>
      </c>
      <c r="AV9" s="11"/>
      <c r="AW9" s="11"/>
      <c r="AX9" s="11"/>
      <c r="AY9" s="11"/>
      <c r="AZ9" s="11"/>
      <c r="BA9" s="11"/>
      <c r="BB9" s="11">
        <f t="shared" si="11"/>
        <v>0</v>
      </c>
      <c r="BD9" s="5">
        <f>24*2</f>
        <v>48</v>
      </c>
      <c r="BE9" s="11"/>
      <c r="BF9" s="11"/>
      <c r="BG9" s="11"/>
      <c r="BH9" s="11"/>
      <c r="BI9" s="11"/>
      <c r="BJ9" s="11"/>
      <c r="BK9" s="11">
        <f t="shared" si="13"/>
        <v>48</v>
      </c>
      <c r="BL9" s="12">
        <f t="shared" si="30"/>
        <v>2</v>
      </c>
      <c r="BM9" s="5">
        <v>0</v>
      </c>
      <c r="BN9" s="11"/>
      <c r="BO9" s="11"/>
      <c r="BP9" s="11"/>
      <c r="BQ9" s="11"/>
      <c r="BR9" s="11"/>
      <c r="BS9" s="11"/>
      <c r="BT9" s="11">
        <f t="shared" si="15"/>
        <v>0</v>
      </c>
      <c r="BV9" s="5">
        <f t="shared" si="21"/>
        <v>763</v>
      </c>
      <c r="BW9" s="5">
        <f t="shared" si="18"/>
        <v>0</v>
      </c>
      <c r="BX9" s="5">
        <f t="shared" si="18"/>
        <v>0</v>
      </c>
      <c r="BY9" s="5">
        <f t="shared" si="18"/>
        <v>0</v>
      </c>
      <c r="BZ9" s="5">
        <f t="shared" si="18"/>
        <v>0</v>
      </c>
      <c r="CA9" s="5">
        <f t="shared" si="18"/>
        <v>0</v>
      </c>
      <c r="CB9" s="11"/>
      <c r="CC9" s="11">
        <f t="shared" si="17"/>
        <v>763</v>
      </c>
      <c r="CD9" s="12">
        <f t="shared" si="22"/>
        <v>28</v>
      </c>
    </row>
    <row r="10" spans="1:82">
      <c r="A10" s="13" t="s">
        <v>15</v>
      </c>
      <c r="B10" s="5">
        <v>0</v>
      </c>
      <c r="C10" s="5"/>
      <c r="D10" s="5"/>
      <c r="E10" s="5"/>
      <c r="F10" s="5"/>
      <c r="G10" s="5"/>
      <c r="H10" s="5"/>
      <c r="I10" s="11">
        <f t="shared" si="1"/>
        <v>0</v>
      </c>
      <c r="J10" s="12"/>
      <c r="K10" s="5">
        <f>31*4</f>
        <v>124</v>
      </c>
      <c r="L10" s="5"/>
      <c r="M10" s="5"/>
      <c r="N10" s="5"/>
      <c r="O10" s="5"/>
      <c r="P10" s="5"/>
      <c r="Q10" s="5"/>
      <c r="R10" s="11">
        <f t="shared" si="3"/>
        <v>124</v>
      </c>
      <c r="S10" s="12">
        <f>R10/31</f>
        <v>4</v>
      </c>
      <c r="T10" s="5">
        <f>30*5</f>
        <v>150</v>
      </c>
      <c r="U10" s="5"/>
      <c r="V10" s="5"/>
      <c r="W10" s="5"/>
      <c r="X10" s="5"/>
      <c r="Y10" s="5"/>
      <c r="Z10" s="5"/>
      <c r="AA10" s="11">
        <f t="shared" si="5"/>
        <v>150</v>
      </c>
      <c r="AB10" s="12">
        <f>AA10/30</f>
        <v>5</v>
      </c>
      <c r="AC10" s="5">
        <f>31*8</f>
        <v>248</v>
      </c>
      <c r="AD10" s="5"/>
      <c r="AE10" s="5"/>
      <c r="AF10" s="5"/>
      <c r="AG10" s="5"/>
      <c r="AH10" s="5"/>
      <c r="AI10" s="5"/>
      <c r="AJ10" s="11">
        <f t="shared" si="7"/>
        <v>248</v>
      </c>
      <c r="AK10" s="12">
        <f>AJ10/31</f>
        <v>8</v>
      </c>
      <c r="AL10" s="5">
        <f>31*5</f>
        <v>155</v>
      </c>
      <c r="AM10" s="5"/>
      <c r="AN10" s="5"/>
      <c r="AO10" s="5"/>
      <c r="AP10" s="5"/>
      <c r="AQ10" s="5"/>
      <c r="AR10" s="5"/>
      <c r="AS10" s="11">
        <f t="shared" si="9"/>
        <v>155</v>
      </c>
      <c r="AT10" s="12">
        <f>AS10/31</f>
        <v>5</v>
      </c>
      <c r="AU10" s="5">
        <f>20</f>
        <v>20</v>
      </c>
      <c r="AV10" s="5"/>
      <c r="AW10" s="5"/>
      <c r="AX10" s="5"/>
      <c r="AY10" s="5"/>
      <c r="AZ10" s="5"/>
      <c r="BA10" s="5"/>
      <c r="BB10" s="11">
        <f t="shared" si="11"/>
        <v>20</v>
      </c>
      <c r="BD10" s="5">
        <f>25*1</f>
        <v>25</v>
      </c>
      <c r="BE10" s="5"/>
      <c r="BF10" s="5"/>
      <c r="BG10" s="5"/>
      <c r="BH10" s="5"/>
      <c r="BI10" s="5"/>
      <c r="BJ10" s="5"/>
      <c r="BK10" s="11">
        <f t="shared" si="13"/>
        <v>25</v>
      </c>
      <c r="BL10" s="12">
        <f t="shared" ref="BL10" si="31">BK10/25</f>
        <v>1</v>
      </c>
      <c r="BM10" s="5">
        <v>0</v>
      </c>
      <c r="BN10" s="5"/>
      <c r="BO10" s="5"/>
      <c r="BP10" s="5"/>
      <c r="BQ10" s="5"/>
      <c r="BR10" s="5"/>
      <c r="BS10" s="5"/>
      <c r="BT10" s="11">
        <f t="shared" si="15"/>
        <v>0</v>
      </c>
      <c r="BV10" s="5">
        <f t="shared" si="21"/>
        <v>722</v>
      </c>
      <c r="BW10" s="5">
        <f t="shared" si="18"/>
        <v>0</v>
      </c>
      <c r="BX10" s="5">
        <f t="shared" si="18"/>
        <v>0</v>
      </c>
      <c r="BY10" s="5">
        <f t="shared" si="18"/>
        <v>0</v>
      </c>
      <c r="BZ10" s="5">
        <f t="shared" si="18"/>
        <v>0</v>
      </c>
      <c r="CA10" s="5">
        <f t="shared" si="18"/>
        <v>0</v>
      </c>
      <c r="CB10" s="5"/>
      <c r="CC10" s="11">
        <f t="shared" si="17"/>
        <v>722</v>
      </c>
      <c r="CD10" s="12">
        <f t="shared" si="22"/>
        <v>23</v>
      </c>
    </row>
    <row r="11" spans="1:82">
      <c r="A11" s="13" t="s">
        <v>16</v>
      </c>
      <c r="B11" s="5">
        <v>0</v>
      </c>
      <c r="C11" s="5"/>
      <c r="D11" s="5"/>
      <c r="E11" s="5"/>
      <c r="F11" s="5"/>
      <c r="G11" s="5"/>
      <c r="H11" s="5"/>
      <c r="I11" s="11">
        <f t="shared" si="1"/>
        <v>0</v>
      </c>
      <c r="J11" s="12"/>
      <c r="K11" s="5">
        <f t="shared" ref="K11:K12" si="32">31*4</f>
        <v>124</v>
      </c>
      <c r="L11" s="5"/>
      <c r="M11" s="5"/>
      <c r="N11" s="5"/>
      <c r="O11" s="5"/>
      <c r="P11" s="5"/>
      <c r="Q11" s="5"/>
      <c r="R11" s="11">
        <f t="shared" si="3"/>
        <v>124</v>
      </c>
      <c r="S11" s="12">
        <f t="shared" ref="S11:S12" si="33">R11/31</f>
        <v>4</v>
      </c>
      <c r="T11" s="5">
        <f t="shared" ref="T11:T12" si="34">30*5</f>
        <v>150</v>
      </c>
      <c r="U11" s="5"/>
      <c r="V11" s="5"/>
      <c r="W11" s="5"/>
      <c r="X11" s="5"/>
      <c r="Y11" s="5"/>
      <c r="Z11" s="5"/>
      <c r="AA11" s="11">
        <f t="shared" si="5"/>
        <v>150</v>
      </c>
      <c r="AB11" s="12">
        <f t="shared" ref="AB11:AB12" si="35">AA11/30</f>
        <v>5</v>
      </c>
      <c r="AC11" s="5">
        <f t="shared" ref="AC11:AC15" si="36">31*8</f>
        <v>248</v>
      </c>
      <c r="AD11" s="5"/>
      <c r="AE11" s="5"/>
      <c r="AF11" s="5"/>
      <c r="AG11" s="5"/>
      <c r="AH11" s="5"/>
      <c r="AI11" s="5"/>
      <c r="AJ11" s="11">
        <f t="shared" si="7"/>
        <v>248</v>
      </c>
      <c r="AK11" s="12">
        <f t="shared" ref="AK11:AK15" si="37">AJ11/31</f>
        <v>8</v>
      </c>
      <c r="AL11" s="5">
        <f>31*5</f>
        <v>155</v>
      </c>
      <c r="AM11" s="5"/>
      <c r="AN11" s="5"/>
      <c r="AO11" s="5"/>
      <c r="AP11" s="5"/>
      <c r="AQ11" s="5"/>
      <c r="AR11" s="5"/>
      <c r="AS11" s="11">
        <f t="shared" si="9"/>
        <v>155</v>
      </c>
      <c r="AT11" s="12">
        <f t="shared" ref="AT11:AT16" si="38">AS11/31</f>
        <v>5</v>
      </c>
      <c r="AU11" s="5">
        <f>20</f>
        <v>20</v>
      </c>
      <c r="AV11" s="5"/>
      <c r="AW11" s="5"/>
      <c r="AX11" s="5"/>
      <c r="AY11" s="5"/>
      <c r="AZ11" s="5"/>
      <c r="BA11" s="5"/>
      <c r="BB11" s="11">
        <f t="shared" si="11"/>
        <v>20</v>
      </c>
      <c r="BD11" s="5">
        <v>0</v>
      </c>
      <c r="BE11" s="5"/>
      <c r="BF11" s="5"/>
      <c r="BG11" s="5"/>
      <c r="BH11" s="5"/>
      <c r="BI11" s="5"/>
      <c r="BJ11" s="5"/>
      <c r="BK11" s="11">
        <f t="shared" si="13"/>
        <v>0</v>
      </c>
      <c r="BM11" s="5">
        <v>0</v>
      </c>
      <c r="BN11" s="5"/>
      <c r="BO11" s="5"/>
      <c r="BP11" s="5"/>
      <c r="BQ11" s="5"/>
      <c r="BR11" s="5"/>
      <c r="BS11" s="5"/>
      <c r="BT11" s="11">
        <f t="shared" si="15"/>
        <v>0</v>
      </c>
      <c r="BV11" s="5">
        <f t="shared" si="21"/>
        <v>697</v>
      </c>
      <c r="BW11" s="5">
        <f t="shared" si="18"/>
        <v>0</v>
      </c>
      <c r="BX11" s="5">
        <f t="shared" si="18"/>
        <v>0</v>
      </c>
      <c r="BY11" s="5">
        <f t="shared" si="18"/>
        <v>0</v>
      </c>
      <c r="BZ11" s="5">
        <f t="shared" si="18"/>
        <v>0</v>
      </c>
      <c r="CA11" s="5">
        <f t="shared" si="18"/>
        <v>0</v>
      </c>
      <c r="CB11" s="5"/>
      <c r="CC11" s="11">
        <f t="shared" si="17"/>
        <v>697</v>
      </c>
      <c r="CD11" s="12">
        <f t="shared" si="22"/>
        <v>22</v>
      </c>
    </row>
    <row r="12" spans="1:82">
      <c r="A12" s="13" t="s">
        <v>17</v>
      </c>
      <c r="B12" s="5">
        <v>0</v>
      </c>
      <c r="C12" s="5"/>
      <c r="D12" s="5"/>
      <c r="E12" s="5"/>
      <c r="F12" s="5"/>
      <c r="G12" s="5"/>
      <c r="H12" s="5"/>
      <c r="I12" s="11">
        <f t="shared" si="1"/>
        <v>0</v>
      </c>
      <c r="J12" s="12"/>
      <c r="K12" s="5">
        <f t="shared" si="32"/>
        <v>124</v>
      </c>
      <c r="L12" s="5"/>
      <c r="M12" s="5"/>
      <c r="N12" s="5"/>
      <c r="O12" s="5"/>
      <c r="P12" s="5"/>
      <c r="Q12" s="5"/>
      <c r="R12" s="11">
        <f t="shared" si="3"/>
        <v>124</v>
      </c>
      <c r="S12" s="12">
        <f t="shared" si="33"/>
        <v>4</v>
      </c>
      <c r="T12" s="5">
        <f t="shared" si="34"/>
        <v>150</v>
      </c>
      <c r="U12" s="5"/>
      <c r="V12" s="5"/>
      <c r="W12" s="5"/>
      <c r="X12" s="5"/>
      <c r="Y12" s="5"/>
      <c r="Z12" s="5"/>
      <c r="AA12" s="11">
        <f t="shared" si="5"/>
        <v>150</v>
      </c>
      <c r="AB12" s="12">
        <f t="shared" si="35"/>
        <v>5</v>
      </c>
      <c r="AC12" s="5">
        <f t="shared" si="36"/>
        <v>248</v>
      </c>
      <c r="AD12" s="5"/>
      <c r="AE12" s="5"/>
      <c r="AF12" s="5"/>
      <c r="AG12" s="5"/>
      <c r="AH12" s="5"/>
      <c r="AI12" s="5"/>
      <c r="AJ12" s="11">
        <f t="shared" si="7"/>
        <v>248</v>
      </c>
      <c r="AK12" s="12">
        <f t="shared" si="37"/>
        <v>8</v>
      </c>
      <c r="AL12" s="5">
        <f>31*6</f>
        <v>186</v>
      </c>
      <c r="AM12" s="5"/>
      <c r="AN12" s="5"/>
      <c r="AO12" s="5"/>
      <c r="AP12" s="5"/>
      <c r="AQ12" s="5"/>
      <c r="AR12" s="5"/>
      <c r="AS12" s="11">
        <f t="shared" si="9"/>
        <v>186</v>
      </c>
      <c r="AT12" s="12">
        <f t="shared" si="38"/>
        <v>6</v>
      </c>
      <c r="AU12" s="5">
        <f>20</f>
        <v>20</v>
      </c>
      <c r="AV12" s="5"/>
      <c r="AW12" s="5"/>
      <c r="AX12" s="5"/>
      <c r="AY12" s="5"/>
      <c r="AZ12" s="5"/>
      <c r="BA12" s="5"/>
      <c r="BB12" s="11">
        <f t="shared" si="11"/>
        <v>20</v>
      </c>
      <c r="BD12" s="5">
        <v>0</v>
      </c>
      <c r="BE12" s="5"/>
      <c r="BF12" s="5"/>
      <c r="BG12" s="5"/>
      <c r="BH12" s="5"/>
      <c r="BI12" s="5"/>
      <c r="BJ12" s="5"/>
      <c r="BK12" s="11">
        <f t="shared" si="13"/>
        <v>0</v>
      </c>
      <c r="BM12" s="5">
        <v>0</v>
      </c>
      <c r="BN12" s="5"/>
      <c r="BO12" s="5"/>
      <c r="BP12" s="5"/>
      <c r="BQ12" s="5"/>
      <c r="BR12" s="5"/>
      <c r="BS12" s="5"/>
      <c r="BT12" s="11">
        <f t="shared" si="15"/>
        <v>0</v>
      </c>
      <c r="BV12" s="5">
        <f t="shared" si="21"/>
        <v>728</v>
      </c>
      <c r="BW12" s="5">
        <f t="shared" si="18"/>
        <v>0</v>
      </c>
      <c r="BX12" s="5">
        <f t="shared" si="18"/>
        <v>0</v>
      </c>
      <c r="BY12" s="5">
        <f t="shared" si="18"/>
        <v>0</v>
      </c>
      <c r="BZ12" s="5">
        <f t="shared" si="18"/>
        <v>0</v>
      </c>
      <c r="CA12" s="5">
        <f t="shared" si="18"/>
        <v>0</v>
      </c>
      <c r="CB12" s="5"/>
      <c r="CC12" s="11">
        <f t="shared" si="17"/>
        <v>728</v>
      </c>
      <c r="CD12" s="12">
        <f t="shared" si="22"/>
        <v>23</v>
      </c>
    </row>
    <row r="13" spans="1:82">
      <c r="A13" s="13" t="s">
        <v>18</v>
      </c>
      <c r="B13" s="5">
        <v>0</v>
      </c>
      <c r="C13" s="5"/>
      <c r="D13" s="5"/>
      <c r="E13" s="5"/>
      <c r="F13" s="5"/>
      <c r="G13" s="5"/>
      <c r="H13" s="5"/>
      <c r="I13" s="11">
        <f t="shared" si="1"/>
        <v>0</v>
      </c>
      <c r="K13" s="5">
        <v>0</v>
      </c>
      <c r="L13" s="5"/>
      <c r="M13" s="5"/>
      <c r="N13" s="5"/>
      <c r="O13" s="5"/>
      <c r="P13" s="5"/>
      <c r="Q13" s="5"/>
      <c r="R13" s="11">
        <f t="shared" si="3"/>
        <v>0</v>
      </c>
      <c r="T13" s="5">
        <v>0</v>
      </c>
      <c r="U13" s="5"/>
      <c r="V13" s="5"/>
      <c r="W13" s="5"/>
      <c r="X13" s="5"/>
      <c r="Y13" s="5"/>
      <c r="Z13" s="5"/>
      <c r="AA13" s="11">
        <f t="shared" si="5"/>
        <v>0</v>
      </c>
      <c r="AC13" s="5">
        <f t="shared" si="36"/>
        <v>248</v>
      </c>
      <c r="AD13" s="5"/>
      <c r="AE13" s="5"/>
      <c r="AF13" s="5"/>
      <c r="AG13" s="5"/>
      <c r="AH13" s="5"/>
      <c r="AI13" s="5"/>
      <c r="AJ13" s="11">
        <f t="shared" si="7"/>
        <v>248</v>
      </c>
      <c r="AK13" s="12">
        <f t="shared" si="37"/>
        <v>8</v>
      </c>
      <c r="AL13" s="5">
        <f>31*9</f>
        <v>279</v>
      </c>
      <c r="AM13" s="5"/>
      <c r="AN13" s="5"/>
      <c r="AO13" s="5"/>
      <c r="AP13" s="5"/>
      <c r="AQ13" s="5"/>
      <c r="AR13" s="5"/>
      <c r="AS13" s="11">
        <f t="shared" si="9"/>
        <v>279</v>
      </c>
      <c r="AT13" s="12">
        <f t="shared" si="38"/>
        <v>9</v>
      </c>
      <c r="AU13" s="5">
        <f>20</f>
        <v>20</v>
      </c>
      <c r="AV13" s="5"/>
      <c r="AW13" s="5"/>
      <c r="AX13" s="5"/>
      <c r="AY13" s="5"/>
      <c r="AZ13" s="5"/>
      <c r="BA13" s="5"/>
      <c r="BB13" s="11">
        <f t="shared" si="11"/>
        <v>20</v>
      </c>
      <c r="BD13" s="5">
        <v>0</v>
      </c>
      <c r="BE13" s="5"/>
      <c r="BF13" s="5"/>
      <c r="BG13" s="5"/>
      <c r="BH13" s="5"/>
      <c r="BI13" s="5"/>
      <c r="BJ13" s="5"/>
      <c r="BK13" s="11">
        <f t="shared" si="13"/>
        <v>0</v>
      </c>
      <c r="BM13" s="5">
        <v>0</v>
      </c>
      <c r="BN13" s="5"/>
      <c r="BO13" s="5"/>
      <c r="BP13" s="5"/>
      <c r="BQ13" s="5"/>
      <c r="BR13" s="5"/>
      <c r="BS13" s="5"/>
      <c r="BT13" s="11">
        <f t="shared" si="15"/>
        <v>0</v>
      </c>
      <c r="BV13" s="5">
        <f t="shared" si="21"/>
        <v>547</v>
      </c>
      <c r="BW13" s="5">
        <f t="shared" si="18"/>
        <v>0</v>
      </c>
      <c r="BX13" s="5">
        <f t="shared" si="18"/>
        <v>0</v>
      </c>
      <c r="BY13" s="5">
        <f t="shared" si="18"/>
        <v>0</v>
      </c>
      <c r="BZ13" s="5">
        <f t="shared" si="18"/>
        <v>0</v>
      </c>
      <c r="CA13" s="5">
        <f t="shared" si="18"/>
        <v>0</v>
      </c>
      <c r="CB13" s="5"/>
      <c r="CC13" s="11">
        <f t="shared" si="17"/>
        <v>547</v>
      </c>
      <c r="CD13" s="12">
        <f t="shared" si="22"/>
        <v>17</v>
      </c>
    </row>
    <row r="14" spans="1:82">
      <c r="A14" s="13" t="s">
        <v>19</v>
      </c>
      <c r="B14" s="5">
        <v>0</v>
      </c>
      <c r="C14" s="5"/>
      <c r="D14" s="5"/>
      <c r="E14" s="5"/>
      <c r="F14" s="5"/>
      <c r="G14" s="5"/>
      <c r="H14" s="5"/>
      <c r="I14" s="11">
        <f t="shared" si="1"/>
        <v>0</v>
      </c>
      <c r="K14" s="5">
        <v>0</v>
      </c>
      <c r="L14" s="5"/>
      <c r="M14" s="5"/>
      <c r="N14" s="5"/>
      <c r="O14" s="5"/>
      <c r="P14" s="5"/>
      <c r="Q14" s="5"/>
      <c r="R14" s="11">
        <f t="shared" si="3"/>
        <v>0</v>
      </c>
      <c r="T14" s="5">
        <v>0</v>
      </c>
      <c r="U14" s="5"/>
      <c r="V14" s="5"/>
      <c r="W14" s="5"/>
      <c r="X14" s="5"/>
      <c r="Y14" s="5"/>
      <c r="Z14" s="5"/>
      <c r="AA14" s="11">
        <f t="shared" si="5"/>
        <v>0</v>
      </c>
      <c r="AC14" s="5">
        <f t="shared" si="36"/>
        <v>248</v>
      </c>
      <c r="AD14" s="5"/>
      <c r="AE14" s="5"/>
      <c r="AF14" s="5"/>
      <c r="AG14" s="5"/>
      <c r="AH14" s="5"/>
      <c r="AI14" s="5"/>
      <c r="AJ14" s="11">
        <f t="shared" si="7"/>
        <v>248</v>
      </c>
      <c r="AK14" s="12">
        <f t="shared" si="37"/>
        <v>8</v>
      </c>
      <c r="AL14" s="5">
        <f>31*9</f>
        <v>279</v>
      </c>
      <c r="AM14" s="5"/>
      <c r="AN14" s="5"/>
      <c r="AO14" s="5"/>
      <c r="AP14" s="5"/>
      <c r="AQ14" s="5"/>
      <c r="AR14" s="5"/>
      <c r="AS14" s="11">
        <f t="shared" si="9"/>
        <v>279</v>
      </c>
      <c r="AT14" s="12">
        <f t="shared" si="38"/>
        <v>9</v>
      </c>
      <c r="AU14" s="5">
        <f>20</f>
        <v>20</v>
      </c>
      <c r="AV14" s="5"/>
      <c r="AW14" s="5"/>
      <c r="AX14" s="5"/>
      <c r="AY14" s="5"/>
      <c r="AZ14" s="5"/>
      <c r="BA14" s="5"/>
      <c r="BB14" s="11">
        <f t="shared" si="11"/>
        <v>20</v>
      </c>
      <c r="BD14" s="5">
        <v>0</v>
      </c>
      <c r="BE14" s="5"/>
      <c r="BF14" s="5"/>
      <c r="BG14" s="5"/>
      <c r="BH14" s="5"/>
      <c r="BI14" s="5"/>
      <c r="BJ14" s="5"/>
      <c r="BK14" s="11">
        <f t="shared" si="13"/>
        <v>0</v>
      </c>
      <c r="BM14" s="5">
        <v>0</v>
      </c>
      <c r="BN14" s="5"/>
      <c r="BO14" s="5"/>
      <c r="BP14" s="5"/>
      <c r="BQ14" s="5"/>
      <c r="BR14" s="5"/>
      <c r="BS14" s="5"/>
      <c r="BT14" s="11">
        <f t="shared" si="15"/>
        <v>0</v>
      </c>
      <c r="BV14" s="5">
        <f t="shared" si="21"/>
        <v>547</v>
      </c>
      <c r="BW14" s="5">
        <f t="shared" si="18"/>
        <v>0</v>
      </c>
      <c r="BX14" s="5">
        <f t="shared" si="18"/>
        <v>0</v>
      </c>
      <c r="BY14" s="5">
        <f t="shared" si="18"/>
        <v>0</v>
      </c>
      <c r="BZ14" s="5">
        <f t="shared" si="18"/>
        <v>0</v>
      </c>
      <c r="CA14" s="5">
        <f t="shared" si="18"/>
        <v>0</v>
      </c>
      <c r="CB14" s="5"/>
      <c r="CC14" s="11">
        <f t="shared" si="17"/>
        <v>547</v>
      </c>
      <c r="CD14" s="12">
        <f t="shared" si="22"/>
        <v>17</v>
      </c>
    </row>
    <row r="15" spans="1:82">
      <c r="A15" s="13" t="s">
        <v>20</v>
      </c>
      <c r="B15" s="5">
        <v>0</v>
      </c>
      <c r="C15" s="5"/>
      <c r="D15" s="5"/>
      <c r="E15" s="5"/>
      <c r="F15" s="5"/>
      <c r="G15" s="5"/>
      <c r="H15" s="5"/>
      <c r="I15" s="11">
        <f t="shared" si="1"/>
        <v>0</v>
      </c>
      <c r="K15" s="5">
        <v>0</v>
      </c>
      <c r="L15" s="5"/>
      <c r="M15" s="5"/>
      <c r="N15" s="5"/>
      <c r="O15" s="5"/>
      <c r="P15" s="5"/>
      <c r="Q15" s="5"/>
      <c r="R15" s="11">
        <f t="shared" si="3"/>
        <v>0</v>
      </c>
      <c r="T15" s="5">
        <v>0</v>
      </c>
      <c r="U15" s="5"/>
      <c r="V15" s="5"/>
      <c r="W15" s="5"/>
      <c r="X15" s="5"/>
      <c r="Y15" s="5"/>
      <c r="Z15" s="5"/>
      <c r="AA15" s="11">
        <f t="shared" si="5"/>
        <v>0</v>
      </c>
      <c r="AC15" s="5">
        <f t="shared" si="36"/>
        <v>248</v>
      </c>
      <c r="AD15" s="5"/>
      <c r="AE15" s="5"/>
      <c r="AF15" s="5"/>
      <c r="AG15" s="5"/>
      <c r="AH15" s="5"/>
      <c r="AI15" s="5"/>
      <c r="AJ15" s="11">
        <f t="shared" si="7"/>
        <v>248</v>
      </c>
      <c r="AK15" s="12">
        <f t="shared" si="37"/>
        <v>8</v>
      </c>
      <c r="AL15" s="5">
        <f>31*9</f>
        <v>279</v>
      </c>
      <c r="AM15" s="5"/>
      <c r="AN15" s="5"/>
      <c r="AO15" s="5"/>
      <c r="AP15" s="5"/>
      <c r="AQ15" s="5"/>
      <c r="AR15" s="5"/>
      <c r="AS15" s="11">
        <f t="shared" si="9"/>
        <v>279</v>
      </c>
      <c r="AT15" s="12">
        <f t="shared" si="38"/>
        <v>9</v>
      </c>
      <c r="AU15" s="5">
        <f>20</f>
        <v>20</v>
      </c>
      <c r="AV15" s="5"/>
      <c r="AW15" s="5"/>
      <c r="AX15" s="5"/>
      <c r="AY15" s="5"/>
      <c r="AZ15" s="5"/>
      <c r="BA15" s="5"/>
      <c r="BB15" s="11">
        <f t="shared" si="11"/>
        <v>20</v>
      </c>
      <c r="BD15" s="5">
        <v>0</v>
      </c>
      <c r="BE15" s="5"/>
      <c r="BF15" s="5"/>
      <c r="BG15" s="5"/>
      <c r="BH15" s="5"/>
      <c r="BI15" s="5"/>
      <c r="BJ15" s="5"/>
      <c r="BK15" s="11">
        <f t="shared" si="13"/>
        <v>0</v>
      </c>
      <c r="BM15" s="5">
        <v>0</v>
      </c>
      <c r="BN15" s="5"/>
      <c r="BO15" s="5"/>
      <c r="BP15" s="5"/>
      <c r="BQ15" s="5"/>
      <c r="BR15" s="5"/>
      <c r="BS15" s="5"/>
      <c r="BT15" s="11">
        <f t="shared" si="15"/>
        <v>0</v>
      </c>
      <c r="BV15" s="5">
        <f t="shared" si="21"/>
        <v>547</v>
      </c>
      <c r="BW15" s="5">
        <f t="shared" si="18"/>
        <v>0</v>
      </c>
      <c r="BX15" s="5">
        <f t="shared" si="18"/>
        <v>0</v>
      </c>
      <c r="BY15" s="5">
        <f t="shared" si="18"/>
        <v>0</v>
      </c>
      <c r="BZ15" s="5">
        <f t="shared" si="18"/>
        <v>0</v>
      </c>
      <c r="CA15" s="5">
        <f t="shared" si="18"/>
        <v>0</v>
      </c>
      <c r="CB15" s="5"/>
      <c r="CC15" s="11">
        <f t="shared" si="17"/>
        <v>547</v>
      </c>
      <c r="CD15" s="12">
        <f t="shared" si="22"/>
        <v>17</v>
      </c>
    </row>
    <row r="16" spans="1:82">
      <c r="A16" s="13" t="s">
        <v>21</v>
      </c>
      <c r="B16" s="5">
        <v>0</v>
      </c>
      <c r="C16" s="5"/>
      <c r="D16" s="5"/>
      <c r="E16" s="5"/>
      <c r="F16" s="5"/>
      <c r="G16" s="5"/>
      <c r="H16" s="5"/>
      <c r="I16" s="11">
        <f t="shared" si="1"/>
        <v>0</v>
      </c>
      <c r="K16" s="5">
        <v>0</v>
      </c>
      <c r="L16" s="5"/>
      <c r="M16" s="5"/>
      <c r="N16" s="5"/>
      <c r="O16" s="5"/>
      <c r="P16" s="5"/>
      <c r="Q16" s="5"/>
      <c r="R16" s="11">
        <f t="shared" si="3"/>
        <v>0</v>
      </c>
      <c r="T16" s="5">
        <v>0</v>
      </c>
      <c r="U16" s="5"/>
      <c r="V16" s="5"/>
      <c r="W16" s="5"/>
      <c r="X16" s="5"/>
      <c r="Y16" s="5"/>
      <c r="Z16" s="5"/>
      <c r="AA16" s="11">
        <f t="shared" si="5"/>
        <v>0</v>
      </c>
      <c r="AC16" s="5">
        <f>31*7</f>
        <v>217</v>
      </c>
      <c r="AD16" s="5"/>
      <c r="AE16" s="5"/>
      <c r="AF16" s="5"/>
      <c r="AG16" s="5"/>
      <c r="AH16" s="5"/>
      <c r="AI16" s="5"/>
      <c r="AJ16" s="11">
        <f t="shared" si="7"/>
        <v>217</v>
      </c>
      <c r="AK16" s="12">
        <f>AJ16/31</f>
        <v>7</v>
      </c>
      <c r="AL16" s="5">
        <f>31*8</f>
        <v>248</v>
      </c>
      <c r="AM16" s="5"/>
      <c r="AN16" s="5"/>
      <c r="AO16" s="5"/>
      <c r="AP16" s="5"/>
      <c r="AQ16" s="5"/>
      <c r="AR16" s="5"/>
      <c r="AS16" s="11">
        <f t="shared" si="9"/>
        <v>248</v>
      </c>
      <c r="AT16" s="12">
        <f t="shared" si="38"/>
        <v>8</v>
      </c>
      <c r="AU16" s="5">
        <f>20</f>
        <v>20</v>
      </c>
      <c r="AV16" s="5"/>
      <c r="AW16" s="5"/>
      <c r="AX16" s="5"/>
      <c r="AY16" s="5"/>
      <c r="AZ16" s="5"/>
      <c r="BA16" s="5"/>
      <c r="BB16" s="11">
        <f t="shared" si="11"/>
        <v>20</v>
      </c>
      <c r="BD16" s="5">
        <v>0</v>
      </c>
      <c r="BE16" s="5"/>
      <c r="BF16" s="5"/>
      <c r="BG16" s="5"/>
      <c r="BH16" s="5"/>
      <c r="BI16" s="5"/>
      <c r="BJ16" s="5"/>
      <c r="BK16" s="11">
        <f t="shared" si="13"/>
        <v>0</v>
      </c>
      <c r="BM16" s="5">
        <v>0</v>
      </c>
      <c r="BN16" s="5"/>
      <c r="BO16" s="5"/>
      <c r="BP16" s="5"/>
      <c r="BQ16" s="5"/>
      <c r="BR16" s="5"/>
      <c r="BS16" s="5"/>
      <c r="BT16" s="11">
        <f t="shared" si="15"/>
        <v>0</v>
      </c>
      <c r="BV16" s="5">
        <f t="shared" si="21"/>
        <v>485</v>
      </c>
      <c r="BW16" s="5">
        <f t="shared" si="18"/>
        <v>0</v>
      </c>
      <c r="BX16" s="5">
        <f t="shared" si="18"/>
        <v>0</v>
      </c>
      <c r="BY16" s="5">
        <f t="shared" si="18"/>
        <v>0</v>
      </c>
      <c r="BZ16" s="5">
        <f t="shared" si="18"/>
        <v>0</v>
      </c>
      <c r="CA16" s="5">
        <f t="shared" si="18"/>
        <v>0</v>
      </c>
      <c r="CB16" s="5"/>
      <c r="CC16" s="11">
        <f t="shared" si="17"/>
        <v>485</v>
      </c>
      <c r="CD16" s="12">
        <f t="shared" si="22"/>
        <v>15</v>
      </c>
    </row>
    <row r="17" spans="1:82" ht="15">
      <c r="A17" s="15" t="s">
        <v>8</v>
      </c>
      <c r="B17" s="9">
        <f t="shared" ref="B17:H17" si="39">SUM(B4:B16)</f>
        <v>930</v>
      </c>
      <c r="C17" s="9">
        <f t="shared" si="39"/>
        <v>0</v>
      </c>
      <c r="D17" s="9">
        <f t="shared" si="39"/>
        <v>0</v>
      </c>
      <c r="E17" s="9"/>
      <c r="F17" s="9">
        <f t="shared" si="39"/>
        <v>0</v>
      </c>
      <c r="G17" s="9">
        <f t="shared" si="39"/>
        <v>0</v>
      </c>
      <c r="H17" s="9">
        <f t="shared" si="39"/>
        <v>0</v>
      </c>
      <c r="I17" s="9">
        <f>SUM(I4:I16)</f>
        <v>930</v>
      </c>
      <c r="J17" s="106" t="b">
        <f>SUM(J4:J12)=I27</f>
        <v>1</v>
      </c>
      <c r="K17" s="9">
        <f t="shared" ref="K17:Q17" si="40">SUM(K4:K16)</f>
        <v>1032</v>
      </c>
      <c r="L17" s="9">
        <f t="shared" si="40"/>
        <v>0</v>
      </c>
      <c r="M17" s="9">
        <f t="shared" si="40"/>
        <v>0</v>
      </c>
      <c r="N17" s="9"/>
      <c r="O17" s="9">
        <f t="shared" si="40"/>
        <v>0</v>
      </c>
      <c r="P17" s="9">
        <f t="shared" si="40"/>
        <v>0</v>
      </c>
      <c r="Q17" s="9">
        <f t="shared" si="40"/>
        <v>0</v>
      </c>
      <c r="R17" s="9">
        <f>SUM(R4:R16)</f>
        <v>1032</v>
      </c>
      <c r="S17" s="106" t="b">
        <f>SUM(S4:S12)=R27</f>
        <v>1</v>
      </c>
      <c r="T17" s="9">
        <f t="shared" ref="T17:Z17" si="41">SUM(T4:T16)</f>
        <v>1245</v>
      </c>
      <c r="U17" s="9">
        <f t="shared" si="41"/>
        <v>0</v>
      </c>
      <c r="V17" s="9">
        <f t="shared" si="41"/>
        <v>0</v>
      </c>
      <c r="W17" s="9"/>
      <c r="X17" s="9">
        <f t="shared" si="41"/>
        <v>0</v>
      </c>
      <c r="Y17" s="9">
        <f t="shared" si="41"/>
        <v>0</v>
      </c>
      <c r="Z17" s="9">
        <f t="shared" si="41"/>
        <v>0</v>
      </c>
      <c r="AA17" s="9">
        <f>SUM(AA4:AA16)</f>
        <v>1245</v>
      </c>
      <c r="AB17" s="106" t="b">
        <f>SUM(AB4:AB12)=AA27</f>
        <v>1</v>
      </c>
      <c r="AC17" s="9">
        <f t="shared" ref="AC17:AI17" si="42">SUM(AC4:AC16)</f>
        <v>2515</v>
      </c>
      <c r="AD17" s="9">
        <f t="shared" si="42"/>
        <v>0</v>
      </c>
      <c r="AE17" s="9">
        <f t="shared" si="42"/>
        <v>0</v>
      </c>
      <c r="AF17" s="9"/>
      <c r="AG17" s="9">
        <f t="shared" si="42"/>
        <v>0</v>
      </c>
      <c r="AH17" s="9">
        <f t="shared" si="42"/>
        <v>0</v>
      </c>
      <c r="AI17" s="9">
        <f t="shared" si="42"/>
        <v>0</v>
      </c>
      <c r="AJ17" s="9">
        <f>SUM(AJ4:AJ16)</f>
        <v>2515</v>
      </c>
      <c r="AK17" s="106" t="b">
        <f>SUM(AK4:AK16)=AJ27</f>
        <v>1</v>
      </c>
      <c r="AL17" s="9">
        <f t="shared" ref="AL17:AR17" si="43">SUM(AL4:AL16)</f>
        <v>2371</v>
      </c>
      <c r="AM17" s="9">
        <f t="shared" si="43"/>
        <v>0</v>
      </c>
      <c r="AN17" s="9">
        <f t="shared" si="43"/>
        <v>0</v>
      </c>
      <c r="AO17" s="9"/>
      <c r="AP17" s="9">
        <f t="shared" si="43"/>
        <v>0</v>
      </c>
      <c r="AQ17" s="9">
        <f t="shared" si="43"/>
        <v>0</v>
      </c>
      <c r="AR17" s="9">
        <f t="shared" si="43"/>
        <v>0</v>
      </c>
      <c r="AS17" s="9">
        <f>SUM(AS4:AS16)</f>
        <v>2371</v>
      </c>
      <c r="AT17" s="106" t="b">
        <f>SUM(AT4:AT16)=AS27</f>
        <v>1</v>
      </c>
      <c r="AU17" s="9">
        <f t="shared" ref="AU17:BA17" si="44">SUM(AU4:AU16)</f>
        <v>140</v>
      </c>
      <c r="AV17" s="9">
        <f t="shared" si="44"/>
        <v>0</v>
      </c>
      <c r="AW17" s="9">
        <f t="shared" si="44"/>
        <v>0</v>
      </c>
      <c r="AX17" s="9"/>
      <c r="AY17" s="9">
        <f t="shared" si="44"/>
        <v>0</v>
      </c>
      <c r="AZ17" s="9">
        <f t="shared" si="44"/>
        <v>0</v>
      </c>
      <c r="BA17" s="9">
        <f t="shared" si="44"/>
        <v>0</v>
      </c>
      <c r="BB17" s="9">
        <f>SUM(BB4:BB16)</f>
        <v>140</v>
      </c>
      <c r="BC17" s="106" t="b">
        <f>SUM(BC4:BC16)=BB27</f>
        <v>1</v>
      </c>
      <c r="BD17" s="9">
        <f t="shared" ref="BD17:BJ17" si="45">SUM(BD4:BD16)</f>
        <v>421</v>
      </c>
      <c r="BE17" s="9">
        <f t="shared" si="45"/>
        <v>0</v>
      </c>
      <c r="BF17" s="9">
        <f t="shared" si="45"/>
        <v>0</v>
      </c>
      <c r="BG17" s="9"/>
      <c r="BH17" s="9">
        <f t="shared" si="45"/>
        <v>0</v>
      </c>
      <c r="BI17" s="9">
        <f t="shared" si="45"/>
        <v>0</v>
      </c>
      <c r="BJ17" s="9">
        <f t="shared" si="45"/>
        <v>0</v>
      </c>
      <c r="BK17" s="9">
        <f>SUM(BK4:BK16)</f>
        <v>421</v>
      </c>
      <c r="BL17" s="106" t="b">
        <f>SUM(BL4:BL16)=BK27</f>
        <v>1</v>
      </c>
      <c r="BM17" s="9">
        <f t="shared" ref="BM17:BS17" si="46">SUM(BM4:BM16)</f>
        <v>0</v>
      </c>
      <c r="BN17" s="9">
        <f t="shared" si="46"/>
        <v>0</v>
      </c>
      <c r="BO17" s="9">
        <f t="shared" si="46"/>
        <v>0</v>
      </c>
      <c r="BP17" s="9"/>
      <c r="BQ17" s="9">
        <f t="shared" si="46"/>
        <v>0</v>
      </c>
      <c r="BR17" s="9">
        <f t="shared" si="46"/>
        <v>0</v>
      </c>
      <c r="BS17" s="9">
        <f t="shared" si="46"/>
        <v>0</v>
      </c>
      <c r="BT17" s="9">
        <f>SUM(BT4:BT16)</f>
        <v>0</v>
      </c>
      <c r="BV17" s="9">
        <f t="shared" ref="BV17:BX17" si="47">SUM(BV4:BV16)</f>
        <v>8654</v>
      </c>
      <c r="BW17" s="9">
        <f t="shared" si="47"/>
        <v>0</v>
      </c>
      <c r="BX17" s="9">
        <f t="shared" si="47"/>
        <v>0</v>
      </c>
      <c r="BY17" s="9"/>
      <c r="BZ17" s="9">
        <f t="shared" ref="BZ17:CB17" si="48">SUM(BZ4:BZ16)</f>
        <v>0</v>
      </c>
      <c r="CA17" s="9">
        <f t="shared" si="48"/>
        <v>0</v>
      </c>
      <c r="CB17" s="9">
        <f t="shared" si="48"/>
        <v>0</v>
      </c>
      <c r="CC17" s="9">
        <f>SUM(CC4:CC16)</f>
        <v>8654</v>
      </c>
      <c r="CD17" s="106" t="b">
        <f>SUM(CD4:CD16)=CC27</f>
        <v>1</v>
      </c>
    </row>
    <row r="18" spans="1:82">
      <c r="A18" s="13"/>
      <c r="B18" s="5"/>
      <c r="C18" s="16"/>
      <c r="D18" s="16"/>
      <c r="E18" s="16"/>
      <c r="F18" s="16"/>
      <c r="G18" s="16"/>
      <c r="H18" s="16"/>
      <c r="I18" s="16"/>
      <c r="J18" s="7"/>
      <c r="K18" s="5"/>
      <c r="L18" s="16"/>
      <c r="M18" s="16"/>
      <c r="N18" s="16"/>
      <c r="O18" s="16"/>
      <c r="P18" s="16"/>
      <c r="Q18" s="16"/>
      <c r="R18" s="16"/>
      <c r="T18" s="5"/>
      <c r="U18" s="16"/>
      <c r="V18" s="16"/>
      <c r="W18" s="16"/>
      <c r="X18" s="16"/>
      <c r="Y18" s="16"/>
      <c r="Z18" s="16"/>
      <c r="AA18" s="16"/>
      <c r="AC18" s="5"/>
      <c r="AD18" s="16"/>
      <c r="AE18" s="16"/>
      <c r="AF18" s="16"/>
      <c r="AG18" s="16"/>
      <c r="AH18" s="16"/>
      <c r="AI18" s="16"/>
      <c r="AJ18" s="16"/>
      <c r="AL18" s="5"/>
      <c r="AM18" s="16"/>
      <c r="AN18" s="16"/>
      <c r="AO18" s="16"/>
      <c r="AP18" s="16"/>
      <c r="AQ18" s="16"/>
      <c r="AR18" s="16"/>
      <c r="AS18" s="16"/>
      <c r="AU18" s="5"/>
      <c r="AV18" s="16"/>
      <c r="AW18" s="16"/>
      <c r="AX18" s="16"/>
      <c r="AY18" s="16"/>
      <c r="AZ18" s="16"/>
      <c r="BA18" s="16"/>
      <c r="BB18" s="16"/>
      <c r="BD18" s="5"/>
      <c r="BE18" s="16"/>
      <c r="BF18" s="16"/>
      <c r="BG18" s="16"/>
      <c r="BH18" s="16"/>
      <c r="BI18" s="16"/>
      <c r="BJ18" s="16"/>
      <c r="BK18" s="16"/>
      <c r="BM18" s="5"/>
      <c r="BN18" s="16"/>
      <c r="BO18" s="16"/>
      <c r="BP18" s="16"/>
      <c r="BQ18" s="16"/>
      <c r="BR18" s="16"/>
      <c r="BS18" s="16"/>
      <c r="BT18" s="16"/>
      <c r="BV18" s="5"/>
      <c r="BW18" s="16"/>
      <c r="BX18" s="16"/>
      <c r="BY18" s="16"/>
      <c r="BZ18" s="16"/>
      <c r="CA18" s="16"/>
      <c r="CB18" s="16"/>
      <c r="CC18" s="16"/>
    </row>
    <row r="19" spans="1:82" ht="15">
      <c r="A19" s="17" t="s">
        <v>22</v>
      </c>
      <c r="B19" s="18" t="str">
        <f t="shared" ref="B19:I19" si="49">B1</f>
        <v>Operating</v>
      </c>
      <c r="C19" s="18" t="str">
        <f t="shared" si="49"/>
        <v>SPED</v>
      </c>
      <c r="D19" s="18" t="str">
        <f t="shared" si="49"/>
        <v>NSLP</v>
      </c>
      <c r="E19" s="18" t="str">
        <f t="shared" si="49"/>
        <v>Other</v>
      </c>
      <c r="F19" s="18" t="str">
        <f t="shared" si="49"/>
        <v>Title I</v>
      </c>
      <c r="G19" s="18" t="str">
        <f t="shared" si="49"/>
        <v>SGF</v>
      </c>
      <c r="H19" s="18" t="str">
        <f t="shared" si="49"/>
        <v>Title III</v>
      </c>
      <c r="I19" s="18" t="str">
        <f t="shared" si="49"/>
        <v>Horizon</v>
      </c>
      <c r="J19" s="19"/>
      <c r="K19" s="18" t="str">
        <f t="shared" ref="K19:R19" si="50">K1</f>
        <v>Operating</v>
      </c>
      <c r="L19" s="18" t="str">
        <f t="shared" si="50"/>
        <v>SPED</v>
      </c>
      <c r="M19" s="18" t="str">
        <f t="shared" si="50"/>
        <v>NSLP</v>
      </c>
      <c r="N19" s="18" t="str">
        <f t="shared" si="50"/>
        <v>Other</v>
      </c>
      <c r="O19" s="18" t="str">
        <f t="shared" si="50"/>
        <v>Title I</v>
      </c>
      <c r="P19" s="18" t="str">
        <f t="shared" si="50"/>
        <v>SGF</v>
      </c>
      <c r="Q19" s="18" t="str">
        <f t="shared" si="50"/>
        <v>Title III</v>
      </c>
      <c r="R19" s="18" t="str">
        <f t="shared" si="50"/>
        <v>St. Rose</v>
      </c>
      <c r="T19" s="18" t="str">
        <f t="shared" ref="T19:AA19" si="51">T1</f>
        <v>Operating</v>
      </c>
      <c r="U19" s="18" t="str">
        <f t="shared" si="51"/>
        <v>SPED</v>
      </c>
      <c r="V19" s="18" t="str">
        <f t="shared" si="51"/>
        <v>NSLP</v>
      </c>
      <c r="W19" s="18" t="str">
        <f t="shared" si="51"/>
        <v>Other</v>
      </c>
      <c r="X19" s="18" t="str">
        <f t="shared" si="51"/>
        <v>Title I</v>
      </c>
      <c r="Y19" s="18" t="str">
        <f t="shared" si="51"/>
        <v>SGF</v>
      </c>
      <c r="Z19" s="18" t="str">
        <f t="shared" si="51"/>
        <v>Title III</v>
      </c>
      <c r="AA19" s="18" t="str">
        <f t="shared" si="51"/>
        <v>Inspirada</v>
      </c>
      <c r="AC19" s="18" t="str">
        <f t="shared" ref="AC19:AJ19" si="52">AC1</f>
        <v>Operating</v>
      </c>
      <c r="AD19" s="18" t="str">
        <f t="shared" si="52"/>
        <v>SPED</v>
      </c>
      <c r="AE19" s="18" t="str">
        <f t="shared" si="52"/>
        <v>NSLP</v>
      </c>
      <c r="AF19" s="18" t="str">
        <f t="shared" si="52"/>
        <v>Other</v>
      </c>
      <c r="AG19" s="18" t="str">
        <f t="shared" si="52"/>
        <v>Title I</v>
      </c>
      <c r="AH19" s="18" t="str">
        <f t="shared" si="52"/>
        <v>SGF</v>
      </c>
      <c r="AI19" s="18" t="str">
        <f t="shared" si="52"/>
        <v>Title III</v>
      </c>
      <c r="AJ19" s="18" t="str">
        <f t="shared" si="52"/>
        <v>Cadence</v>
      </c>
      <c r="AL19" s="18" t="str">
        <f t="shared" ref="AL19:AS19" si="53">AL1</f>
        <v>Operating</v>
      </c>
      <c r="AM19" s="18" t="str">
        <f t="shared" si="53"/>
        <v>SPED</v>
      </c>
      <c r="AN19" s="18" t="str">
        <f t="shared" si="53"/>
        <v>NSLP</v>
      </c>
      <c r="AO19" s="18" t="str">
        <f t="shared" si="53"/>
        <v>Other</v>
      </c>
      <c r="AP19" s="18" t="str">
        <f t="shared" si="53"/>
        <v>Title I</v>
      </c>
      <c r="AQ19" s="18" t="str">
        <f t="shared" si="53"/>
        <v>SGF</v>
      </c>
      <c r="AR19" s="18" t="str">
        <f t="shared" si="53"/>
        <v>Title III</v>
      </c>
      <c r="AS19" s="18" t="str">
        <f t="shared" si="53"/>
        <v>Sloan</v>
      </c>
      <c r="AU19" s="18" t="str">
        <f t="shared" ref="AU19:BB19" si="54">AU1</f>
        <v>Operating</v>
      </c>
      <c r="AV19" s="18" t="str">
        <f t="shared" si="54"/>
        <v>SPED</v>
      </c>
      <c r="AW19" s="18" t="str">
        <f t="shared" si="54"/>
        <v>NSLP</v>
      </c>
      <c r="AX19" s="18" t="str">
        <f t="shared" si="54"/>
        <v>Other</v>
      </c>
      <c r="AY19" s="18" t="str">
        <f t="shared" si="54"/>
        <v>Title I</v>
      </c>
      <c r="AZ19" s="18" t="str">
        <f t="shared" si="54"/>
        <v>SGF</v>
      </c>
      <c r="BA19" s="18" t="str">
        <f t="shared" si="54"/>
        <v>Title III</v>
      </c>
      <c r="BB19" s="18" t="str">
        <f t="shared" si="54"/>
        <v>Virtual</v>
      </c>
      <c r="BD19" s="18" t="str">
        <f t="shared" ref="BD19:BK19" si="55">BD1</f>
        <v>Operating</v>
      </c>
      <c r="BE19" s="18" t="str">
        <f t="shared" si="55"/>
        <v>SPED</v>
      </c>
      <c r="BF19" s="18" t="str">
        <f t="shared" si="55"/>
        <v>NSLP</v>
      </c>
      <c r="BG19" s="18" t="str">
        <f t="shared" si="55"/>
        <v>Other</v>
      </c>
      <c r="BH19" s="18" t="str">
        <f t="shared" si="55"/>
        <v>Title I</v>
      </c>
      <c r="BI19" s="18" t="str">
        <f t="shared" si="55"/>
        <v>SGF</v>
      </c>
      <c r="BJ19" s="18" t="str">
        <f t="shared" si="55"/>
        <v>Title III</v>
      </c>
      <c r="BK19" s="18" t="str">
        <f t="shared" si="55"/>
        <v>Springs</v>
      </c>
      <c r="BM19" s="18" t="str">
        <f t="shared" ref="BM19:BT19" si="56">BM1</f>
        <v>Operating</v>
      </c>
      <c r="BN19" s="18" t="str">
        <f t="shared" si="56"/>
        <v>SPED</v>
      </c>
      <c r="BO19" s="18" t="str">
        <f t="shared" si="56"/>
        <v>NSLP</v>
      </c>
      <c r="BP19" s="18" t="str">
        <f t="shared" si="56"/>
        <v>Other</v>
      </c>
      <c r="BQ19" s="18" t="str">
        <f t="shared" si="56"/>
        <v>Title I</v>
      </c>
      <c r="BR19" s="18" t="str">
        <f t="shared" si="56"/>
        <v>SGF</v>
      </c>
      <c r="BS19" s="18" t="str">
        <f t="shared" si="56"/>
        <v>Title III</v>
      </c>
      <c r="BT19" s="18" t="str">
        <f t="shared" si="56"/>
        <v>Exec. Office</v>
      </c>
      <c r="BV19" s="18" t="str">
        <f t="shared" ref="BV19:CC19" si="57">BV1</f>
        <v>Operating</v>
      </c>
      <c r="BW19" s="18" t="str">
        <f t="shared" si="57"/>
        <v>SPED</v>
      </c>
      <c r="BX19" s="18" t="str">
        <f t="shared" si="57"/>
        <v>NSLP</v>
      </c>
      <c r="BY19" s="18" t="str">
        <f t="shared" si="57"/>
        <v>Other</v>
      </c>
      <c r="BZ19" s="18" t="str">
        <f t="shared" si="57"/>
        <v>Title I</v>
      </c>
      <c r="CA19" s="18" t="str">
        <f t="shared" si="57"/>
        <v>SGF</v>
      </c>
      <c r="CB19" s="18" t="str">
        <f t="shared" si="57"/>
        <v>Title III</v>
      </c>
      <c r="CC19" s="18" t="str">
        <f t="shared" si="57"/>
        <v>Systemwide</v>
      </c>
    </row>
    <row r="20" spans="1:82">
      <c r="A20" s="13" t="s">
        <v>23</v>
      </c>
      <c r="B20" s="5"/>
      <c r="C20" s="5">
        <f>('25-26'!C20/'25-26'!B17)*'26-27'!B17</f>
        <v>124.3425414364641</v>
      </c>
      <c r="D20" s="5"/>
      <c r="E20" s="5"/>
      <c r="F20" s="5"/>
      <c r="G20" s="5"/>
      <c r="H20" s="5"/>
      <c r="I20" s="5">
        <f>SUM(B20:H20)</f>
        <v>124.3425414364641</v>
      </c>
      <c r="J20" s="20"/>
      <c r="K20" s="5"/>
      <c r="L20" s="5">
        <f>('25-26'!L20/'25-26'!K17)*'26-27'!K17</f>
        <v>73.714285714285708</v>
      </c>
      <c r="M20" s="5"/>
      <c r="N20" s="5"/>
      <c r="O20" s="5"/>
      <c r="P20" s="5"/>
      <c r="Q20" s="5"/>
      <c r="R20" s="5">
        <f>SUM(K20:Q20)</f>
        <v>73.714285714285708</v>
      </c>
      <c r="T20" s="5"/>
      <c r="U20" s="5">
        <f>('25-26'!U20/'25-26'!T17)*'26-27'!T17</f>
        <v>112.70746018440904</v>
      </c>
      <c r="V20" s="5"/>
      <c r="W20" s="5"/>
      <c r="X20" s="5"/>
      <c r="Y20" s="5"/>
      <c r="Z20" s="5"/>
      <c r="AA20" s="5">
        <f>SUM(T20:Z20)</f>
        <v>112.70746018440904</v>
      </c>
      <c r="AC20" s="5"/>
      <c r="AD20" s="5">
        <f>('25-26'!AD20/'25-26'!AC17)*'26-27'!AC17</f>
        <v>299.04619332763042</v>
      </c>
      <c r="AE20" s="5"/>
      <c r="AF20" s="5"/>
      <c r="AG20" s="5"/>
      <c r="AH20" s="5"/>
      <c r="AI20" s="5"/>
      <c r="AJ20" s="5">
        <f>SUM(AC20:AI20)</f>
        <v>299.04619332763042</v>
      </c>
      <c r="AL20" s="5"/>
      <c r="AM20" s="5">
        <f>('25-26'!AM20/'25-26'!AL17)*'26-27'!AL17</f>
        <v>222.37912813738441</v>
      </c>
      <c r="AN20" s="5"/>
      <c r="AO20" s="5"/>
      <c r="AP20" s="5"/>
      <c r="AQ20" s="5"/>
      <c r="AR20" s="5"/>
      <c r="AS20" s="5">
        <f>SUM(AL20:AR20)</f>
        <v>222.37912813738441</v>
      </c>
      <c r="AU20" s="5"/>
      <c r="AV20" s="5">
        <f>('25-26'!AV20/'25-26'!AU17)*'26-27'!AU17</f>
        <v>18.666666666666668</v>
      </c>
      <c r="AW20" s="5"/>
      <c r="AX20" s="5"/>
      <c r="AY20" s="5"/>
      <c r="AZ20" s="5"/>
      <c r="BA20" s="5"/>
      <c r="BB20" s="5">
        <f>SUM(AU20:BA20)</f>
        <v>18.666666666666668</v>
      </c>
      <c r="BD20" s="5"/>
      <c r="BE20" s="5">
        <f>('25-26'!BE20/'25-26'!BD17)*'26-27'!BD17</f>
        <v>26.906015037593985</v>
      </c>
      <c r="BF20" s="5"/>
      <c r="BG20" s="5"/>
      <c r="BH20" s="5"/>
      <c r="BI20" s="5"/>
      <c r="BJ20" s="5"/>
      <c r="BK20" s="5">
        <f>SUM(BD20:BJ20)</f>
        <v>26.906015037593985</v>
      </c>
      <c r="BM20" s="5">
        <v>0</v>
      </c>
      <c r="BN20" s="5">
        <v>0</v>
      </c>
      <c r="BO20" s="5"/>
      <c r="BP20" s="5"/>
      <c r="BQ20" s="5"/>
      <c r="BR20" s="5"/>
      <c r="BS20" s="5"/>
      <c r="BT20" s="5">
        <f>SUM(BM20:BS20)</f>
        <v>0</v>
      </c>
      <c r="BV20" s="5">
        <f>B20+K20+T20+AC20+AL20+AU20+BD20+BM20</f>
        <v>0</v>
      </c>
      <c r="BW20" s="5">
        <f t="shared" ref="BW20:CA24" si="58">C20+L20+U20+AD20+AM20+AV20+BE20+BN20</f>
        <v>877.76229050443442</v>
      </c>
      <c r="BX20" s="5">
        <f t="shared" si="58"/>
        <v>0</v>
      </c>
      <c r="BY20" s="5">
        <f t="shared" si="58"/>
        <v>0</v>
      </c>
      <c r="BZ20" s="5">
        <f t="shared" si="58"/>
        <v>0</v>
      </c>
      <c r="CA20" s="5">
        <f t="shared" si="58"/>
        <v>0</v>
      </c>
      <c r="CB20" s="5"/>
      <c r="CC20" s="5">
        <f>SUM(BV20:CB20)</f>
        <v>877.76229050443442</v>
      </c>
    </row>
    <row r="21" spans="1:82">
      <c r="A21" s="13" t="s">
        <v>24</v>
      </c>
      <c r="B21" s="5">
        <f>('25-26'!B21/'25-26'!B17)*'26-27'!B17</f>
        <v>36.994475138121544</v>
      </c>
      <c r="C21" s="5"/>
      <c r="D21" s="5"/>
      <c r="E21" s="5"/>
      <c r="F21" s="5"/>
      <c r="G21" s="5"/>
      <c r="H21" s="5"/>
      <c r="I21" s="5">
        <f>SUM(B21:H21)</f>
        <v>36.994475138121544</v>
      </c>
      <c r="J21" s="20"/>
      <c r="K21" s="5">
        <f>('25-26'!K21/'25-26'!K17)*'26-27'!K17</f>
        <v>22.215264187866925</v>
      </c>
      <c r="L21" s="5"/>
      <c r="M21" s="5"/>
      <c r="N21" s="5"/>
      <c r="O21" s="5"/>
      <c r="P21" s="5"/>
      <c r="Q21" s="5"/>
      <c r="R21" s="5">
        <f>SUM(K21:Q21)</f>
        <v>22.215264187866925</v>
      </c>
      <c r="T21" s="5">
        <f>('25-26'!T21/'25-26'!T17)*'26-27'!T17</f>
        <v>17.740989103101423</v>
      </c>
      <c r="U21" s="5"/>
      <c r="V21" s="5"/>
      <c r="W21" s="5"/>
      <c r="X21" s="5"/>
      <c r="Y21" s="5"/>
      <c r="Z21" s="5"/>
      <c r="AA21" s="5">
        <f>SUM(T21:Z21)</f>
        <v>17.740989103101423</v>
      </c>
      <c r="AC21" s="5">
        <f>('25-26'!AC21/'25-26'!AC17)*'26-27'!AC17</f>
        <v>45.179640718562872</v>
      </c>
      <c r="AD21" s="5"/>
      <c r="AE21" s="5"/>
      <c r="AF21" s="5"/>
      <c r="AG21" s="5"/>
      <c r="AH21" s="5"/>
      <c r="AI21" s="5"/>
      <c r="AJ21" s="5">
        <f>SUM(AC21:AI21)</f>
        <v>45.179640718562872</v>
      </c>
      <c r="AL21" s="5">
        <f>('25-26'!AL21/'25-26'!AL17)*'26-27'!AL17</f>
        <v>42.805372082782917</v>
      </c>
      <c r="AM21" s="5"/>
      <c r="AN21" s="5"/>
      <c r="AO21" s="5"/>
      <c r="AP21" s="5"/>
      <c r="AQ21" s="5"/>
      <c r="AR21" s="5"/>
      <c r="AS21" s="5">
        <f>SUM(AL21:AR21)</f>
        <v>42.805372082782917</v>
      </c>
      <c r="AU21" s="5">
        <f>('25-26'!AU21/'25-26'!AU17)*'26-27'!AU17</f>
        <v>1.037037037037037</v>
      </c>
      <c r="AV21" s="5"/>
      <c r="AW21" s="5"/>
      <c r="AX21" s="5"/>
      <c r="AY21" s="5"/>
      <c r="AZ21" s="5"/>
      <c r="BA21" s="5"/>
      <c r="BB21" s="5">
        <f>SUM(AU21:BA21)</f>
        <v>1.037037037037037</v>
      </c>
      <c r="BD21" s="5">
        <f>('25-26'!BD21/'25-26'!BD17)*'26-27'!BD17</f>
        <v>34.819548872180448</v>
      </c>
      <c r="BE21" s="5"/>
      <c r="BF21" s="5"/>
      <c r="BG21" s="5"/>
      <c r="BH21" s="5"/>
      <c r="BI21" s="5"/>
      <c r="BJ21" s="5"/>
      <c r="BK21" s="5">
        <f>SUM(BD21:BJ21)</f>
        <v>34.819548872180448</v>
      </c>
      <c r="BM21" s="5"/>
      <c r="BN21" s="5"/>
      <c r="BO21" s="5"/>
      <c r="BP21" s="5"/>
      <c r="BQ21" s="5"/>
      <c r="BR21" s="5"/>
      <c r="BS21" s="5"/>
      <c r="BT21" s="5">
        <f>SUM(BM21:BS21)</f>
        <v>0</v>
      </c>
      <c r="BV21" s="5">
        <f t="shared" ref="BV21:BV24" si="59">B21+K21+T21+AC21+AL21+AU21+BD21+BM21</f>
        <v>200.7923271396532</v>
      </c>
      <c r="BW21" s="5">
        <f t="shared" si="58"/>
        <v>0</v>
      </c>
      <c r="BX21" s="5">
        <f t="shared" si="58"/>
        <v>0</v>
      </c>
      <c r="BY21" s="5">
        <f t="shared" si="58"/>
        <v>0</v>
      </c>
      <c r="BZ21" s="5">
        <f t="shared" si="58"/>
        <v>0</v>
      </c>
      <c r="CA21" s="5">
        <f t="shared" si="58"/>
        <v>0</v>
      </c>
      <c r="CB21" s="5"/>
      <c r="CC21" s="5">
        <f>SUM(BV21:CB21)</f>
        <v>200.7923271396532</v>
      </c>
    </row>
    <row r="22" spans="1:82">
      <c r="A22" s="13" t="s">
        <v>25</v>
      </c>
      <c r="B22" s="11">
        <f>('25-26'!B22/'25-26'!B17)*'26-27'!B17</f>
        <v>52.408839779005518</v>
      </c>
      <c r="C22" s="11"/>
      <c r="D22" s="11"/>
      <c r="E22" s="11"/>
      <c r="F22" s="11"/>
      <c r="G22" s="11"/>
      <c r="H22" s="11"/>
      <c r="I22" s="5">
        <f>SUM(B22:H22)</f>
        <v>52.408839779005518</v>
      </c>
      <c r="K22" s="11">
        <f>('25-26'!K22/'25-26'!K17)*'26-27'!K17</f>
        <v>67.655577299412911</v>
      </c>
      <c r="L22" s="11"/>
      <c r="M22" s="11"/>
      <c r="N22" s="11"/>
      <c r="O22" s="11"/>
      <c r="P22" s="11"/>
      <c r="Q22" s="11"/>
      <c r="R22" s="5">
        <f>SUM(K22:Q22)</f>
        <v>67.655577299412911</v>
      </c>
      <c r="T22" s="11">
        <f>('25-26'!T22/'25-26'!T17)*'26-27'!T17</f>
        <v>115.83822296730931</v>
      </c>
      <c r="U22" s="11"/>
      <c r="V22" s="11"/>
      <c r="W22" s="11"/>
      <c r="X22" s="11"/>
      <c r="Y22" s="11"/>
      <c r="Z22" s="11"/>
      <c r="AA22" s="5">
        <f>SUM(T22:Z22)</f>
        <v>115.83822296730931</v>
      </c>
      <c r="AC22" s="11">
        <f>('25-26'!AC22/'25-26'!AC17)*'26-27'!AC17</f>
        <v>68.845166809238663</v>
      </c>
      <c r="AD22" s="11"/>
      <c r="AE22" s="11"/>
      <c r="AF22" s="11"/>
      <c r="AG22" s="11"/>
      <c r="AH22" s="11"/>
      <c r="AI22" s="11"/>
      <c r="AJ22" s="5">
        <f>SUM(AC22:AI22)</f>
        <v>68.845166809238663</v>
      </c>
      <c r="AL22" s="11">
        <f>('25-26'!AL22/'25-26'!AL17)*'26-27'!AL17</f>
        <v>119.01981505944518</v>
      </c>
      <c r="AM22" s="11"/>
      <c r="AN22" s="11"/>
      <c r="AO22" s="11"/>
      <c r="AP22" s="11"/>
      <c r="AQ22" s="11"/>
      <c r="AR22" s="11"/>
      <c r="AS22" s="5">
        <f>SUM(AL22:AR22)</f>
        <v>119.01981505944518</v>
      </c>
      <c r="AU22" s="11">
        <f>('25-26'!AU22/'25-26'!AU17)*'26-27'!AU17</f>
        <v>0</v>
      </c>
      <c r="AV22" s="11"/>
      <c r="AW22" s="11"/>
      <c r="AX22" s="11"/>
      <c r="AY22" s="11"/>
      <c r="AZ22" s="11"/>
      <c r="BA22" s="11"/>
      <c r="BB22" s="5">
        <f>SUM(AU22:BA22)</f>
        <v>0</v>
      </c>
      <c r="BD22" s="11">
        <f>('25-26'!BD22/'25-26'!BD17)*'26-27'!BD17</f>
        <v>0</v>
      </c>
      <c r="BE22" s="11"/>
      <c r="BF22" s="11"/>
      <c r="BG22" s="11"/>
      <c r="BH22" s="11"/>
      <c r="BI22" s="11"/>
      <c r="BJ22" s="11"/>
      <c r="BK22" s="5">
        <f>SUM(BD22:BJ22)</f>
        <v>0</v>
      </c>
      <c r="BM22" s="11"/>
      <c r="BN22" s="11"/>
      <c r="BO22" s="11"/>
      <c r="BP22" s="11"/>
      <c r="BQ22" s="11"/>
      <c r="BR22" s="11"/>
      <c r="BS22" s="11"/>
      <c r="BT22" s="5">
        <f>SUM(BM22:BS22)</f>
        <v>0</v>
      </c>
      <c r="BV22" s="5">
        <f t="shared" si="59"/>
        <v>423.76762191441156</v>
      </c>
      <c r="BW22" s="5">
        <f t="shared" si="58"/>
        <v>0</v>
      </c>
      <c r="BX22" s="5">
        <f t="shared" si="58"/>
        <v>0</v>
      </c>
      <c r="BY22" s="5">
        <f t="shared" si="58"/>
        <v>0</v>
      </c>
      <c r="BZ22" s="5">
        <f t="shared" si="58"/>
        <v>0</v>
      </c>
      <c r="CA22" s="5">
        <f t="shared" si="58"/>
        <v>0</v>
      </c>
      <c r="CB22" s="11"/>
      <c r="CC22" s="5">
        <f>SUM(BV22:CB22)</f>
        <v>423.76762191441156</v>
      </c>
    </row>
    <row r="23" spans="1:82">
      <c r="A23" s="13" t="s">
        <v>26</v>
      </c>
      <c r="B23" s="21"/>
      <c r="C23" s="21"/>
      <c r="D23" s="22">
        <v>0.4073</v>
      </c>
      <c r="E23" s="22"/>
      <c r="F23" s="22"/>
      <c r="G23" s="22"/>
      <c r="H23" s="22"/>
      <c r="I23" s="21">
        <f>SUM(B23:H23)</f>
        <v>0.4073</v>
      </c>
      <c r="J23" s="23"/>
      <c r="K23" s="21"/>
      <c r="L23" s="21"/>
      <c r="M23" s="22">
        <v>0.31319999999999998</v>
      </c>
      <c r="N23" s="22"/>
      <c r="O23" s="22"/>
      <c r="P23" s="22"/>
      <c r="Q23" s="22"/>
      <c r="R23" s="21">
        <f>SUM(K23:Q23)</f>
        <v>0.31319999999999998</v>
      </c>
      <c r="T23" s="21"/>
      <c r="U23" s="21"/>
      <c r="V23" s="22">
        <v>0.13780000000000001</v>
      </c>
      <c r="W23" s="22"/>
      <c r="X23" s="22"/>
      <c r="Y23" s="22"/>
      <c r="Z23" s="22"/>
      <c r="AA23" s="21">
        <f>SUM(T23:Z23)</f>
        <v>0.13780000000000001</v>
      </c>
      <c r="AC23" s="21"/>
      <c r="AD23" s="21"/>
      <c r="AE23" s="22">
        <v>0.31780000000000003</v>
      </c>
      <c r="AF23" s="22"/>
      <c r="AG23" s="22"/>
      <c r="AH23" s="22"/>
      <c r="AI23" s="22"/>
      <c r="AJ23" s="21">
        <f>SUM(AC23:AI23)</f>
        <v>0.31780000000000003</v>
      </c>
      <c r="AL23" s="21"/>
      <c r="AM23" s="21"/>
      <c r="AN23" s="104">
        <v>0.1978</v>
      </c>
      <c r="AO23" s="22"/>
      <c r="AP23" s="22"/>
      <c r="AQ23" s="22"/>
      <c r="AR23" s="22"/>
      <c r="AS23" s="21">
        <f>SUM(AL23:AR23)</f>
        <v>0.1978</v>
      </c>
      <c r="AU23" s="21"/>
      <c r="AV23" s="21"/>
      <c r="AW23" s="22">
        <v>0.24360000000000001</v>
      </c>
      <c r="AX23" s="22"/>
      <c r="AY23" s="22"/>
      <c r="AZ23" s="22"/>
      <c r="BA23" s="22"/>
      <c r="BB23" s="21">
        <f>SUM(AU23:BA23)</f>
        <v>0.24360000000000001</v>
      </c>
      <c r="BD23" s="21"/>
      <c r="BE23" s="21"/>
      <c r="BF23" s="22">
        <v>1</v>
      </c>
      <c r="BG23" s="22"/>
      <c r="BH23" s="22"/>
      <c r="BI23" s="22"/>
      <c r="BJ23" s="22"/>
      <c r="BK23" s="21">
        <f>SUM(BD23:BJ23)</f>
        <v>1</v>
      </c>
      <c r="BM23" s="21"/>
      <c r="BN23" s="21"/>
      <c r="BO23" s="22"/>
      <c r="BP23" s="22"/>
      <c r="BQ23" s="22"/>
      <c r="BR23" s="22"/>
      <c r="BS23" s="22"/>
      <c r="BT23" s="21">
        <f>SUM(BM23:BS23)</f>
        <v>0</v>
      </c>
      <c r="BV23" s="5">
        <f t="shared" si="59"/>
        <v>0</v>
      </c>
      <c r="BW23" s="5">
        <f t="shared" si="58"/>
        <v>0</v>
      </c>
      <c r="BX23" s="101">
        <f>AVERAGE(D23,M23,V23,AE23,AN23,AW23,BF23,BO23)</f>
        <v>0.37392857142857139</v>
      </c>
      <c r="BY23" s="5">
        <f t="shared" si="58"/>
        <v>0</v>
      </c>
      <c r="BZ23" s="5">
        <f t="shared" si="58"/>
        <v>0</v>
      </c>
      <c r="CA23" s="5">
        <f t="shared" si="58"/>
        <v>0</v>
      </c>
      <c r="CB23" s="22"/>
      <c r="CC23" s="21">
        <f>SUM(BV23:CB23)</f>
        <v>0.37392857142857139</v>
      </c>
    </row>
    <row r="24" spans="1:82">
      <c r="A24" s="13" t="s">
        <v>27</v>
      </c>
      <c r="B24" s="5"/>
      <c r="C24" s="5"/>
      <c r="D24" s="5"/>
      <c r="E24" s="5"/>
      <c r="F24" s="5"/>
      <c r="G24" s="5"/>
      <c r="H24" s="5"/>
      <c r="I24" s="5">
        <f>SUM(B24:H24)</f>
        <v>0</v>
      </c>
      <c r="J24" s="23"/>
      <c r="K24" s="5"/>
      <c r="L24" s="5"/>
      <c r="M24" s="5"/>
      <c r="N24" s="5"/>
      <c r="O24" s="5"/>
      <c r="P24" s="5"/>
      <c r="Q24" s="5"/>
      <c r="R24" s="5">
        <f>SUM(K24:Q24)</f>
        <v>0</v>
      </c>
      <c r="T24" s="5">
        <v>0</v>
      </c>
      <c r="U24" s="5"/>
      <c r="V24" s="5"/>
      <c r="W24" s="5"/>
      <c r="X24" s="5"/>
      <c r="Y24" s="5"/>
      <c r="Z24" s="5"/>
      <c r="AA24" s="5">
        <f>SUM(T24:Z24)</f>
        <v>0</v>
      </c>
      <c r="AC24" s="5">
        <v>152</v>
      </c>
      <c r="AD24" s="5"/>
      <c r="AE24" s="5"/>
      <c r="AF24" s="5"/>
      <c r="AG24" s="5"/>
      <c r="AH24" s="5"/>
      <c r="AI24" s="5"/>
      <c r="AJ24" s="5">
        <f>SUM(AC24:AI24)</f>
        <v>152</v>
      </c>
      <c r="AL24" s="5">
        <v>122</v>
      </c>
      <c r="AM24" s="5"/>
      <c r="AN24" s="5"/>
      <c r="AO24" s="5"/>
      <c r="AP24" s="5"/>
      <c r="AQ24" s="5"/>
      <c r="AR24" s="5"/>
      <c r="AS24" s="5">
        <f>SUM(AL24:AR24)</f>
        <v>122</v>
      </c>
      <c r="AU24" s="5">
        <v>39</v>
      </c>
      <c r="AV24" s="5"/>
      <c r="AW24" s="5"/>
      <c r="AX24" s="5"/>
      <c r="AY24" s="5"/>
      <c r="AZ24" s="5"/>
      <c r="BA24" s="5"/>
      <c r="BB24" s="5">
        <f>SUM(AU24:BA24)</f>
        <v>39</v>
      </c>
      <c r="BD24" s="5">
        <v>35</v>
      </c>
      <c r="BE24" s="5"/>
      <c r="BF24" s="5"/>
      <c r="BG24" s="5"/>
      <c r="BH24" s="5"/>
      <c r="BI24" s="5"/>
      <c r="BJ24" s="5"/>
      <c r="BK24" s="5">
        <f>SUM(BD24:BJ24)</f>
        <v>35</v>
      </c>
      <c r="BM24" s="5"/>
      <c r="BN24" s="5"/>
      <c r="BO24" s="5"/>
      <c r="BP24" s="5"/>
      <c r="BQ24" s="5"/>
      <c r="BR24" s="5"/>
      <c r="BS24" s="5"/>
      <c r="BT24" s="5">
        <f>SUM(BM24:BS24)</f>
        <v>0</v>
      </c>
      <c r="BV24" s="5">
        <f t="shared" si="59"/>
        <v>348</v>
      </c>
      <c r="BW24" s="5">
        <f t="shared" si="58"/>
        <v>0</v>
      </c>
      <c r="BX24" s="5">
        <f t="shared" si="58"/>
        <v>0</v>
      </c>
      <c r="BY24" s="5">
        <f t="shared" si="58"/>
        <v>0</v>
      </c>
      <c r="BZ24" s="5">
        <f t="shared" si="58"/>
        <v>0</v>
      </c>
      <c r="CA24" s="5">
        <f t="shared" si="58"/>
        <v>0</v>
      </c>
      <c r="CB24" s="5"/>
      <c r="CC24" s="5">
        <f>SUM(BV24:CB24)</f>
        <v>348</v>
      </c>
    </row>
    <row r="25" spans="1:82">
      <c r="A25" s="13"/>
      <c r="B25" s="5"/>
      <c r="C25" s="5"/>
      <c r="D25" s="5"/>
      <c r="E25" s="5"/>
      <c r="F25" s="5"/>
      <c r="G25" s="5"/>
      <c r="H25" s="5"/>
      <c r="I25" s="5"/>
      <c r="J25" s="7"/>
      <c r="K25" s="5"/>
      <c r="L25" s="5"/>
      <c r="M25" s="5"/>
      <c r="N25" s="5"/>
      <c r="O25" s="5"/>
      <c r="P25" s="5"/>
      <c r="Q25" s="5"/>
      <c r="R25" s="5"/>
      <c r="T25" s="5"/>
      <c r="U25" s="5"/>
      <c r="V25" s="5"/>
      <c r="W25" s="5"/>
      <c r="X25" s="5"/>
      <c r="Y25" s="5"/>
      <c r="Z25" s="5"/>
      <c r="AA25" s="5"/>
      <c r="AC25" s="5"/>
      <c r="AD25" s="5"/>
      <c r="AE25" s="5"/>
      <c r="AF25" s="5"/>
      <c r="AG25" s="5"/>
      <c r="AH25" s="5"/>
      <c r="AI25" s="5"/>
      <c r="AJ25" s="5"/>
      <c r="AL25" s="5"/>
      <c r="AM25" s="5"/>
      <c r="AN25" s="5"/>
      <c r="AO25" s="5"/>
      <c r="AP25" s="5"/>
      <c r="AQ25" s="5"/>
      <c r="AR25" s="5"/>
      <c r="AS25" s="5"/>
      <c r="AU25" s="5"/>
      <c r="AV25" s="5"/>
      <c r="AW25" s="5"/>
      <c r="AX25" s="5"/>
      <c r="AY25" s="5"/>
      <c r="AZ25" s="5"/>
      <c r="BA25" s="5"/>
      <c r="BB25" s="5"/>
      <c r="BD25" s="5"/>
      <c r="BE25" s="5"/>
      <c r="BF25" s="5"/>
      <c r="BG25" s="5"/>
      <c r="BH25" s="5"/>
      <c r="BI25" s="5"/>
      <c r="BJ25" s="5"/>
      <c r="BK25" s="5"/>
      <c r="BM25" s="5"/>
      <c r="BN25" s="5"/>
      <c r="BO25" s="5"/>
      <c r="BP25" s="5"/>
      <c r="BQ25" s="5"/>
      <c r="BR25" s="5"/>
      <c r="BS25" s="5"/>
      <c r="BT25" s="5"/>
      <c r="BV25" s="5"/>
      <c r="BW25" s="5"/>
      <c r="BX25" s="5"/>
      <c r="BY25" s="5"/>
      <c r="BZ25" s="5"/>
      <c r="CA25" s="5"/>
      <c r="CB25" s="5"/>
      <c r="CC25" s="5"/>
    </row>
    <row r="26" spans="1:82" ht="15">
      <c r="A26" s="24" t="s">
        <v>28</v>
      </c>
      <c r="B26" s="18" t="str">
        <f t="shared" ref="B26:I26" si="60">B1</f>
        <v>Operating</v>
      </c>
      <c r="C26" s="18" t="str">
        <f t="shared" si="60"/>
        <v>SPED</v>
      </c>
      <c r="D26" s="18" t="str">
        <f t="shared" si="60"/>
        <v>NSLP</v>
      </c>
      <c r="E26" s="18" t="str">
        <f t="shared" si="60"/>
        <v>Other</v>
      </c>
      <c r="F26" s="18" t="str">
        <f t="shared" si="60"/>
        <v>Title I</v>
      </c>
      <c r="G26" s="18" t="str">
        <f t="shared" si="60"/>
        <v>SGF</v>
      </c>
      <c r="H26" s="18" t="str">
        <f t="shared" si="60"/>
        <v>Title III</v>
      </c>
      <c r="I26" s="18" t="str">
        <f t="shared" si="60"/>
        <v>Horizon</v>
      </c>
      <c r="J26" s="19"/>
      <c r="K26" s="18" t="str">
        <f t="shared" ref="K26:R26" si="61">K1</f>
        <v>Operating</v>
      </c>
      <c r="L26" s="18" t="str">
        <f t="shared" si="61"/>
        <v>SPED</v>
      </c>
      <c r="M26" s="18" t="str">
        <f t="shared" si="61"/>
        <v>NSLP</v>
      </c>
      <c r="N26" s="18" t="str">
        <f t="shared" si="61"/>
        <v>Other</v>
      </c>
      <c r="O26" s="18" t="str">
        <f t="shared" si="61"/>
        <v>Title I</v>
      </c>
      <c r="P26" s="18" t="str">
        <f t="shared" si="61"/>
        <v>SGF</v>
      </c>
      <c r="Q26" s="18" t="str">
        <f t="shared" si="61"/>
        <v>Title III</v>
      </c>
      <c r="R26" s="18" t="str">
        <f t="shared" si="61"/>
        <v>St. Rose</v>
      </c>
      <c r="T26" s="18" t="str">
        <f t="shared" ref="T26:AA26" si="62">T1</f>
        <v>Operating</v>
      </c>
      <c r="U26" s="18" t="str">
        <f t="shared" si="62"/>
        <v>SPED</v>
      </c>
      <c r="V26" s="18" t="str">
        <f t="shared" si="62"/>
        <v>NSLP</v>
      </c>
      <c r="W26" s="18" t="str">
        <f t="shared" si="62"/>
        <v>Other</v>
      </c>
      <c r="X26" s="18" t="str">
        <f t="shared" si="62"/>
        <v>Title I</v>
      </c>
      <c r="Y26" s="18" t="str">
        <f t="shared" si="62"/>
        <v>SGF</v>
      </c>
      <c r="Z26" s="18" t="str">
        <f t="shared" si="62"/>
        <v>Title III</v>
      </c>
      <c r="AA26" s="18" t="str">
        <f t="shared" si="62"/>
        <v>Inspirada</v>
      </c>
      <c r="AC26" s="18" t="str">
        <f t="shared" ref="AC26:AJ26" si="63">AC1</f>
        <v>Operating</v>
      </c>
      <c r="AD26" s="18" t="str">
        <f t="shared" si="63"/>
        <v>SPED</v>
      </c>
      <c r="AE26" s="18" t="str">
        <f t="shared" si="63"/>
        <v>NSLP</v>
      </c>
      <c r="AF26" s="18" t="str">
        <f t="shared" si="63"/>
        <v>Other</v>
      </c>
      <c r="AG26" s="18" t="str">
        <f t="shared" si="63"/>
        <v>Title I</v>
      </c>
      <c r="AH26" s="18" t="str">
        <f t="shared" si="63"/>
        <v>SGF</v>
      </c>
      <c r="AI26" s="18" t="str">
        <f t="shared" si="63"/>
        <v>Title III</v>
      </c>
      <c r="AJ26" s="18" t="str">
        <f t="shared" si="63"/>
        <v>Cadence</v>
      </c>
      <c r="AL26" s="18" t="str">
        <f t="shared" ref="AL26:AS26" si="64">AL1</f>
        <v>Operating</v>
      </c>
      <c r="AM26" s="18" t="str">
        <f t="shared" si="64"/>
        <v>SPED</v>
      </c>
      <c r="AN26" s="18" t="str">
        <f t="shared" si="64"/>
        <v>NSLP</v>
      </c>
      <c r="AO26" s="18" t="str">
        <f t="shared" si="64"/>
        <v>Other</v>
      </c>
      <c r="AP26" s="18" t="str">
        <f t="shared" si="64"/>
        <v>Title I</v>
      </c>
      <c r="AQ26" s="18" t="str">
        <f t="shared" si="64"/>
        <v>SGF</v>
      </c>
      <c r="AR26" s="18" t="str">
        <f t="shared" si="64"/>
        <v>Title III</v>
      </c>
      <c r="AS26" s="18" t="str">
        <f t="shared" si="64"/>
        <v>Sloan</v>
      </c>
      <c r="AU26" s="18" t="str">
        <f t="shared" ref="AU26:BB26" si="65">AU1</f>
        <v>Operating</v>
      </c>
      <c r="AV26" s="18" t="str">
        <f t="shared" si="65"/>
        <v>SPED</v>
      </c>
      <c r="AW26" s="18" t="str">
        <f t="shared" si="65"/>
        <v>NSLP</v>
      </c>
      <c r="AX26" s="18" t="str">
        <f t="shared" si="65"/>
        <v>Other</v>
      </c>
      <c r="AY26" s="18" t="str">
        <f t="shared" si="65"/>
        <v>Title I</v>
      </c>
      <c r="AZ26" s="18" t="str">
        <f t="shared" si="65"/>
        <v>SGF</v>
      </c>
      <c r="BA26" s="18" t="str">
        <f t="shared" si="65"/>
        <v>Title III</v>
      </c>
      <c r="BB26" s="18" t="str">
        <f t="shared" si="65"/>
        <v>Virtual</v>
      </c>
      <c r="BD26" s="18" t="str">
        <f t="shared" ref="BD26:BK26" si="66">BD1</f>
        <v>Operating</v>
      </c>
      <c r="BE26" s="18" t="str">
        <f t="shared" si="66"/>
        <v>SPED</v>
      </c>
      <c r="BF26" s="18" t="str">
        <f t="shared" si="66"/>
        <v>NSLP</v>
      </c>
      <c r="BG26" s="18" t="str">
        <f t="shared" si="66"/>
        <v>Other</v>
      </c>
      <c r="BH26" s="18" t="str">
        <f t="shared" si="66"/>
        <v>Title I</v>
      </c>
      <c r="BI26" s="18" t="str">
        <f t="shared" si="66"/>
        <v>SGF</v>
      </c>
      <c r="BJ26" s="18" t="str">
        <f t="shared" si="66"/>
        <v>Title III</v>
      </c>
      <c r="BK26" s="18" t="str">
        <f t="shared" si="66"/>
        <v>Springs</v>
      </c>
      <c r="BM26" s="18" t="str">
        <f t="shared" ref="BM26:BT26" si="67">BM1</f>
        <v>Operating</v>
      </c>
      <c r="BN26" s="18" t="str">
        <f t="shared" si="67"/>
        <v>SPED</v>
      </c>
      <c r="BO26" s="18" t="str">
        <f t="shared" si="67"/>
        <v>NSLP</v>
      </c>
      <c r="BP26" s="18" t="str">
        <f t="shared" si="67"/>
        <v>Other</v>
      </c>
      <c r="BQ26" s="18" t="str">
        <f t="shared" si="67"/>
        <v>Title I</v>
      </c>
      <c r="BR26" s="18" t="str">
        <f t="shared" si="67"/>
        <v>SGF</v>
      </c>
      <c r="BS26" s="18" t="str">
        <f t="shared" si="67"/>
        <v>Title III</v>
      </c>
      <c r="BT26" s="18" t="str">
        <f t="shared" si="67"/>
        <v>Exec. Office</v>
      </c>
      <c r="BV26" s="18" t="str">
        <f t="shared" ref="BV26:CC26" si="68">BV1</f>
        <v>Operating</v>
      </c>
      <c r="BW26" s="18" t="str">
        <f t="shared" si="68"/>
        <v>SPED</v>
      </c>
      <c r="BX26" s="18" t="str">
        <f t="shared" si="68"/>
        <v>NSLP</v>
      </c>
      <c r="BY26" s="18" t="str">
        <f t="shared" si="68"/>
        <v>Other</v>
      </c>
      <c r="BZ26" s="18" t="str">
        <f t="shared" si="68"/>
        <v>Title I</v>
      </c>
      <c r="CA26" s="18" t="str">
        <f t="shared" si="68"/>
        <v>SGF</v>
      </c>
      <c r="CB26" s="18" t="str">
        <f t="shared" si="68"/>
        <v>Title III</v>
      </c>
      <c r="CC26" s="18" t="str">
        <f t="shared" si="68"/>
        <v>Systemwide</v>
      </c>
    </row>
    <row r="27" spans="1:82">
      <c r="A27" s="25" t="s">
        <v>29</v>
      </c>
      <c r="B27" s="26">
        <v>36</v>
      </c>
      <c r="C27" s="26"/>
      <c r="D27" s="26"/>
      <c r="E27" s="26"/>
      <c r="F27" s="26"/>
      <c r="G27" s="26"/>
      <c r="H27" s="26"/>
      <c r="I27" s="26">
        <f t="shared" ref="I27:I32" si="69">SUM(B27:H27)</f>
        <v>36</v>
      </c>
      <c r="J27" s="12">
        <f>I27/6</f>
        <v>6</v>
      </c>
      <c r="K27" s="26">
        <v>36</v>
      </c>
      <c r="L27" s="26"/>
      <c r="M27" s="26"/>
      <c r="N27" s="26"/>
      <c r="O27" s="26"/>
      <c r="P27" s="26"/>
      <c r="Q27" s="26"/>
      <c r="R27" s="26">
        <f t="shared" ref="R27:R32" si="70">SUM(K27:Q27)</f>
        <v>36</v>
      </c>
      <c r="S27" s="12">
        <f>R27/6</f>
        <v>6</v>
      </c>
      <c r="T27" s="26">
        <v>46</v>
      </c>
      <c r="U27" s="26"/>
      <c r="V27" s="26"/>
      <c r="W27" s="26"/>
      <c r="X27" s="26"/>
      <c r="Y27" s="26"/>
      <c r="Z27" s="26"/>
      <c r="AA27" s="26">
        <f t="shared" ref="AA27:AA32" si="71">SUM(T27:Z27)</f>
        <v>46</v>
      </c>
      <c r="AB27" s="12">
        <f>AA27/6</f>
        <v>7.666666666666667</v>
      </c>
      <c r="AC27" s="26">
        <v>85</v>
      </c>
      <c r="AD27" s="26"/>
      <c r="AE27" s="26"/>
      <c r="AF27" s="26"/>
      <c r="AG27" s="26"/>
      <c r="AH27" s="26"/>
      <c r="AI27" s="26"/>
      <c r="AJ27" s="26">
        <f t="shared" ref="AJ27:AJ32" si="72">SUM(AC27:AI27)</f>
        <v>85</v>
      </c>
      <c r="AK27" s="12">
        <f>AJ27/6</f>
        <v>14.166666666666666</v>
      </c>
      <c r="AL27" s="26">
        <v>81</v>
      </c>
      <c r="AM27" s="26"/>
      <c r="AN27" s="26"/>
      <c r="AO27" s="26"/>
      <c r="AP27" s="26"/>
      <c r="AQ27" s="26"/>
      <c r="AR27" s="26"/>
      <c r="AS27" s="26">
        <f t="shared" ref="AS27:AS32" si="73">SUM(AL27:AR27)</f>
        <v>81</v>
      </c>
      <c r="AT27" s="12">
        <f>AS27/6</f>
        <v>13.5</v>
      </c>
      <c r="AU27" s="26"/>
      <c r="AV27" s="26"/>
      <c r="AW27" s="26"/>
      <c r="AX27" s="26"/>
      <c r="AY27" s="26"/>
      <c r="AZ27" s="26"/>
      <c r="BA27" s="26"/>
      <c r="BB27" s="26">
        <f t="shared" ref="BB27:BB32" si="74">SUM(AU27:BA27)</f>
        <v>0</v>
      </c>
      <c r="BC27" s="12">
        <f>BB27/6</f>
        <v>0</v>
      </c>
      <c r="BD27" s="26">
        <v>17</v>
      </c>
      <c r="BE27" s="26"/>
      <c r="BF27" s="26"/>
      <c r="BG27" s="26"/>
      <c r="BH27" s="26"/>
      <c r="BI27" s="26"/>
      <c r="BJ27" s="26"/>
      <c r="BK27" s="26">
        <f t="shared" ref="BK27:BK32" si="75">SUM(BD27:BJ27)</f>
        <v>17</v>
      </c>
      <c r="BL27" s="12">
        <f>BK27/6</f>
        <v>2.8333333333333335</v>
      </c>
      <c r="BM27" s="26"/>
      <c r="BN27" s="26"/>
      <c r="BO27" s="26"/>
      <c r="BP27" s="26"/>
      <c r="BQ27" s="26"/>
      <c r="BR27" s="26"/>
      <c r="BS27" s="26"/>
      <c r="BT27" s="26">
        <f t="shared" ref="BT27:BT32" si="76">SUM(BM27:BS27)</f>
        <v>0</v>
      </c>
      <c r="BU27" s="12">
        <f>BT27/6</f>
        <v>0</v>
      </c>
      <c r="BV27" s="26">
        <f>B27+K27+T27+AC27+AL27+AU27+BD27+BM27</f>
        <v>301</v>
      </c>
      <c r="BW27" s="26">
        <f t="shared" ref="BW27:CA35" si="77">C27+L27+U27+AD27+AM27+AV27+BE27+BN27</f>
        <v>0</v>
      </c>
      <c r="BX27" s="26">
        <f t="shared" si="77"/>
        <v>0</v>
      </c>
      <c r="BY27" s="26">
        <f t="shared" si="77"/>
        <v>0</v>
      </c>
      <c r="BZ27" s="26">
        <f t="shared" si="77"/>
        <v>0</v>
      </c>
      <c r="CA27" s="26">
        <f t="shared" si="77"/>
        <v>0</v>
      </c>
      <c r="CB27" s="26"/>
      <c r="CC27" s="26">
        <f t="shared" ref="CC27:CC28" si="78">SUM(BV27:CB27)</f>
        <v>301</v>
      </c>
      <c r="CD27" s="12">
        <f>CC27/6</f>
        <v>50.166666666666664</v>
      </c>
    </row>
    <row r="28" spans="1:82">
      <c r="A28" s="25" t="s">
        <v>30</v>
      </c>
      <c r="B28" s="27">
        <v>0</v>
      </c>
      <c r="C28" s="27">
        <v>5</v>
      </c>
      <c r="D28" s="27"/>
      <c r="E28" s="27"/>
      <c r="F28" s="27"/>
      <c r="G28" s="27"/>
      <c r="H28" s="27"/>
      <c r="I28" s="26">
        <f t="shared" si="69"/>
        <v>5</v>
      </c>
      <c r="J28" s="12">
        <f>C20/21</f>
        <v>5.9210734017363862</v>
      </c>
      <c r="K28" s="27">
        <v>0</v>
      </c>
      <c r="L28" s="27">
        <v>4</v>
      </c>
      <c r="M28" s="27"/>
      <c r="N28" s="27"/>
      <c r="O28" s="27"/>
      <c r="P28" s="27"/>
      <c r="Q28" s="27"/>
      <c r="R28" s="26">
        <f t="shared" si="70"/>
        <v>4</v>
      </c>
      <c r="S28" s="12">
        <f>L20/21</f>
        <v>3.510204081632653</v>
      </c>
      <c r="T28" s="27"/>
      <c r="U28" s="27">
        <v>5</v>
      </c>
      <c r="V28" s="27"/>
      <c r="W28" s="27"/>
      <c r="X28" s="27"/>
      <c r="Y28" s="27"/>
      <c r="Z28" s="27"/>
      <c r="AA28" s="26">
        <f t="shared" si="71"/>
        <v>5</v>
      </c>
      <c r="AB28" s="12">
        <f>U20/21</f>
        <v>5.3670219135432875</v>
      </c>
      <c r="AC28" s="27">
        <v>0</v>
      </c>
      <c r="AD28" s="27">
        <v>13</v>
      </c>
      <c r="AE28" s="27"/>
      <c r="AF28" s="27"/>
      <c r="AG28" s="27"/>
      <c r="AH28" s="27"/>
      <c r="AI28" s="27"/>
      <c r="AJ28" s="26">
        <f t="shared" si="72"/>
        <v>13</v>
      </c>
      <c r="AK28" s="12">
        <f>AD20/21</f>
        <v>14.240294920363354</v>
      </c>
      <c r="AL28" s="27">
        <v>0</v>
      </c>
      <c r="AM28" s="27">
        <v>12</v>
      </c>
      <c r="AN28" s="27"/>
      <c r="AO28" s="27"/>
      <c r="AP28" s="27"/>
      <c r="AQ28" s="27"/>
      <c r="AR28" s="27"/>
      <c r="AS28" s="26">
        <f t="shared" si="73"/>
        <v>12</v>
      </c>
      <c r="AT28" s="12">
        <f>AM20/21</f>
        <v>10.589482292256401</v>
      </c>
      <c r="AU28" s="27"/>
      <c r="AV28" s="27">
        <v>1</v>
      </c>
      <c r="AW28" s="27"/>
      <c r="AX28" s="27"/>
      <c r="AY28" s="27"/>
      <c r="AZ28" s="27"/>
      <c r="BA28" s="27"/>
      <c r="BB28" s="26">
        <f t="shared" si="74"/>
        <v>1</v>
      </c>
      <c r="BC28" s="12">
        <f>AV20/21</f>
        <v>0.88888888888888895</v>
      </c>
      <c r="BD28" s="27">
        <v>0</v>
      </c>
      <c r="BE28" s="27">
        <v>1</v>
      </c>
      <c r="BF28" s="27"/>
      <c r="BG28" s="27"/>
      <c r="BH28" s="27"/>
      <c r="BI28" s="27"/>
      <c r="BJ28" s="27"/>
      <c r="BK28" s="26">
        <f t="shared" si="75"/>
        <v>1</v>
      </c>
      <c r="BL28" s="12">
        <f>BE20/21</f>
        <v>1.2812388113139992</v>
      </c>
      <c r="BM28" s="27"/>
      <c r="BN28" s="27"/>
      <c r="BO28" s="27"/>
      <c r="BP28" s="27"/>
      <c r="BQ28" s="27"/>
      <c r="BR28" s="27"/>
      <c r="BS28" s="27"/>
      <c r="BT28" s="26">
        <f t="shared" si="76"/>
        <v>0</v>
      </c>
      <c r="BU28" s="12">
        <f>BN20/21</f>
        <v>0</v>
      </c>
      <c r="BV28" s="26">
        <f t="shared" ref="BV28:BV35" si="79">B28+K28+T28+AC28+AL28+AU28+BD28+BM28</f>
        <v>0</v>
      </c>
      <c r="BW28" s="26">
        <f t="shared" si="77"/>
        <v>41</v>
      </c>
      <c r="BX28" s="26">
        <f t="shared" si="77"/>
        <v>0</v>
      </c>
      <c r="BY28" s="26">
        <f t="shared" si="77"/>
        <v>0</v>
      </c>
      <c r="BZ28" s="26">
        <f t="shared" si="77"/>
        <v>0</v>
      </c>
      <c r="CA28" s="26">
        <f t="shared" si="77"/>
        <v>0</v>
      </c>
      <c r="CB28" s="27"/>
      <c r="CC28" s="26">
        <f t="shared" si="78"/>
        <v>41</v>
      </c>
      <c r="CD28" s="12">
        <f>BW20/21</f>
        <v>41.79820430973497</v>
      </c>
    </row>
    <row r="29" spans="1:82">
      <c r="A29" s="25" t="s">
        <v>31</v>
      </c>
      <c r="B29" s="26">
        <v>1</v>
      </c>
      <c r="C29" s="26"/>
      <c r="D29" s="26"/>
      <c r="E29" s="26"/>
      <c r="F29" s="26"/>
      <c r="G29" s="26"/>
      <c r="H29" s="26"/>
      <c r="I29" s="26">
        <f>SUM(B29:H29)</f>
        <v>1</v>
      </c>
      <c r="K29" s="26">
        <v>1</v>
      </c>
      <c r="L29" s="26"/>
      <c r="M29" s="26"/>
      <c r="N29" s="26"/>
      <c r="O29" s="26"/>
      <c r="P29" s="26"/>
      <c r="Q29" s="26"/>
      <c r="R29" s="26">
        <f>SUM(K29:Q29)</f>
        <v>1</v>
      </c>
      <c r="T29" s="26">
        <v>1</v>
      </c>
      <c r="U29" s="26"/>
      <c r="V29" s="26"/>
      <c r="W29" s="26"/>
      <c r="X29" s="26"/>
      <c r="Y29" s="26"/>
      <c r="Z29" s="26"/>
      <c r="AA29" s="26">
        <f>SUM(T29:Z29)</f>
        <v>1</v>
      </c>
      <c r="AC29" s="26">
        <v>2</v>
      </c>
      <c r="AD29" s="26"/>
      <c r="AE29" s="26"/>
      <c r="AF29" s="26"/>
      <c r="AG29" s="26"/>
      <c r="AH29" s="26"/>
      <c r="AI29" s="26"/>
      <c r="AJ29" s="26">
        <f>SUM(AC29:AI29)</f>
        <v>2</v>
      </c>
      <c r="AL29" s="26">
        <v>2</v>
      </c>
      <c r="AM29" s="26"/>
      <c r="AN29" s="26"/>
      <c r="AO29" s="26"/>
      <c r="AP29" s="26"/>
      <c r="AQ29" s="26"/>
      <c r="AR29" s="26"/>
      <c r="AS29" s="26">
        <f>SUM(AL29:AR29)</f>
        <v>2</v>
      </c>
      <c r="AU29" s="26"/>
      <c r="AV29" s="26"/>
      <c r="AW29" s="26"/>
      <c r="AX29" s="26"/>
      <c r="AY29" s="26"/>
      <c r="AZ29" s="26"/>
      <c r="BA29" s="26"/>
      <c r="BB29" s="26">
        <f>SUM(AU29:BA29)</f>
        <v>0</v>
      </c>
      <c r="BD29" s="26">
        <v>0</v>
      </c>
      <c r="BE29" s="26"/>
      <c r="BF29" s="26"/>
      <c r="BG29" s="26"/>
      <c r="BH29" s="26"/>
      <c r="BI29" s="26"/>
      <c r="BJ29" s="26"/>
      <c r="BK29" s="26">
        <f>SUM(BD29:BJ29)</f>
        <v>0</v>
      </c>
      <c r="BM29" s="26"/>
      <c r="BN29" s="26"/>
      <c r="BO29" s="26"/>
      <c r="BP29" s="26"/>
      <c r="BQ29" s="26"/>
      <c r="BR29" s="26"/>
      <c r="BS29" s="26"/>
      <c r="BT29" s="26">
        <f>SUM(BM29:BS29)</f>
        <v>0</v>
      </c>
      <c r="BV29" s="26">
        <f t="shared" si="79"/>
        <v>7</v>
      </c>
      <c r="BW29" s="26">
        <f t="shared" si="77"/>
        <v>0</v>
      </c>
      <c r="BX29" s="26">
        <f t="shared" si="77"/>
        <v>0</v>
      </c>
      <c r="BY29" s="26">
        <f t="shared" si="77"/>
        <v>0</v>
      </c>
      <c r="BZ29" s="26">
        <f t="shared" si="77"/>
        <v>0</v>
      </c>
      <c r="CA29" s="26">
        <f t="shared" si="77"/>
        <v>0</v>
      </c>
      <c r="CB29" s="26"/>
      <c r="CC29" s="26">
        <f>SUM(BV29:CB29)</f>
        <v>7</v>
      </c>
    </row>
    <row r="30" spans="1:82">
      <c r="A30" s="25" t="s">
        <v>32</v>
      </c>
      <c r="B30" s="26">
        <v>1</v>
      </c>
      <c r="C30" s="26"/>
      <c r="D30" s="26"/>
      <c r="E30" s="26"/>
      <c r="F30" s="26"/>
      <c r="G30" s="26"/>
      <c r="H30" s="26"/>
      <c r="I30" s="26">
        <f t="shared" si="69"/>
        <v>1</v>
      </c>
      <c r="K30" s="26">
        <v>1</v>
      </c>
      <c r="L30" s="26"/>
      <c r="M30" s="26"/>
      <c r="N30" s="26"/>
      <c r="O30" s="26"/>
      <c r="P30" s="26"/>
      <c r="Q30" s="26"/>
      <c r="R30" s="26">
        <f t="shared" si="70"/>
        <v>1</v>
      </c>
      <c r="T30" s="26">
        <v>1</v>
      </c>
      <c r="U30" s="26"/>
      <c r="V30" s="26"/>
      <c r="W30" s="26"/>
      <c r="X30" s="26"/>
      <c r="Y30" s="26"/>
      <c r="Z30" s="26"/>
      <c r="AA30" s="26">
        <f t="shared" si="71"/>
        <v>1</v>
      </c>
      <c r="AC30" s="26">
        <v>2</v>
      </c>
      <c r="AD30" s="26"/>
      <c r="AE30" s="26"/>
      <c r="AF30" s="26"/>
      <c r="AG30" s="26"/>
      <c r="AH30" s="26"/>
      <c r="AI30" s="26"/>
      <c r="AJ30" s="26">
        <f t="shared" si="72"/>
        <v>2</v>
      </c>
      <c r="AL30" s="26">
        <v>3</v>
      </c>
      <c r="AM30" s="26"/>
      <c r="AN30" s="26"/>
      <c r="AO30" s="26"/>
      <c r="AP30" s="26"/>
      <c r="AQ30" s="26"/>
      <c r="AR30" s="26"/>
      <c r="AS30" s="26">
        <f t="shared" si="73"/>
        <v>3</v>
      </c>
      <c r="AU30" s="26"/>
      <c r="AV30" s="26"/>
      <c r="AW30" s="26"/>
      <c r="AX30" s="26"/>
      <c r="AY30" s="26"/>
      <c r="AZ30" s="26"/>
      <c r="BA30" s="26"/>
      <c r="BB30" s="26">
        <f t="shared" si="74"/>
        <v>0</v>
      </c>
      <c r="BD30" s="26">
        <v>0</v>
      </c>
      <c r="BE30" s="26"/>
      <c r="BF30" s="26"/>
      <c r="BG30" s="26"/>
      <c r="BH30" s="26"/>
      <c r="BI30" s="26"/>
      <c r="BJ30" s="26"/>
      <c r="BK30" s="26">
        <f t="shared" si="75"/>
        <v>0</v>
      </c>
      <c r="BM30" s="26">
        <v>1</v>
      </c>
      <c r="BN30" s="26"/>
      <c r="BO30" s="26"/>
      <c r="BP30" s="26"/>
      <c r="BQ30" s="26"/>
      <c r="BR30" s="26"/>
      <c r="BS30" s="26"/>
      <c r="BT30" s="26">
        <f t="shared" si="76"/>
        <v>1</v>
      </c>
      <c r="BV30" s="26">
        <f t="shared" si="79"/>
        <v>9</v>
      </c>
      <c r="BW30" s="26">
        <f t="shared" si="77"/>
        <v>0</v>
      </c>
      <c r="BX30" s="26">
        <f t="shared" si="77"/>
        <v>0</v>
      </c>
      <c r="BY30" s="26">
        <f t="shared" si="77"/>
        <v>0</v>
      </c>
      <c r="BZ30" s="26">
        <f t="shared" si="77"/>
        <v>0</v>
      </c>
      <c r="CA30" s="26">
        <f t="shared" si="77"/>
        <v>0</v>
      </c>
      <c r="CB30" s="26"/>
      <c r="CC30" s="26">
        <f t="shared" ref="CC30:CC32" si="80">SUM(BV30:CB30)</f>
        <v>9</v>
      </c>
    </row>
    <row r="31" spans="1:82">
      <c r="A31" s="25" t="s">
        <v>33</v>
      </c>
      <c r="B31" s="26">
        <v>1</v>
      </c>
      <c r="C31" s="26"/>
      <c r="D31" s="26"/>
      <c r="E31" s="26"/>
      <c r="F31" s="26"/>
      <c r="G31" s="26"/>
      <c r="H31" s="26"/>
      <c r="I31" s="26">
        <f t="shared" si="69"/>
        <v>1</v>
      </c>
      <c r="K31" s="26">
        <v>1</v>
      </c>
      <c r="L31" s="26"/>
      <c r="M31" s="26"/>
      <c r="N31" s="26"/>
      <c r="O31" s="26"/>
      <c r="P31" s="26"/>
      <c r="Q31" s="26"/>
      <c r="R31" s="26">
        <f t="shared" si="70"/>
        <v>1</v>
      </c>
      <c r="T31" s="26">
        <v>1</v>
      </c>
      <c r="U31" s="26"/>
      <c r="V31" s="26"/>
      <c r="W31" s="26"/>
      <c r="X31" s="26"/>
      <c r="Y31" s="26"/>
      <c r="Z31" s="26"/>
      <c r="AA31" s="26">
        <f t="shared" si="71"/>
        <v>1</v>
      </c>
      <c r="AC31" s="26">
        <v>3</v>
      </c>
      <c r="AD31" s="26"/>
      <c r="AE31" s="26"/>
      <c r="AF31" s="26"/>
      <c r="AG31" s="26"/>
      <c r="AH31" s="26"/>
      <c r="AI31" s="26"/>
      <c r="AJ31" s="26">
        <f t="shared" si="72"/>
        <v>3</v>
      </c>
      <c r="AL31" s="26">
        <v>2</v>
      </c>
      <c r="AM31" s="26"/>
      <c r="AN31" s="26"/>
      <c r="AO31" s="26"/>
      <c r="AP31" s="26"/>
      <c r="AQ31" s="26"/>
      <c r="AR31" s="26"/>
      <c r="AS31" s="26">
        <f t="shared" si="73"/>
        <v>2</v>
      </c>
      <c r="AU31" s="26"/>
      <c r="AV31" s="26"/>
      <c r="AW31" s="26"/>
      <c r="AX31" s="26"/>
      <c r="AY31" s="26"/>
      <c r="AZ31" s="26"/>
      <c r="BA31" s="26"/>
      <c r="BB31" s="26">
        <f t="shared" si="74"/>
        <v>0</v>
      </c>
      <c r="BD31" s="26">
        <v>1</v>
      </c>
      <c r="BE31" s="26"/>
      <c r="BF31" s="26"/>
      <c r="BG31" s="26"/>
      <c r="BH31" s="26"/>
      <c r="BI31" s="26"/>
      <c r="BJ31" s="26"/>
      <c r="BK31" s="26">
        <f t="shared" si="75"/>
        <v>1</v>
      </c>
      <c r="BM31" s="26"/>
      <c r="BN31" s="26"/>
      <c r="BO31" s="26"/>
      <c r="BP31" s="26"/>
      <c r="BQ31" s="26"/>
      <c r="BR31" s="26"/>
      <c r="BS31" s="26"/>
      <c r="BT31" s="26">
        <f t="shared" si="76"/>
        <v>0</v>
      </c>
      <c r="BV31" s="26">
        <f t="shared" si="79"/>
        <v>9</v>
      </c>
      <c r="BW31" s="26">
        <f t="shared" si="77"/>
        <v>0</v>
      </c>
      <c r="BX31" s="26">
        <f t="shared" si="77"/>
        <v>0</v>
      </c>
      <c r="BY31" s="26">
        <f t="shared" si="77"/>
        <v>0</v>
      </c>
      <c r="BZ31" s="26">
        <f t="shared" si="77"/>
        <v>0</v>
      </c>
      <c r="CA31" s="26">
        <f t="shared" si="77"/>
        <v>0</v>
      </c>
      <c r="CB31" s="26"/>
      <c r="CC31" s="26">
        <f t="shared" si="80"/>
        <v>9</v>
      </c>
    </row>
    <row r="32" spans="1:82">
      <c r="A32" s="28" t="s">
        <v>34</v>
      </c>
      <c r="B32" s="26">
        <v>1</v>
      </c>
      <c r="C32" s="26"/>
      <c r="D32" s="26"/>
      <c r="E32" s="26"/>
      <c r="F32" s="26"/>
      <c r="G32" s="26"/>
      <c r="H32" s="26"/>
      <c r="I32" s="26">
        <f t="shared" si="69"/>
        <v>1</v>
      </c>
      <c r="K32" s="26">
        <v>1</v>
      </c>
      <c r="L32" s="26"/>
      <c r="M32" s="26"/>
      <c r="N32" s="26"/>
      <c r="O32" s="26"/>
      <c r="P32" s="26"/>
      <c r="Q32" s="26"/>
      <c r="R32" s="26">
        <f t="shared" si="70"/>
        <v>1</v>
      </c>
      <c r="T32" s="26">
        <v>1</v>
      </c>
      <c r="U32" s="26"/>
      <c r="V32" s="26"/>
      <c r="W32" s="26"/>
      <c r="X32" s="26"/>
      <c r="Y32" s="26"/>
      <c r="Z32" s="26"/>
      <c r="AA32" s="26">
        <f t="shared" si="71"/>
        <v>1</v>
      </c>
      <c r="AC32" s="26">
        <v>3</v>
      </c>
      <c r="AD32" s="26"/>
      <c r="AE32" s="26"/>
      <c r="AF32" s="26"/>
      <c r="AG32" s="26"/>
      <c r="AH32" s="26"/>
      <c r="AI32" s="26"/>
      <c r="AJ32" s="26">
        <f t="shared" si="72"/>
        <v>3</v>
      </c>
      <c r="AL32" s="26">
        <v>2</v>
      </c>
      <c r="AM32" s="26"/>
      <c r="AN32" s="26"/>
      <c r="AO32" s="26"/>
      <c r="AP32" s="26"/>
      <c r="AQ32" s="26"/>
      <c r="AR32" s="26"/>
      <c r="AS32" s="26">
        <f t="shared" si="73"/>
        <v>2</v>
      </c>
      <c r="AU32" s="26"/>
      <c r="AV32" s="26"/>
      <c r="AW32" s="26"/>
      <c r="AX32" s="26"/>
      <c r="AY32" s="26"/>
      <c r="AZ32" s="26"/>
      <c r="BA32" s="26"/>
      <c r="BB32" s="26">
        <f t="shared" si="74"/>
        <v>0</v>
      </c>
      <c r="BD32" s="26">
        <v>1</v>
      </c>
      <c r="BE32" s="26"/>
      <c r="BF32" s="26"/>
      <c r="BG32" s="26"/>
      <c r="BH32" s="26"/>
      <c r="BI32" s="26"/>
      <c r="BJ32" s="26"/>
      <c r="BK32" s="26">
        <f t="shared" si="75"/>
        <v>1</v>
      </c>
      <c r="BM32" s="26"/>
      <c r="BN32" s="26"/>
      <c r="BO32" s="26"/>
      <c r="BP32" s="26"/>
      <c r="BQ32" s="26"/>
      <c r="BR32" s="26"/>
      <c r="BS32" s="26"/>
      <c r="BT32" s="26">
        <f t="shared" si="76"/>
        <v>0</v>
      </c>
      <c r="BV32" s="26">
        <f t="shared" si="79"/>
        <v>9</v>
      </c>
      <c r="BW32" s="26">
        <f t="shared" si="77"/>
        <v>0</v>
      </c>
      <c r="BX32" s="26">
        <f t="shared" si="77"/>
        <v>0</v>
      </c>
      <c r="BY32" s="26">
        <f t="shared" si="77"/>
        <v>0</v>
      </c>
      <c r="BZ32" s="26">
        <f t="shared" si="77"/>
        <v>0</v>
      </c>
      <c r="CA32" s="26">
        <f t="shared" si="77"/>
        <v>0</v>
      </c>
      <c r="CB32" s="26"/>
      <c r="CC32" s="26">
        <f t="shared" si="80"/>
        <v>9</v>
      </c>
    </row>
    <row r="33" spans="1:81">
      <c r="A33" s="28" t="s">
        <v>35</v>
      </c>
      <c r="B33" s="26">
        <v>1</v>
      </c>
      <c r="C33" s="26"/>
      <c r="D33" s="26"/>
      <c r="E33" s="26"/>
      <c r="F33" s="26"/>
      <c r="G33" s="26"/>
      <c r="H33" s="26"/>
      <c r="I33" s="26">
        <f>SUM(B33:H33)</f>
        <v>1</v>
      </c>
      <c r="K33" s="26">
        <v>1</v>
      </c>
      <c r="L33" s="26"/>
      <c r="M33" s="26"/>
      <c r="N33" s="26"/>
      <c r="O33" s="26"/>
      <c r="P33" s="26"/>
      <c r="Q33" s="26"/>
      <c r="R33" s="26">
        <f>SUM(K33:Q33)</f>
        <v>1</v>
      </c>
      <c r="T33" s="26">
        <v>1</v>
      </c>
      <c r="U33" s="26"/>
      <c r="V33" s="26"/>
      <c r="W33" s="26"/>
      <c r="X33" s="26"/>
      <c r="Y33" s="26"/>
      <c r="Z33" s="26"/>
      <c r="AA33" s="26">
        <f>SUM(T33:Z33)</f>
        <v>1</v>
      </c>
      <c r="AC33" s="26">
        <v>2</v>
      </c>
      <c r="AD33" s="26"/>
      <c r="AE33" s="26"/>
      <c r="AF33" s="26"/>
      <c r="AG33" s="26"/>
      <c r="AH33" s="26"/>
      <c r="AI33" s="26"/>
      <c r="AJ33" s="26">
        <f>SUM(AC33:AI33)</f>
        <v>2</v>
      </c>
      <c r="AL33" s="26">
        <v>2</v>
      </c>
      <c r="AM33" s="26"/>
      <c r="AN33" s="26"/>
      <c r="AO33" s="26"/>
      <c r="AP33" s="26"/>
      <c r="AQ33" s="26"/>
      <c r="AR33" s="26"/>
      <c r="AS33" s="26">
        <f>SUM(AL33:AR33)</f>
        <v>2</v>
      </c>
      <c r="AU33" s="26"/>
      <c r="AV33" s="26"/>
      <c r="AW33" s="26"/>
      <c r="AX33" s="26"/>
      <c r="AY33" s="26"/>
      <c r="AZ33" s="26"/>
      <c r="BA33" s="26"/>
      <c r="BB33" s="26">
        <f>SUM(AU33:BA33)</f>
        <v>0</v>
      </c>
      <c r="BD33" s="26">
        <v>0</v>
      </c>
      <c r="BE33" s="26"/>
      <c r="BF33" s="26"/>
      <c r="BG33" s="26"/>
      <c r="BH33" s="26"/>
      <c r="BI33" s="26"/>
      <c r="BJ33" s="26"/>
      <c r="BK33" s="26">
        <f>SUM(BD33:BJ33)</f>
        <v>0</v>
      </c>
      <c r="BM33" s="26"/>
      <c r="BN33" s="26"/>
      <c r="BO33" s="26"/>
      <c r="BP33" s="26"/>
      <c r="BQ33" s="26"/>
      <c r="BR33" s="26"/>
      <c r="BS33" s="26"/>
      <c r="BT33" s="26">
        <f>SUM(BM33:BS33)</f>
        <v>0</v>
      </c>
      <c r="BV33" s="26">
        <f t="shared" si="79"/>
        <v>7</v>
      </c>
      <c r="BW33" s="26">
        <f t="shared" si="77"/>
        <v>0</v>
      </c>
      <c r="BX33" s="26">
        <f t="shared" si="77"/>
        <v>0</v>
      </c>
      <c r="BY33" s="26">
        <f t="shared" si="77"/>
        <v>0</v>
      </c>
      <c r="BZ33" s="26">
        <f t="shared" si="77"/>
        <v>0</v>
      </c>
      <c r="CA33" s="26">
        <f t="shared" si="77"/>
        <v>0</v>
      </c>
      <c r="CB33" s="26"/>
      <c r="CC33" s="26">
        <f>SUM(BV33:CB33)</f>
        <v>7</v>
      </c>
    </row>
    <row r="34" spans="1:81">
      <c r="A34" s="28" t="s">
        <v>36</v>
      </c>
      <c r="B34" s="26">
        <v>1</v>
      </c>
      <c r="C34" s="26"/>
      <c r="D34" s="26"/>
      <c r="E34" s="26"/>
      <c r="F34" s="26"/>
      <c r="G34" s="26"/>
      <c r="H34" s="26"/>
      <c r="I34" s="26">
        <f>SUM(B34:H34)</f>
        <v>1</v>
      </c>
      <c r="K34" s="26">
        <v>2</v>
      </c>
      <c r="L34" s="26"/>
      <c r="M34" s="26"/>
      <c r="N34" s="26"/>
      <c r="O34" s="26"/>
      <c r="P34" s="26"/>
      <c r="Q34" s="26"/>
      <c r="R34" s="26">
        <f>SUM(K34:Q34)</f>
        <v>2</v>
      </c>
      <c r="T34" s="26">
        <v>3</v>
      </c>
      <c r="U34" s="26"/>
      <c r="V34" s="26"/>
      <c r="W34" s="26"/>
      <c r="X34" s="26"/>
      <c r="Y34" s="26"/>
      <c r="Z34" s="26"/>
      <c r="AA34" s="26">
        <f>SUM(T34:Z34)</f>
        <v>3</v>
      </c>
      <c r="AC34" s="26">
        <v>3</v>
      </c>
      <c r="AD34" s="26"/>
      <c r="AE34" s="26"/>
      <c r="AF34" s="26"/>
      <c r="AG34" s="26"/>
      <c r="AH34" s="26"/>
      <c r="AI34" s="26"/>
      <c r="AJ34" s="26">
        <f>SUM(AC34:AI34)</f>
        <v>3</v>
      </c>
      <c r="AL34" s="26">
        <v>3</v>
      </c>
      <c r="AM34" s="26"/>
      <c r="AN34" s="26"/>
      <c r="AO34" s="26"/>
      <c r="AP34" s="26"/>
      <c r="AQ34" s="26"/>
      <c r="AR34" s="26"/>
      <c r="AS34" s="26">
        <f>SUM(AL34:AR34)</f>
        <v>3</v>
      </c>
      <c r="AU34" s="26"/>
      <c r="AV34" s="26"/>
      <c r="AW34" s="26"/>
      <c r="AX34" s="26"/>
      <c r="AY34" s="26"/>
      <c r="AZ34" s="26"/>
      <c r="BA34" s="26"/>
      <c r="BB34" s="26">
        <f>SUM(AU34:BA34)</f>
        <v>0</v>
      </c>
      <c r="BD34" s="26">
        <v>1</v>
      </c>
      <c r="BE34" s="26"/>
      <c r="BF34" s="26"/>
      <c r="BG34" s="26"/>
      <c r="BH34" s="26"/>
      <c r="BI34" s="26"/>
      <c r="BJ34" s="26"/>
      <c r="BK34" s="26">
        <f>SUM(BD34:BJ34)</f>
        <v>1</v>
      </c>
      <c r="BM34" s="26"/>
      <c r="BN34" s="26"/>
      <c r="BO34" s="26"/>
      <c r="BP34" s="26"/>
      <c r="BQ34" s="26"/>
      <c r="BR34" s="26"/>
      <c r="BS34" s="26"/>
      <c r="BT34" s="26">
        <f>SUM(BM34:BS34)</f>
        <v>0</v>
      </c>
      <c r="BV34" s="26">
        <f t="shared" si="79"/>
        <v>13</v>
      </c>
      <c r="BW34" s="26">
        <f t="shared" si="77"/>
        <v>0</v>
      </c>
      <c r="BX34" s="26">
        <f t="shared" si="77"/>
        <v>0</v>
      </c>
      <c r="BY34" s="26">
        <f t="shared" si="77"/>
        <v>0</v>
      </c>
      <c r="BZ34" s="26">
        <f t="shared" si="77"/>
        <v>0</v>
      </c>
      <c r="CA34" s="26">
        <f t="shared" si="77"/>
        <v>0</v>
      </c>
      <c r="CB34" s="26"/>
      <c r="CC34" s="26">
        <f>SUM(BV34:CB34)</f>
        <v>13</v>
      </c>
    </row>
    <row r="35" spans="1:81">
      <c r="A35" s="29" t="s">
        <v>37</v>
      </c>
      <c r="B35" s="26">
        <v>0.5</v>
      </c>
      <c r="C35" s="26"/>
      <c r="D35" s="26"/>
      <c r="E35" s="26"/>
      <c r="F35" s="26"/>
      <c r="G35" s="26"/>
      <c r="H35" s="26"/>
      <c r="I35" s="26">
        <f>SUM(B35:H35)</f>
        <v>0.5</v>
      </c>
      <c r="K35" s="26">
        <v>1</v>
      </c>
      <c r="L35" s="26"/>
      <c r="M35" s="26"/>
      <c r="N35" s="26"/>
      <c r="O35" s="26"/>
      <c r="P35" s="26"/>
      <c r="Q35" s="26"/>
      <c r="R35" s="26">
        <f>SUM(K35:Q35)</f>
        <v>1</v>
      </c>
      <c r="T35" s="26">
        <v>2</v>
      </c>
      <c r="U35" s="26"/>
      <c r="V35" s="26"/>
      <c r="W35" s="26"/>
      <c r="X35" s="26"/>
      <c r="Y35" s="26"/>
      <c r="Z35" s="26"/>
      <c r="AA35" s="26">
        <f>SUM(T35:Z35)</f>
        <v>2</v>
      </c>
      <c r="AC35" s="26">
        <v>1</v>
      </c>
      <c r="AD35" s="26"/>
      <c r="AE35" s="26"/>
      <c r="AF35" s="26"/>
      <c r="AG35" s="26"/>
      <c r="AH35" s="26"/>
      <c r="AI35" s="26"/>
      <c r="AJ35" s="26">
        <f>SUM(AC35:AI35)</f>
        <v>1</v>
      </c>
      <c r="AL35" s="26">
        <v>2</v>
      </c>
      <c r="AM35" s="26"/>
      <c r="AN35" s="26"/>
      <c r="AO35" s="26"/>
      <c r="AP35" s="26"/>
      <c r="AQ35" s="26"/>
      <c r="AR35" s="26"/>
      <c r="AS35" s="26">
        <f>SUM(AL35:AR35)</f>
        <v>2</v>
      </c>
      <c r="AU35" s="26"/>
      <c r="AV35" s="26"/>
      <c r="AW35" s="26"/>
      <c r="AX35" s="26"/>
      <c r="AY35" s="26"/>
      <c r="AZ35" s="26"/>
      <c r="BA35" s="26"/>
      <c r="BB35" s="26">
        <f>SUM(AU35:BA35)</f>
        <v>0</v>
      </c>
      <c r="BD35" s="26">
        <v>0</v>
      </c>
      <c r="BE35" s="26"/>
      <c r="BF35" s="26"/>
      <c r="BG35" s="26"/>
      <c r="BH35" s="26"/>
      <c r="BI35" s="26"/>
      <c r="BJ35" s="26"/>
      <c r="BK35" s="26">
        <f>SUM(BD35:BJ35)</f>
        <v>0</v>
      </c>
      <c r="BM35" s="26">
        <v>0</v>
      </c>
      <c r="BN35" s="26"/>
      <c r="BO35" s="26"/>
      <c r="BP35" s="26"/>
      <c r="BQ35" s="26"/>
      <c r="BR35" s="26"/>
      <c r="BS35" s="26"/>
      <c r="BT35" s="26">
        <f>SUM(BM35:BS35)</f>
        <v>0</v>
      </c>
      <c r="BV35" s="26">
        <f t="shared" si="79"/>
        <v>6.5</v>
      </c>
      <c r="BW35" s="26">
        <f t="shared" si="77"/>
        <v>0</v>
      </c>
      <c r="BX35" s="26">
        <f t="shared" si="77"/>
        <v>0</v>
      </c>
      <c r="BY35" s="26">
        <f t="shared" si="77"/>
        <v>0</v>
      </c>
      <c r="BZ35" s="26">
        <f t="shared" si="77"/>
        <v>0</v>
      </c>
      <c r="CA35" s="26">
        <f t="shared" si="77"/>
        <v>0</v>
      </c>
      <c r="CB35" s="26"/>
      <c r="CC35" s="26">
        <f>SUM(BV35:CB35)</f>
        <v>6.5</v>
      </c>
    </row>
    <row r="36" spans="1:81" ht="15">
      <c r="A36" s="24" t="s">
        <v>38</v>
      </c>
      <c r="B36" s="30">
        <f>SUM(B27:B35)</f>
        <v>42.5</v>
      </c>
      <c r="C36" s="30">
        <f t="shared" ref="C36:H36" si="81">SUM(C27:C35)</f>
        <v>5</v>
      </c>
      <c r="D36" s="30">
        <f t="shared" si="81"/>
        <v>0</v>
      </c>
      <c r="E36" s="30"/>
      <c r="F36" s="30">
        <f t="shared" si="81"/>
        <v>0</v>
      </c>
      <c r="G36" s="30">
        <f t="shared" si="81"/>
        <v>0</v>
      </c>
      <c r="H36" s="30">
        <f t="shared" si="81"/>
        <v>0</v>
      </c>
      <c r="I36" s="30">
        <f>SUM(I27:I35)</f>
        <v>47.5</v>
      </c>
      <c r="J36" s="7"/>
      <c r="K36" s="30">
        <f>SUM(K27:K35)</f>
        <v>44</v>
      </c>
      <c r="L36" s="30">
        <f t="shared" ref="L36:Q36" si="82">SUM(L27:L35)</f>
        <v>4</v>
      </c>
      <c r="M36" s="30">
        <f t="shared" si="82"/>
        <v>0</v>
      </c>
      <c r="N36" s="30"/>
      <c r="O36" s="30">
        <f t="shared" si="82"/>
        <v>0</v>
      </c>
      <c r="P36" s="30">
        <f t="shared" si="82"/>
        <v>0</v>
      </c>
      <c r="Q36" s="30">
        <f t="shared" si="82"/>
        <v>0</v>
      </c>
      <c r="R36" s="30">
        <f>SUM(R27:R35)</f>
        <v>48</v>
      </c>
      <c r="T36" s="30">
        <f>SUM(T27:T35)</f>
        <v>56</v>
      </c>
      <c r="U36" s="30">
        <f t="shared" ref="U36:Z36" si="83">SUM(U27:U35)</f>
        <v>5</v>
      </c>
      <c r="V36" s="30">
        <f t="shared" si="83"/>
        <v>0</v>
      </c>
      <c r="W36" s="30"/>
      <c r="X36" s="30">
        <f t="shared" si="83"/>
        <v>0</v>
      </c>
      <c r="Y36" s="30">
        <f t="shared" si="83"/>
        <v>0</v>
      </c>
      <c r="Z36" s="30">
        <f t="shared" si="83"/>
        <v>0</v>
      </c>
      <c r="AA36" s="30">
        <f>SUM(AA27:AA35)</f>
        <v>61</v>
      </c>
      <c r="AC36" s="30">
        <f>SUM(AC27:AC35)</f>
        <v>101</v>
      </c>
      <c r="AD36" s="30">
        <f t="shared" ref="AD36:AI36" si="84">SUM(AD27:AD35)</f>
        <v>13</v>
      </c>
      <c r="AE36" s="30">
        <f t="shared" si="84"/>
        <v>0</v>
      </c>
      <c r="AF36" s="30"/>
      <c r="AG36" s="30">
        <f t="shared" si="84"/>
        <v>0</v>
      </c>
      <c r="AH36" s="30">
        <f t="shared" si="84"/>
        <v>0</v>
      </c>
      <c r="AI36" s="30">
        <f t="shared" si="84"/>
        <v>0</v>
      </c>
      <c r="AJ36" s="30">
        <f>SUM(AJ27:AJ35)</f>
        <v>114</v>
      </c>
      <c r="AL36" s="30">
        <f>SUM(AL27:AL35)</f>
        <v>97</v>
      </c>
      <c r="AM36" s="30">
        <f t="shared" ref="AM36:AR36" si="85">SUM(AM27:AM35)</f>
        <v>12</v>
      </c>
      <c r="AN36" s="30">
        <f t="shared" si="85"/>
        <v>0</v>
      </c>
      <c r="AO36" s="30"/>
      <c r="AP36" s="30">
        <f t="shared" si="85"/>
        <v>0</v>
      </c>
      <c r="AQ36" s="30">
        <f t="shared" si="85"/>
        <v>0</v>
      </c>
      <c r="AR36" s="30">
        <f t="shared" si="85"/>
        <v>0</v>
      </c>
      <c r="AS36" s="30">
        <f>SUM(AS27:AS35)</f>
        <v>109</v>
      </c>
      <c r="AU36" s="30">
        <f>SUM(AU27:AU35)</f>
        <v>0</v>
      </c>
      <c r="AV36" s="30">
        <f t="shared" ref="AV36:BA36" si="86">SUM(AV27:AV35)</f>
        <v>1</v>
      </c>
      <c r="AW36" s="30">
        <f t="shared" si="86"/>
        <v>0</v>
      </c>
      <c r="AX36" s="30"/>
      <c r="AY36" s="30">
        <f t="shared" si="86"/>
        <v>0</v>
      </c>
      <c r="AZ36" s="30">
        <f t="shared" si="86"/>
        <v>0</v>
      </c>
      <c r="BA36" s="30">
        <f t="shared" si="86"/>
        <v>0</v>
      </c>
      <c r="BB36" s="30">
        <f>SUM(BB27:BB35)</f>
        <v>1</v>
      </c>
      <c r="BD36" s="30">
        <f>SUM(BD27:BD35)</f>
        <v>20</v>
      </c>
      <c r="BE36" s="30">
        <f t="shared" ref="BE36:BJ36" si="87">SUM(BE27:BE35)</f>
        <v>1</v>
      </c>
      <c r="BF36" s="30">
        <f t="shared" si="87"/>
        <v>0</v>
      </c>
      <c r="BG36" s="30"/>
      <c r="BH36" s="30">
        <f t="shared" si="87"/>
        <v>0</v>
      </c>
      <c r="BI36" s="30">
        <f t="shared" si="87"/>
        <v>0</v>
      </c>
      <c r="BJ36" s="30">
        <f t="shared" si="87"/>
        <v>0</v>
      </c>
      <c r="BK36" s="30">
        <f>SUM(BK27:BK35)</f>
        <v>21</v>
      </c>
      <c r="BM36" s="30">
        <f>SUM(BM27:BM35)</f>
        <v>1</v>
      </c>
      <c r="BN36" s="30">
        <f t="shared" ref="BN36:BS36" si="88">SUM(BN27:BN35)</f>
        <v>0</v>
      </c>
      <c r="BO36" s="30">
        <f t="shared" si="88"/>
        <v>0</v>
      </c>
      <c r="BP36" s="30"/>
      <c r="BQ36" s="30">
        <f t="shared" si="88"/>
        <v>0</v>
      </c>
      <c r="BR36" s="30">
        <f t="shared" si="88"/>
        <v>0</v>
      </c>
      <c r="BS36" s="30">
        <f t="shared" si="88"/>
        <v>0</v>
      </c>
      <c r="BT36" s="30">
        <f>SUM(BT27:BT35)</f>
        <v>1</v>
      </c>
      <c r="BV36" s="30">
        <f>SUM(BV27:BV35)</f>
        <v>361.5</v>
      </c>
      <c r="BW36" s="30">
        <f t="shared" ref="BW36:BX36" si="89">SUM(BW27:BW35)</f>
        <v>41</v>
      </c>
      <c r="BX36" s="30">
        <f t="shared" si="89"/>
        <v>0</v>
      </c>
      <c r="BY36" s="30"/>
      <c r="BZ36" s="30">
        <f t="shared" ref="BZ36:CB36" si="90">SUM(BZ27:BZ35)</f>
        <v>0</v>
      </c>
      <c r="CA36" s="30">
        <f t="shared" si="90"/>
        <v>0</v>
      </c>
      <c r="CB36" s="30">
        <f t="shared" si="90"/>
        <v>0</v>
      </c>
      <c r="CC36" s="30">
        <f>SUM(CC27:CC35)</f>
        <v>402.5</v>
      </c>
    </row>
    <row r="37" spans="1:81" ht="15">
      <c r="A37" s="31"/>
      <c r="B37" s="5"/>
      <c r="C37" s="5"/>
      <c r="D37" s="5"/>
      <c r="E37" s="5"/>
      <c r="F37" s="5"/>
      <c r="G37" s="5"/>
      <c r="H37" s="5"/>
      <c r="I37" s="5"/>
      <c r="J37" s="7"/>
      <c r="K37" s="5"/>
      <c r="L37" s="5"/>
      <c r="M37" s="5"/>
      <c r="N37" s="5"/>
      <c r="O37" s="5"/>
      <c r="P37" s="5"/>
      <c r="Q37" s="5"/>
      <c r="R37" s="5"/>
      <c r="T37" s="5"/>
      <c r="U37" s="5"/>
      <c r="V37" s="5"/>
      <c r="W37" s="5"/>
      <c r="X37" s="5"/>
      <c r="Y37" s="5"/>
      <c r="Z37" s="5"/>
      <c r="AA37" s="5"/>
      <c r="AC37" s="5"/>
      <c r="AD37" s="5"/>
      <c r="AE37" s="5"/>
      <c r="AF37" s="5"/>
      <c r="AG37" s="5"/>
      <c r="AH37" s="5"/>
      <c r="AI37" s="5"/>
      <c r="AJ37" s="5"/>
      <c r="AL37" s="5"/>
      <c r="AM37" s="5"/>
      <c r="AN37" s="5"/>
      <c r="AO37" s="5"/>
      <c r="AP37" s="5"/>
      <c r="AQ37" s="5"/>
      <c r="AR37" s="5"/>
      <c r="AS37" s="5"/>
      <c r="AU37" s="5"/>
      <c r="AV37" s="5"/>
      <c r="AW37" s="5"/>
      <c r="AX37" s="5"/>
      <c r="AY37" s="5"/>
      <c r="AZ37" s="5"/>
      <c r="BA37" s="5"/>
      <c r="BB37" s="5"/>
      <c r="BD37" s="5"/>
      <c r="BE37" s="5"/>
      <c r="BF37" s="5"/>
      <c r="BG37" s="5"/>
      <c r="BH37" s="5"/>
      <c r="BI37" s="5"/>
      <c r="BJ37" s="5"/>
      <c r="BK37" s="5"/>
      <c r="BM37" s="5"/>
      <c r="BN37" s="5"/>
      <c r="BO37" s="5"/>
      <c r="BP37" s="5"/>
      <c r="BQ37" s="5"/>
      <c r="BR37" s="5"/>
      <c r="BS37" s="5"/>
      <c r="BT37" s="5"/>
      <c r="BV37" s="5"/>
      <c r="BW37" s="5"/>
      <c r="BX37" s="5"/>
      <c r="BY37" s="5"/>
      <c r="BZ37" s="5"/>
      <c r="CA37" s="5"/>
      <c r="CB37" s="5"/>
      <c r="CC37" s="5"/>
    </row>
    <row r="38" spans="1:81" ht="15">
      <c r="A38" s="24" t="s">
        <v>39</v>
      </c>
      <c r="B38" s="18" t="str">
        <f t="shared" ref="B38:I38" si="91">B1</f>
        <v>Operating</v>
      </c>
      <c r="C38" s="18" t="str">
        <f t="shared" si="91"/>
        <v>SPED</v>
      </c>
      <c r="D38" s="18" t="str">
        <f t="shared" si="91"/>
        <v>NSLP</v>
      </c>
      <c r="E38" s="18" t="str">
        <f t="shared" si="91"/>
        <v>Other</v>
      </c>
      <c r="F38" s="18" t="str">
        <f t="shared" si="91"/>
        <v>Title I</v>
      </c>
      <c r="G38" s="18" t="str">
        <f t="shared" si="91"/>
        <v>SGF</v>
      </c>
      <c r="H38" s="18" t="str">
        <f t="shared" si="91"/>
        <v>Title III</v>
      </c>
      <c r="I38" s="18" t="str">
        <f t="shared" si="91"/>
        <v>Horizon</v>
      </c>
      <c r="J38" s="19"/>
      <c r="K38" s="18" t="str">
        <f t="shared" ref="K38:R38" si="92">K1</f>
        <v>Operating</v>
      </c>
      <c r="L38" s="18" t="str">
        <f t="shared" si="92"/>
        <v>SPED</v>
      </c>
      <c r="M38" s="18" t="str">
        <f t="shared" si="92"/>
        <v>NSLP</v>
      </c>
      <c r="N38" s="18" t="str">
        <f t="shared" si="92"/>
        <v>Other</v>
      </c>
      <c r="O38" s="18" t="str">
        <f t="shared" si="92"/>
        <v>Title I</v>
      </c>
      <c r="P38" s="18" t="str">
        <f t="shared" si="92"/>
        <v>SGF</v>
      </c>
      <c r="Q38" s="18" t="str">
        <f t="shared" si="92"/>
        <v>Title III</v>
      </c>
      <c r="R38" s="18" t="str">
        <f t="shared" si="92"/>
        <v>St. Rose</v>
      </c>
      <c r="T38" s="18" t="str">
        <f t="shared" ref="T38:AA38" si="93">T1</f>
        <v>Operating</v>
      </c>
      <c r="U38" s="18" t="str">
        <f t="shared" si="93"/>
        <v>SPED</v>
      </c>
      <c r="V38" s="18" t="str">
        <f t="shared" si="93"/>
        <v>NSLP</v>
      </c>
      <c r="W38" s="18" t="str">
        <f t="shared" si="93"/>
        <v>Other</v>
      </c>
      <c r="X38" s="18" t="str">
        <f t="shared" si="93"/>
        <v>Title I</v>
      </c>
      <c r="Y38" s="18" t="str">
        <f t="shared" si="93"/>
        <v>SGF</v>
      </c>
      <c r="Z38" s="18" t="str">
        <f t="shared" si="93"/>
        <v>Title III</v>
      </c>
      <c r="AA38" s="18" t="str">
        <f t="shared" si="93"/>
        <v>Inspirada</v>
      </c>
      <c r="AC38" s="18" t="str">
        <f t="shared" ref="AC38:AJ38" si="94">AC1</f>
        <v>Operating</v>
      </c>
      <c r="AD38" s="18" t="str">
        <f t="shared" si="94"/>
        <v>SPED</v>
      </c>
      <c r="AE38" s="18" t="str">
        <f t="shared" si="94"/>
        <v>NSLP</v>
      </c>
      <c r="AF38" s="18" t="str">
        <f t="shared" si="94"/>
        <v>Other</v>
      </c>
      <c r="AG38" s="18" t="str">
        <f t="shared" si="94"/>
        <v>Title I</v>
      </c>
      <c r="AH38" s="18" t="str">
        <f t="shared" si="94"/>
        <v>SGF</v>
      </c>
      <c r="AI38" s="18" t="str">
        <f t="shared" si="94"/>
        <v>Title III</v>
      </c>
      <c r="AJ38" s="18" t="str">
        <f t="shared" si="94"/>
        <v>Cadence</v>
      </c>
      <c r="AL38" s="18" t="str">
        <f t="shared" ref="AL38:AS38" si="95">AL1</f>
        <v>Operating</v>
      </c>
      <c r="AM38" s="18" t="str">
        <f t="shared" si="95"/>
        <v>SPED</v>
      </c>
      <c r="AN38" s="18" t="str">
        <f t="shared" si="95"/>
        <v>NSLP</v>
      </c>
      <c r="AO38" s="18" t="str">
        <f t="shared" si="95"/>
        <v>Other</v>
      </c>
      <c r="AP38" s="18" t="str">
        <f t="shared" si="95"/>
        <v>Title I</v>
      </c>
      <c r="AQ38" s="18" t="str">
        <f t="shared" si="95"/>
        <v>SGF</v>
      </c>
      <c r="AR38" s="18" t="str">
        <f t="shared" si="95"/>
        <v>Title III</v>
      </c>
      <c r="AS38" s="18" t="str">
        <f t="shared" si="95"/>
        <v>Sloan</v>
      </c>
      <c r="AU38" s="18" t="str">
        <f t="shared" ref="AU38:BB38" si="96">AU1</f>
        <v>Operating</v>
      </c>
      <c r="AV38" s="18" t="str">
        <f t="shared" si="96"/>
        <v>SPED</v>
      </c>
      <c r="AW38" s="18" t="str">
        <f t="shared" si="96"/>
        <v>NSLP</v>
      </c>
      <c r="AX38" s="18" t="str">
        <f t="shared" si="96"/>
        <v>Other</v>
      </c>
      <c r="AY38" s="18" t="str">
        <f t="shared" si="96"/>
        <v>Title I</v>
      </c>
      <c r="AZ38" s="18" t="str">
        <f t="shared" si="96"/>
        <v>SGF</v>
      </c>
      <c r="BA38" s="18" t="str">
        <f t="shared" si="96"/>
        <v>Title III</v>
      </c>
      <c r="BB38" s="18" t="str">
        <f t="shared" si="96"/>
        <v>Virtual</v>
      </c>
      <c r="BD38" s="18" t="str">
        <f t="shared" ref="BD38:BK38" si="97">BD1</f>
        <v>Operating</v>
      </c>
      <c r="BE38" s="18" t="str">
        <f t="shared" si="97"/>
        <v>SPED</v>
      </c>
      <c r="BF38" s="18" t="str">
        <f t="shared" si="97"/>
        <v>NSLP</v>
      </c>
      <c r="BG38" s="18" t="str">
        <f t="shared" si="97"/>
        <v>Other</v>
      </c>
      <c r="BH38" s="18" t="str">
        <f t="shared" si="97"/>
        <v>Title I</v>
      </c>
      <c r="BI38" s="18" t="str">
        <f t="shared" si="97"/>
        <v>SGF</v>
      </c>
      <c r="BJ38" s="18" t="str">
        <f t="shared" si="97"/>
        <v>Title III</v>
      </c>
      <c r="BK38" s="18" t="str">
        <f t="shared" si="97"/>
        <v>Springs</v>
      </c>
      <c r="BM38" s="18" t="str">
        <f t="shared" ref="BM38:BT38" si="98">BM1</f>
        <v>Operating</v>
      </c>
      <c r="BN38" s="18" t="str">
        <f t="shared" si="98"/>
        <v>SPED</v>
      </c>
      <c r="BO38" s="18" t="str">
        <f t="shared" si="98"/>
        <v>NSLP</v>
      </c>
      <c r="BP38" s="18" t="str">
        <f t="shared" si="98"/>
        <v>Other</v>
      </c>
      <c r="BQ38" s="18" t="str">
        <f t="shared" si="98"/>
        <v>Title I</v>
      </c>
      <c r="BR38" s="18" t="str">
        <f t="shared" si="98"/>
        <v>SGF</v>
      </c>
      <c r="BS38" s="18" t="str">
        <f t="shared" si="98"/>
        <v>Title III</v>
      </c>
      <c r="BT38" s="18" t="str">
        <f t="shared" si="98"/>
        <v>Exec. Office</v>
      </c>
      <c r="BV38" s="18" t="str">
        <f t="shared" ref="BV38:CC38" si="99">BV1</f>
        <v>Operating</v>
      </c>
      <c r="BW38" s="18" t="str">
        <f t="shared" si="99"/>
        <v>SPED</v>
      </c>
      <c r="BX38" s="18" t="str">
        <f t="shared" si="99"/>
        <v>NSLP</v>
      </c>
      <c r="BY38" s="18" t="str">
        <f t="shared" si="99"/>
        <v>Other</v>
      </c>
      <c r="BZ38" s="18" t="str">
        <f t="shared" si="99"/>
        <v>Title I</v>
      </c>
      <c r="CA38" s="18" t="str">
        <f t="shared" si="99"/>
        <v>SGF</v>
      </c>
      <c r="CB38" s="18" t="str">
        <f t="shared" si="99"/>
        <v>Title III</v>
      </c>
      <c r="CC38" s="18" t="str">
        <f t="shared" si="99"/>
        <v>Systemwide</v>
      </c>
    </row>
    <row r="39" spans="1:81">
      <c r="A39" s="25" t="s">
        <v>40</v>
      </c>
      <c r="B39" s="27">
        <v>1</v>
      </c>
      <c r="C39" s="27"/>
      <c r="D39" s="27"/>
      <c r="E39" s="27"/>
      <c r="F39" s="27"/>
      <c r="G39" s="27"/>
      <c r="H39" s="27"/>
      <c r="I39" s="26">
        <f t="shared" ref="I39:I60" si="100">SUM(B39:H39)</f>
        <v>1</v>
      </c>
      <c r="K39" s="27">
        <v>1</v>
      </c>
      <c r="L39" s="27"/>
      <c r="M39" s="27"/>
      <c r="N39" s="27"/>
      <c r="O39" s="27"/>
      <c r="P39" s="27"/>
      <c r="Q39" s="27"/>
      <c r="R39" s="26">
        <f t="shared" ref="R39:R60" si="101">SUM(K39:Q39)</f>
        <v>1</v>
      </c>
      <c r="T39" s="27">
        <v>1</v>
      </c>
      <c r="U39" s="27"/>
      <c r="V39" s="27"/>
      <c r="W39" s="27"/>
      <c r="X39" s="27"/>
      <c r="Y39" s="27"/>
      <c r="Z39" s="27"/>
      <c r="AA39" s="26">
        <f t="shared" ref="AA39:AA60" si="102">SUM(T39:Z39)</f>
        <v>1</v>
      </c>
      <c r="AC39" s="27">
        <v>1</v>
      </c>
      <c r="AD39" s="27"/>
      <c r="AE39" s="27"/>
      <c r="AF39" s="27"/>
      <c r="AG39" s="27"/>
      <c r="AH39" s="27"/>
      <c r="AI39" s="27"/>
      <c r="AJ39" s="26">
        <f t="shared" ref="AJ39:AJ60" si="103">SUM(AC39:AI39)</f>
        <v>1</v>
      </c>
      <c r="AL39" s="27">
        <v>1</v>
      </c>
      <c r="AM39" s="27"/>
      <c r="AN39" s="27"/>
      <c r="AO39" s="27"/>
      <c r="AP39" s="27"/>
      <c r="AQ39" s="27"/>
      <c r="AR39" s="27"/>
      <c r="AS39" s="26">
        <f t="shared" ref="AS39:AS60" si="104">SUM(AL39:AR39)</f>
        <v>1</v>
      </c>
      <c r="AU39" s="27"/>
      <c r="AV39" s="27"/>
      <c r="AW39" s="27"/>
      <c r="AX39" s="27"/>
      <c r="AY39" s="27"/>
      <c r="AZ39" s="27"/>
      <c r="BA39" s="27"/>
      <c r="BB39" s="26">
        <f t="shared" ref="BB39:BB60" si="105">SUM(AU39:BA39)</f>
        <v>0</v>
      </c>
      <c r="BD39" s="27">
        <v>1</v>
      </c>
      <c r="BE39" s="27"/>
      <c r="BF39" s="27"/>
      <c r="BG39" s="27"/>
      <c r="BH39" s="27"/>
      <c r="BI39" s="27"/>
      <c r="BJ39" s="27"/>
      <c r="BK39" s="26">
        <f t="shared" ref="BK39:BK60" si="106">SUM(BD39:BJ39)</f>
        <v>1</v>
      </c>
      <c r="BM39" s="27">
        <v>0</v>
      </c>
      <c r="BN39" s="27"/>
      <c r="BO39" s="27"/>
      <c r="BP39" s="27"/>
      <c r="BQ39" s="27"/>
      <c r="BR39" s="27"/>
      <c r="BS39" s="27"/>
      <c r="BT39" s="26">
        <f t="shared" ref="BT39:BT60" si="107">SUM(BM39:BS39)</f>
        <v>0</v>
      </c>
      <c r="BV39" s="26">
        <f>B39+K39+T39+AC39+AL39+AU39+BD39+BM39</f>
        <v>6</v>
      </c>
      <c r="BW39" s="26">
        <f t="shared" ref="BW39:CA54" si="108">C39+L39+U39+AD39+AM39+AV39+BE39+BN39</f>
        <v>0</v>
      </c>
      <c r="BX39" s="26">
        <f t="shared" si="108"/>
        <v>0</v>
      </c>
      <c r="BY39" s="26">
        <f t="shared" si="108"/>
        <v>0</v>
      </c>
      <c r="BZ39" s="26">
        <f t="shared" si="108"/>
        <v>0</v>
      </c>
      <c r="CA39" s="26">
        <f t="shared" si="108"/>
        <v>0</v>
      </c>
      <c r="CB39" s="27"/>
      <c r="CC39" s="26">
        <f t="shared" ref="CC39" si="109">SUM(BV39:CB39)</f>
        <v>6</v>
      </c>
    </row>
    <row r="40" spans="1:81">
      <c r="A40" s="25" t="s">
        <v>41</v>
      </c>
      <c r="B40" s="27">
        <v>3</v>
      </c>
      <c r="C40" s="27"/>
      <c r="D40" s="27"/>
      <c r="E40" s="27"/>
      <c r="F40" s="27"/>
      <c r="G40" s="27"/>
      <c r="H40" s="27"/>
      <c r="I40" s="26">
        <f>SUM(B40:H40)</f>
        <v>3</v>
      </c>
      <c r="K40" s="27">
        <v>3</v>
      </c>
      <c r="L40" s="27"/>
      <c r="M40" s="27"/>
      <c r="N40" s="27"/>
      <c r="O40" s="27"/>
      <c r="P40" s="27"/>
      <c r="Q40" s="27"/>
      <c r="R40" s="26">
        <f>SUM(K40:Q40)</f>
        <v>3</v>
      </c>
      <c r="T40" s="27">
        <v>3</v>
      </c>
      <c r="U40" s="27"/>
      <c r="V40" s="27"/>
      <c r="W40" s="27"/>
      <c r="X40" s="27"/>
      <c r="Y40" s="27"/>
      <c r="Z40" s="27"/>
      <c r="AA40" s="26">
        <f>SUM(T40:Z40)</f>
        <v>3</v>
      </c>
      <c r="AC40" s="27">
        <v>5</v>
      </c>
      <c r="AD40" s="27"/>
      <c r="AE40" s="27"/>
      <c r="AF40" s="27"/>
      <c r="AG40" s="27"/>
      <c r="AH40" s="27"/>
      <c r="AI40" s="27"/>
      <c r="AJ40" s="26">
        <f>SUM(AC40:AI40)</f>
        <v>5</v>
      </c>
      <c r="AL40" s="27">
        <v>4</v>
      </c>
      <c r="AM40" s="27"/>
      <c r="AN40" s="27"/>
      <c r="AO40" s="27"/>
      <c r="AP40" s="27"/>
      <c r="AQ40" s="27"/>
      <c r="AR40" s="27"/>
      <c r="AS40" s="26">
        <f>SUM(AL40:AR40)</f>
        <v>4</v>
      </c>
      <c r="AU40" s="27"/>
      <c r="AV40" s="27"/>
      <c r="AW40" s="27"/>
      <c r="AX40" s="27"/>
      <c r="AY40" s="27"/>
      <c r="AZ40" s="27"/>
      <c r="BA40" s="27"/>
      <c r="BB40" s="26">
        <f>SUM(AU40:BA40)</f>
        <v>0</v>
      </c>
      <c r="BD40" s="27">
        <v>1</v>
      </c>
      <c r="BE40" s="27"/>
      <c r="BF40" s="27"/>
      <c r="BG40" s="27"/>
      <c r="BH40" s="27"/>
      <c r="BI40" s="27"/>
      <c r="BJ40" s="27"/>
      <c r="BK40" s="26">
        <f>SUM(BD40:BJ40)</f>
        <v>1</v>
      </c>
      <c r="BM40" s="27">
        <v>0</v>
      </c>
      <c r="BN40" s="27"/>
      <c r="BO40" s="27"/>
      <c r="BP40" s="27"/>
      <c r="BQ40" s="27"/>
      <c r="BR40" s="27"/>
      <c r="BS40" s="27"/>
      <c r="BT40" s="26">
        <f>SUM(BM40:BS40)</f>
        <v>0</v>
      </c>
      <c r="BV40" s="26">
        <f t="shared" ref="BV40:CA60" si="110">B40+K40+T40+AC40+AL40+AU40+BD40+BM40</f>
        <v>19</v>
      </c>
      <c r="BW40" s="26">
        <f t="shared" si="108"/>
        <v>0</v>
      </c>
      <c r="BX40" s="26">
        <f t="shared" si="108"/>
        <v>0</v>
      </c>
      <c r="BY40" s="26">
        <f t="shared" si="108"/>
        <v>0</v>
      </c>
      <c r="BZ40" s="26">
        <f t="shared" si="108"/>
        <v>0</v>
      </c>
      <c r="CA40" s="26">
        <f t="shared" si="108"/>
        <v>0</v>
      </c>
      <c r="CB40" s="27"/>
      <c r="CC40" s="26">
        <f>SUM(BV40:CB40)</f>
        <v>19</v>
      </c>
    </row>
    <row r="41" spans="1:81">
      <c r="A41" s="29" t="s">
        <v>42</v>
      </c>
      <c r="B41" s="27">
        <v>0</v>
      </c>
      <c r="C41" s="27"/>
      <c r="D41" s="27"/>
      <c r="E41" s="27"/>
      <c r="F41" s="27"/>
      <c r="G41" s="27"/>
      <c r="H41" s="27"/>
      <c r="I41" s="26">
        <f>SUM(B41:H41)</f>
        <v>0</v>
      </c>
      <c r="K41" s="27">
        <v>0</v>
      </c>
      <c r="L41" s="27"/>
      <c r="M41" s="27"/>
      <c r="N41" s="27"/>
      <c r="O41" s="27"/>
      <c r="P41" s="27"/>
      <c r="Q41" s="27"/>
      <c r="R41" s="26">
        <f>SUM(K41:Q41)</f>
        <v>0</v>
      </c>
      <c r="T41" s="27"/>
      <c r="U41" s="27"/>
      <c r="V41" s="27"/>
      <c r="W41" s="27"/>
      <c r="X41" s="27"/>
      <c r="Y41" s="27"/>
      <c r="Z41" s="27"/>
      <c r="AA41" s="26">
        <f>SUM(T41:Z41)</f>
        <v>0</v>
      </c>
      <c r="AC41" s="27">
        <v>0</v>
      </c>
      <c r="AD41" s="27"/>
      <c r="AE41" s="27"/>
      <c r="AF41" s="27"/>
      <c r="AG41" s="27"/>
      <c r="AH41" s="27"/>
      <c r="AI41" s="27"/>
      <c r="AJ41" s="26">
        <f>SUM(AC41:AI41)</f>
        <v>0</v>
      </c>
      <c r="AL41" s="27">
        <v>0</v>
      </c>
      <c r="AM41" s="27"/>
      <c r="AN41" s="27"/>
      <c r="AO41" s="27"/>
      <c r="AP41" s="27"/>
      <c r="AQ41" s="27"/>
      <c r="AR41" s="27"/>
      <c r="AS41" s="26">
        <f>SUM(AL41:AR41)</f>
        <v>0</v>
      </c>
      <c r="AU41" s="27"/>
      <c r="AV41" s="27"/>
      <c r="AW41" s="27"/>
      <c r="AX41" s="27"/>
      <c r="AY41" s="27"/>
      <c r="AZ41" s="27"/>
      <c r="BA41" s="27"/>
      <c r="BB41" s="26">
        <f>SUM(AU41:BA41)</f>
        <v>0</v>
      </c>
      <c r="BD41" s="27">
        <v>1</v>
      </c>
      <c r="BE41" s="27"/>
      <c r="BF41" s="27"/>
      <c r="BG41" s="27"/>
      <c r="BH41" s="27"/>
      <c r="BI41" s="27"/>
      <c r="BJ41" s="27"/>
      <c r="BK41" s="26">
        <f>SUM(BD41:BJ41)</f>
        <v>1</v>
      </c>
      <c r="BM41" s="27">
        <v>0</v>
      </c>
      <c r="BN41" s="27"/>
      <c r="BO41" s="27"/>
      <c r="BP41" s="27"/>
      <c r="BQ41" s="27"/>
      <c r="BR41" s="27"/>
      <c r="BS41" s="27"/>
      <c r="BT41" s="26">
        <f>SUM(BM41:BS41)</f>
        <v>0</v>
      </c>
      <c r="BV41" s="26">
        <f t="shared" si="110"/>
        <v>1</v>
      </c>
      <c r="BW41" s="26">
        <f t="shared" si="108"/>
        <v>0</v>
      </c>
      <c r="BX41" s="26">
        <f t="shared" si="108"/>
        <v>0</v>
      </c>
      <c r="BY41" s="26">
        <f t="shared" si="108"/>
        <v>0</v>
      </c>
      <c r="BZ41" s="26">
        <f t="shared" si="108"/>
        <v>0</v>
      </c>
      <c r="CA41" s="26">
        <f t="shared" si="108"/>
        <v>0</v>
      </c>
      <c r="CB41" s="27"/>
      <c r="CC41" s="26">
        <f>SUM(BV41:CB41)</f>
        <v>1</v>
      </c>
    </row>
    <row r="42" spans="1:81">
      <c r="A42" s="32" t="s">
        <v>43</v>
      </c>
      <c r="B42" s="27">
        <v>0</v>
      </c>
      <c r="C42" s="27"/>
      <c r="D42" s="27"/>
      <c r="E42" s="27"/>
      <c r="F42" s="27"/>
      <c r="G42" s="27"/>
      <c r="H42" s="27"/>
      <c r="I42" s="26">
        <f>SUM(B42:H42)</f>
        <v>0</v>
      </c>
      <c r="K42" s="27">
        <v>1</v>
      </c>
      <c r="L42" s="27"/>
      <c r="M42" s="27"/>
      <c r="N42" s="27"/>
      <c r="O42" s="27"/>
      <c r="P42" s="27"/>
      <c r="Q42" s="27"/>
      <c r="R42" s="26">
        <f>SUM(K42:Q42)</f>
        <v>1</v>
      </c>
      <c r="T42" s="27"/>
      <c r="U42" s="27"/>
      <c r="V42" s="27"/>
      <c r="W42" s="27"/>
      <c r="X42" s="27"/>
      <c r="Y42" s="27"/>
      <c r="Z42" s="27"/>
      <c r="AA42" s="26">
        <f>SUM(T42:Z42)</f>
        <v>0</v>
      </c>
      <c r="AC42" s="27">
        <v>3</v>
      </c>
      <c r="AD42" s="27"/>
      <c r="AE42" s="27"/>
      <c r="AF42" s="27"/>
      <c r="AG42" s="27"/>
      <c r="AH42" s="27"/>
      <c r="AI42" s="27"/>
      <c r="AJ42" s="26">
        <f>SUM(AC42:AI42)</f>
        <v>3</v>
      </c>
      <c r="AL42" s="27">
        <v>3</v>
      </c>
      <c r="AM42" s="27"/>
      <c r="AN42" s="27"/>
      <c r="AO42" s="27"/>
      <c r="AP42" s="27"/>
      <c r="AQ42" s="27"/>
      <c r="AR42" s="27"/>
      <c r="AS42" s="26">
        <f>SUM(AL42:AR42)</f>
        <v>3</v>
      </c>
      <c r="AU42" s="27"/>
      <c r="AV42" s="27"/>
      <c r="AW42" s="27"/>
      <c r="AX42" s="27"/>
      <c r="AY42" s="27"/>
      <c r="AZ42" s="27"/>
      <c r="BA42" s="27"/>
      <c r="BB42" s="26">
        <f>SUM(AU42:BA42)</f>
        <v>0</v>
      </c>
      <c r="BD42" s="27">
        <v>0</v>
      </c>
      <c r="BE42" s="27"/>
      <c r="BF42" s="27"/>
      <c r="BG42" s="27"/>
      <c r="BH42" s="27"/>
      <c r="BI42" s="27"/>
      <c r="BJ42" s="27"/>
      <c r="BK42" s="26">
        <f>SUM(BD42:BJ42)</f>
        <v>0</v>
      </c>
      <c r="BM42" s="27">
        <v>0</v>
      </c>
      <c r="BN42" s="27"/>
      <c r="BO42" s="27"/>
      <c r="BP42" s="27"/>
      <c r="BQ42" s="27"/>
      <c r="BR42" s="27"/>
      <c r="BS42" s="27"/>
      <c r="BT42" s="26">
        <f>SUM(BM42:BS42)</f>
        <v>0</v>
      </c>
      <c r="BV42" s="26">
        <f t="shared" si="110"/>
        <v>7</v>
      </c>
      <c r="BW42" s="26">
        <f t="shared" si="108"/>
        <v>0</v>
      </c>
      <c r="BX42" s="26">
        <f t="shared" si="108"/>
        <v>0</v>
      </c>
      <c r="BY42" s="26">
        <f t="shared" si="108"/>
        <v>0</v>
      </c>
      <c r="BZ42" s="26">
        <f t="shared" si="108"/>
        <v>0</v>
      </c>
      <c r="CA42" s="26">
        <f t="shared" si="108"/>
        <v>0</v>
      </c>
      <c r="CB42" s="27"/>
      <c r="CC42" s="26">
        <f>SUM(BV42:CB42)</f>
        <v>7</v>
      </c>
    </row>
    <row r="43" spans="1:81">
      <c r="A43" s="32" t="s">
        <v>44</v>
      </c>
      <c r="B43" s="27">
        <v>1</v>
      </c>
      <c r="C43" s="27"/>
      <c r="D43" s="27"/>
      <c r="E43" s="27"/>
      <c r="F43" s="27"/>
      <c r="G43" s="27"/>
      <c r="H43" s="27"/>
      <c r="I43" s="26">
        <f>SUM(B43:H43)</f>
        <v>1</v>
      </c>
      <c r="K43" s="27">
        <v>1</v>
      </c>
      <c r="L43" s="27"/>
      <c r="M43" s="27"/>
      <c r="N43" s="27"/>
      <c r="O43" s="27"/>
      <c r="P43" s="27"/>
      <c r="Q43" s="27"/>
      <c r="R43" s="26">
        <f>SUM(K43:Q43)</f>
        <v>1</v>
      </c>
      <c r="T43" s="27">
        <v>1</v>
      </c>
      <c r="U43" s="27"/>
      <c r="V43" s="27"/>
      <c r="W43" s="27"/>
      <c r="X43" s="27"/>
      <c r="Y43" s="27"/>
      <c r="Z43" s="27"/>
      <c r="AA43" s="26">
        <f>SUM(T43:Z43)</f>
        <v>1</v>
      </c>
      <c r="AC43" s="27">
        <v>2</v>
      </c>
      <c r="AD43" s="27"/>
      <c r="AE43" s="27"/>
      <c r="AF43" s="27"/>
      <c r="AG43" s="27"/>
      <c r="AH43" s="27"/>
      <c r="AI43" s="27"/>
      <c r="AJ43" s="26">
        <f>SUM(AC43:AI43)</f>
        <v>2</v>
      </c>
      <c r="AL43" s="27">
        <v>2</v>
      </c>
      <c r="AM43" s="27"/>
      <c r="AN43" s="27"/>
      <c r="AO43" s="27"/>
      <c r="AP43" s="27"/>
      <c r="AQ43" s="27"/>
      <c r="AR43" s="27"/>
      <c r="AS43" s="26">
        <f>SUM(AL43:AR43)</f>
        <v>2</v>
      </c>
      <c r="AU43" s="27">
        <v>1</v>
      </c>
      <c r="AV43" s="27"/>
      <c r="AW43" s="27"/>
      <c r="AX43" s="27"/>
      <c r="AY43" s="27"/>
      <c r="AZ43" s="27"/>
      <c r="BA43" s="27"/>
      <c r="BB43" s="26">
        <f>SUM(AU43:BA43)</f>
        <v>1</v>
      </c>
      <c r="BD43" s="27">
        <v>0</v>
      </c>
      <c r="BE43" s="27"/>
      <c r="BF43" s="27"/>
      <c r="BG43" s="27"/>
      <c r="BH43" s="27"/>
      <c r="BI43" s="27"/>
      <c r="BJ43" s="27"/>
      <c r="BK43" s="26">
        <f>SUM(BD43:BJ43)</f>
        <v>0</v>
      </c>
      <c r="BM43" s="27">
        <v>1</v>
      </c>
      <c r="BN43" s="27"/>
      <c r="BO43" s="27"/>
      <c r="BP43" s="27"/>
      <c r="BQ43" s="27"/>
      <c r="BR43" s="27"/>
      <c r="BS43" s="27"/>
      <c r="BT43" s="26">
        <f>SUM(BM43:BS43)</f>
        <v>1</v>
      </c>
      <c r="BV43" s="26">
        <f t="shared" si="110"/>
        <v>9</v>
      </c>
      <c r="BW43" s="26">
        <f t="shared" si="108"/>
        <v>0</v>
      </c>
      <c r="BX43" s="26">
        <f t="shared" si="108"/>
        <v>0</v>
      </c>
      <c r="BY43" s="26">
        <f t="shared" si="108"/>
        <v>0</v>
      </c>
      <c r="BZ43" s="26">
        <f t="shared" si="108"/>
        <v>0</v>
      </c>
      <c r="CA43" s="26">
        <f t="shared" si="108"/>
        <v>0</v>
      </c>
      <c r="CB43" s="27"/>
      <c r="CC43" s="26">
        <f>SUM(BV43:CB43)</f>
        <v>9</v>
      </c>
    </row>
    <row r="44" spans="1:81">
      <c r="A44" s="32" t="s">
        <v>45</v>
      </c>
      <c r="B44" s="27">
        <v>0</v>
      </c>
      <c r="C44" s="27"/>
      <c r="D44" s="27"/>
      <c r="E44" s="27"/>
      <c r="F44" s="27"/>
      <c r="G44" s="27"/>
      <c r="H44" s="27"/>
      <c r="I44" s="26">
        <f>SUM(B44:H44)</f>
        <v>0</v>
      </c>
      <c r="K44" s="27">
        <v>0</v>
      </c>
      <c r="L44" s="27"/>
      <c r="M44" s="27"/>
      <c r="N44" s="27"/>
      <c r="O44" s="27"/>
      <c r="P44" s="27"/>
      <c r="Q44" s="27"/>
      <c r="R44" s="26">
        <f>SUM(K44:Q44)</f>
        <v>0</v>
      </c>
      <c r="T44" s="27">
        <v>1</v>
      </c>
      <c r="U44" s="27"/>
      <c r="V44" s="27"/>
      <c r="W44" s="27"/>
      <c r="X44" s="27"/>
      <c r="Y44" s="27"/>
      <c r="Z44" s="27"/>
      <c r="AA44" s="26">
        <f>SUM(T44:Z44)</f>
        <v>1</v>
      </c>
      <c r="AC44" s="27">
        <v>4</v>
      </c>
      <c r="AD44" s="27"/>
      <c r="AE44" s="27"/>
      <c r="AF44" s="27"/>
      <c r="AG44" s="27"/>
      <c r="AH44" s="27"/>
      <c r="AI44" s="27"/>
      <c r="AJ44" s="26">
        <f>SUM(AC44:AI44)</f>
        <v>4</v>
      </c>
      <c r="AL44" s="27">
        <v>3</v>
      </c>
      <c r="AM44" s="27"/>
      <c r="AN44" s="27"/>
      <c r="AO44" s="27"/>
      <c r="AP44" s="27"/>
      <c r="AQ44" s="27"/>
      <c r="AR44" s="27"/>
      <c r="AS44" s="26">
        <f>SUM(AL44:AR44)</f>
        <v>3</v>
      </c>
      <c r="AU44" s="27"/>
      <c r="AV44" s="27"/>
      <c r="AW44" s="27"/>
      <c r="AX44" s="27"/>
      <c r="AY44" s="27"/>
      <c r="AZ44" s="27"/>
      <c r="BA44" s="27"/>
      <c r="BB44" s="26">
        <f>SUM(AU44:BA44)</f>
        <v>0</v>
      </c>
      <c r="BD44" s="27">
        <v>0</v>
      </c>
      <c r="BE44" s="27"/>
      <c r="BF44" s="27"/>
      <c r="BG44" s="27"/>
      <c r="BH44" s="27"/>
      <c r="BI44" s="27"/>
      <c r="BJ44" s="27"/>
      <c r="BK44" s="26">
        <f>SUM(BD44:BJ44)</f>
        <v>0</v>
      </c>
      <c r="BM44" s="27">
        <v>0</v>
      </c>
      <c r="BN44" s="27"/>
      <c r="BO44" s="27"/>
      <c r="BP44" s="27"/>
      <c r="BQ44" s="27"/>
      <c r="BR44" s="27"/>
      <c r="BS44" s="27"/>
      <c r="BT44" s="26">
        <f>SUM(BM44:BS44)</f>
        <v>0</v>
      </c>
      <c r="BV44" s="26">
        <f t="shared" si="110"/>
        <v>8</v>
      </c>
      <c r="BW44" s="26">
        <f t="shared" si="108"/>
        <v>0</v>
      </c>
      <c r="BX44" s="26">
        <f t="shared" si="108"/>
        <v>0</v>
      </c>
      <c r="BY44" s="26">
        <f t="shared" si="108"/>
        <v>0</v>
      </c>
      <c r="BZ44" s="26">
        <f t="shared" si="108"/>
        <v>0</v>
      </c>
      <c r="CA44" s="26">
        <f t="shared" si="108"/>
        <v>0</v>
      </c>
      <c r="CB44" s="27"/>
      <c r="CC44" s="26">
        <f>SUM(BV44:CB44)</f>
        <v>8</v>
      </c>
    </row>
    <row r="45" spans="1:81">
      <c r="A45" s="32" t="s">
        <v>46</v>
      </c>
      <c r="B45" s="27">
        <v>0</v>
      </c>
      <c r="C45" s="27"/>
      <c r="D45" s="27"/>
      <c r="E45" s="27"/>
      <c r="F45" s="27"/>
      <c r="G45" s="27"/>
      <c r="H45" s="27"/>
      <c r="I45" s="26">
        <f t="shared" si="100"/>
        <v>0</v>
      </c>
      <c r="K45" s="27"/>
      <c r="L45" s="27"/>
      <c r="M45" s="27"/>
      <c r="N45" s="27"/>
      <c r="O45" s="27"/>
      <c r="P45" s="27"/>
      <c r="Q45" s="27"/>
      <c r="R45" s="26">
        <f t="shared" si="101"/>
        <v>0</v>
      </c>
      <c r="T45" s="27"/>
      <c r="U45" s="27"/>
      <c r="V45" s="27"/>
      <c r="W45" s="27"/>
      <c r="X45" s="27"/>
      <c r="Y45" s="27"/>
      <c r="Z45" s="27"/>
      <c r="AA45" s="26">
        <f t="shared" si="102"/>
        <v>0</v>
      </c>
      <c r="AC45" s="27">
        <v>0</v>
      </c>
      <c r="AD45" s="27"/>
      <c r="AE45" s="27"/>
      <c r="AF45" s="27"/>
      <c r="AG45" s="27"/>
      <c r="AH45" s="27"/>
      <c r="AI45" s="27"/>
      <c r="AJ45" s="26">
        <f t="shared" si="103"/>
        <v>0</v>
      </c>
      <c r="AL45" s="27">
        <v>0</v>
      </c>
      <c r="AM45" s="27"/>
      <c r="AN45" s="27"/>
      <c r="AO45" s="27"/>
      <c r="AP45" s="27"/>
      <c r="AQ45" s="27"/>
      <c r="AR45" s="27"/>
      <c r="AS45" s="26">
        <f t="shared" si="104"/>
        <v>0</v>
      </c>
      <c r="AU45" s="27"/>
      <c r="AV45" s="27"/>
      <c r="AW45" s="27"/>
      <c r="AX45" s="27"/>
      <c r="AY45" s="27"/>
      <c r="AZ45" s="27"/>
      <c r="BA45" s="27"/>
      <c r="BB45" s="26">
        <f t="shared" si="105"/>
        <v>0</v>
      </c>
      <c r="BD45" s="27">
        <v>0</v>
      </c>
      <c r="BE45" s="27"/>
      <c r="BF45" s="27"/>
      <c r="BG45" s="27"/>
      <c r="BH45" s="27"/>
      <c r="BI45" s="27"/>
      <c r="BJ45" s="27"/>
      <c r="BK45" s="26">
        <f t="shared" si="106"/>
        <v>0</v>
      </c>
      <c r="BM45" s="27">
        <v>0</v>
      </c>
      <c r="BN45" s="27"/>
      <c r="BO45" s="27"/>
      <c r="BP45" s="27"/>
      <c r="BQ45" s="27"/>
      <c r="BR45" s="27"/>
      <c r="BS45" s="27"/>
      <c r="BT45" s="26">
        <f t="shared" si="107"/>
        <v>0</v>
      </c>
      <c r="BV45" s="26">
        <f t="shared" si="110"/>
        <v>0</v>
      </c>
      <c r="BW45" s="26">
        <f t="shared" si="108"/>
        <v>0</v>
      </c>
      <c r="BX45" s="26">
        <f t="shared" si="108"/>
        <v>0</v>
      </c>
      <c r="BY45" s="26">
        <f t="shared" si="108"/>
        <v>0</v>
      </c>
      <c r="BZ45" s="26">
        <f t="shared" si="108"/>
        <v>0</v>
      </c>
      <c r="CA45" s="26">
        <f t="shared" si="108"/>
        <v>0</v>
      </c>
      <c r="CB45" s="27"/>
      <c r="CC45" s="26">
        <f t="shared" ref="CC45:CC46" si="111">SUM(BV45:CB45)</f>
        <v>0</v>
      </c>
    </row>
    <row r="46" spans="1:81">
      <c r="A46" s="25" t="s">
        <v>47</v>
      </c>
      <c r="B46" s="27">
        <v>2</v>
      </c>
      <c r="C46" s="27"/>
      <c r="D46" s="27"/>
      <c r="E46" s="27"/>
      <c r="F46" s="27"/>
      <c r="G46" s="27"/>
      <c r="H46" s="27"/>
      <c r="I46" s="26">
        <f t="shared" si="100"/>
        <v>2</v>
      </c>
      <c r="K46" s="27">
        <v>1</v>
      </c>
      <c r="L46" s="27"/>
      <c r="M46" s="27"/>
      <c r="N46" s="27"/>
      <c r="O46" s="27"/>
      <c r="P46" s="27"/>
      <c r="Q46" s="27"/>
      <c r="R46" s="26">
        <f t="shared" si="101"/>
        <v>1</v>
      </c>
      <c r="T46" s="27">
        <v>1</v>
      </c>
      <c r="U46" s="27"/>
      <c r="V46" s="27"/>
      <c r="W46" s="27"/>
      <c r="X46" s="27"/>
      <c r="Y46" s="27"/>
      <c r="Z46" s="27"/>
      <c r="AA46" s="26">
        <f t="shared" si="102"/>
        <v>1</v>
      </c>
      <c r="AC46" s="27">
        <v>2</v>
      </c>
      <c r="AD46" s="27"/>
      <c r="AE46" s="27"/>
      <c r="AF46" s="27"/>
      <c r="AG46" s="27"/>
      <c r="AH46" s="27"/>
      <c r="AI46" s="27"/>
      <c r="AJ46" s="26">
        <f t="shared" si="103"/>
        <v>2</v>
      </c>
      <c r="AL46" s="27">
        <v>2</v>
      </c>
      <c r="AM46" s="27"/>
      <c r="AN46" s="27"/>
      <c r="AO46" s="27"/>
      <c r="AP46" s="27"/>
      <c r="AQ46" s="27"/>
      <c r="AR46" s="27"/>
      <c r="AS46" s="26">
        <f t="shared" si="104"/>
        <v>2</v>
      </c>
      <c r="AU46" s="27"/>
      <c r="AV46" s="27"/>
      <c r="AW46" s="27"/>
      <c r="AX46" s="27"/>
      <c r="AY46" s="27"/>
      <c r="AZ46" s="27"/>
      <c r="BA46" s="27"/>
      <c r="BB46" s="26">
        <f t="shared" si="105"/>
        <v>0</v>
      </c>
      <c r="BD46" s="27">
        <v>1</v>
      </c>
      <c r="BE46" s="27"/>
      <c r="BF46" s="27"/>
      <c r="BG46" s="27"/>
      <c r="BH46" s="27"/>
      <c r="BI46" s="27"/>
      <c r="BJ46" s="27"/>
      <c r="BK46" s="26">
        <f t="shared" si="106"/>
        <v>1</v>
      </c>
      <c r="BM46" s="27">
        <v>1</v>
      </c>
      <c r="BN46" s="27"/>
      <c r="BO46" s="27"/>
      <c r="BP46" s="27"/>
      <c r="BQ46" s="27"/>
      <c r="BR46" s="27"/>
      <c r="BS46" s="27"/>
      <c r="BT46" s="26">
        <f t="shared" si="107"/>
        <v>1</v>
      </c>
      <c r="BV46" s="26">
        <f t="shared" si="110"/>
        <v>10</v>
      </c>
      <c r="BW46" s="26">
        <f t="shared" si="108"/>
        <v>0</v>
      </c>
      <c r="BX46" s="26">
        <f t="shared" si="108"/>
        <v>0</v>
      </c>
      <c r="BY46" s="26">
        <f t="shared" si="108"/>
        <v>0</v>
      </c>
      <c r="BZ46" s="26">
        <f t="shared" si="108"/>
        <v>0</v>
      </c>
      <c r="CA46" s="26">
        <f t="shared" si="108"/>
        <v>0</v>
      </c>
      <c r="CB46" s="27"/>
      <c r="CC46" s="26">
        <f t="shared" si="111"/>
        <v>10</v>
      </c>
    </row>
    <row r="47" spans="1:81">
      <c r="A47" s="25" t="s">
        <v>48</v>
      </c>
      <c r="B47" s="27">
        <v>1</v>
      </c>
      <c r="C47" s="27"/>
      <c r="D47" s="27"/>
      <c r="E47" s="27"/>
      <c r="F47" s="27"/>
      <c r="G47" s="27"/>
      <c r="H47" s="27"/>
      <c r="I47" s="26">
        <f>SUM(B47:H47)</f>
        <v>1</v>
      </c>
      <c r="K47" s="27">
        <v>1</v>
      </c>
      <c r="L47" s="27"/>
      <c r="M47" s="27"/>
      <c r="N47" s="27"/>
      <c r="O47" s="27"/>
      <c r="P47" s="27"/>
      <c r="Q47" s="27"/>
      <c r="R47" s="26">
        <f>SUM(K47:Q47)</f>
        <v>1</v>
      </c>
      <c r="T47" s="27">
        <v>1</v>
      </c>
      <c r="U47" s="27"/>
      <c r="V47" s="27"/>
      <c r="W47" s="27"/>
      <c r="X47" s="27"/>
      <c r="Y47" s="27"/>
      <c r="Z47" s="27"/>
      <c r="AA47" s="26">
        <f>SUM(T47:Z47)</f>
        <v>1</v>
      </c>
      <c r="AC47" s="27">
        <v>2</v>
      </c>
      <c r="AD47" s="27"/>
      <c r="AE47" s="27"/>
      <c r="AF47" s="27"/>
      <c r="AG47" s="27"/>
      <c r="AH47" s="27"/>
      <c r="AI47" s="27"/>
      <c r="AJ47" s="26">
        <f>SUM(AC47:AI47)</f>
        <v>2</v>
      </c>
      <c r="AL47" s="27">
        <v>2</v>
      </c>
      <c r="AM47" s="27"/>
      <c r="AN47" s="27"/>
      <c r="AO47" s="27"/>
      <c r="AP47" s="27"/>
      <c r="AQ47" s="27"/>
      <c r="AR47" s="27"/>
      <c r="AS47" s="26">
        <f>SUM(AL47:AR47)</f>
        <v>2</v>
      </c>
      <c r="AU47" s="27"/>
      <c r="AV47" s="27"/>
      <c r="AW47" s="27"/>
      <c r="AX47" s="27"/>
      <c r="AY47" s="27"/>
      <c r="AZ47" s="27"/>
      <c r="BA47" s="27"/>
      <c r="BB47" s="26">
        <f>SUM(AU47:BA47)</f>
        <v>0</v>
      </c>
      <c r="BD47" s="27">
        <v>0</v>
      </c>
      <c r="BE47" s="27"/>
      <c r="BF47" s="27"/>
      <c r="BG47" s="27"/>
      <c r="BH47" s="27"/>
      <c r="BI47" s="27"/>
      <c r="BJ47" s="27"/>
      <c r="BK47" s="26">
        <f>SUM(BD47:BJ47)</f>
        <v>0</v>
      </c>
      <c r="BM47" s="27">
        <v>0</v>
      </c>
      <c r="BN47" s="27"/>
      <c r="BO47" s="27"/>
      <c r="BP47" s="27"/>
      <c r="BQ47" s="27"/>
      <c r="BR47" s="27"/>
      <c r="BS47" s="27"/>
      <c r="BT47" s="26">
        <f>SUM(BM47:BS47)</f>
        <v>0</v>
      </c>
      <c r="BV47" s="26">
        <f t="shared" si="110"/>
        <v>7</v>
      </c>
      <c r="BW47" s="26">
        <f t="shared" si="108"/>
        <v>0</v>
      </c>
      <c r="BX47" s="26">
        <f t="shared" si="108"/>
        <v>0</v>
      </c>
      <c r="BY47" s="26">
        <f t="shared" si="108"/>
        <v>0</v>
      </c>
      <c r="BZ47" s="26">
        <f t="shared" si="108"/>
        <v>0</v>
      </c>
      <c r="CA47" s="26">
        <f t="shared" si="108"/>
        <v>0</v>
      </c>
      <c r="CB47" s="27"/>
      <c r="CC47" s="26">
        <f>SUM(BV47:CB47)</f>
        <v>7</v>
      </c>
    </row>
    <row r="48" spans="1:81">
      <c r="A48" s="25" t="s">
        <v>49</v>
      </c>
      <c r="B48" s="27">
        <v>1</v>
      </c>
      <c r="C48" s="27"/>
      <c r="D48" s="27"/>
      <c r="E48" s="27"/>
      <c r="F48" s="27"/>
      <c r="G48" s="27"/>
      <c r="H48" s="27"/>
      <c r="I48" s="26">
        <f t="shared" si="100"/>
        <v>1</v>
      </c>
      <c r="K48" s="27">
        <v>1</v>
      </c>
      <c r="L48" s="27"/>
      <c r="M48" s="27"/>
      <c r="N48" s="27"/>
      <c r="O48" s="27"/>
      <c r="P48" s="27"/>
      <c r="Q48" s="27"/>
      <c r="R48" s="26">
        <f t="shared" si="101"/>
        <v>1</v>
      </c>
      <c r="T48" s="27">
        <v>1</v>
      </c>
      <c r="U48" s="27"/>
      <c r="V48" s="27"/>
      <c r="W48" s="27"/>
      <c r="X48" s="27"/>
      <c r="Y48" s="27"/>
      <c r="Z48" s="27"/>
      <c r="AA48" s="26">
        <f t="shared" si="102"/>
        <v>1</v>
      </c>
      <c r="AC48" s="27">
        <v>3</v>
      </c>
      <c r="AD48" s="27"/>
      <c r="AE48" s="27"/>
      <c r="AF48" s="27"/>
      <c r="AG48" s="27"/>
      <c r="AH48" s="27"/>
      <c r="AI48" s="27"/>
      <c r="AJ48" s="26">
        <f t="shared" si="103"/>
        <v>3</v>
      </c>
      <c r="AL48" s="27">
        <v>2</v>
      </c>
      <c r="AM48" s="27"/>
      <c r="AN48" s="27"/>
      <c r="AO48" s="27"/>
      <c r="AP48" s="27"/>
      <c r="AQ48" s="27"/>
      <c r="AR48" s="27"/>
      <c r="AS48" s="26">
        <f t="shared" si="104"/>
        <v>2</v>
      </c>
      <c r="AU48" s="27"/>
      <c r="AV48" s="27"/>
      <c r="AW48" s="27"/>
      <c r="AX48" s="27"/>
      <c r="AY48" s="27"/>
      <c r="AZ48" s="27"/>
      <c r="BA48" s="27"/>
      <c r="BB48" s="26">
        <f t="shared" si="105"/>
        <v>0</v>
      </c>
      <c r="BD48" s="27">
        <v>0</v>
      </c>
      <c r="BE48" s="27"/>
      <c r="BF48" s="27"/>
      <c r="BG48" s="27"/>
      <c r="BH48" s="27"/>
      <c r="BI48" s="27"/>
      <c r="BJ48" s="27"/>
      <c r="BK48" s="26">
        <f t="shared" si="106"/>
        <v>0</v>
      </c>
      <c r="BM48" s="27">
        <v>0</v>
      </c>
      <c r="BN48" s="27"/>
      <c r="BO48" s="27"/>
      <c r="BP48" s="27"/>
      <c r="BQ48" s="27"/>
      <c r="BR48" s="27"/>
      <c r="BS48" s="27"/>
      <c r="BT48" s="26">
        <f t="shared" si="107"/>
        <v>0</v>
      </c>
      <c r="BV48" s="26">
        <f t="shared" si="110"/>
        <v>8</v>
      </c>
      <c r="BW48" s="26">
        <f t="shared" si="108"/>
        <v>0</v>
      </c>
      <c r="BX48" s="26">
        <f t="shared" si="108"/>
        <v>0</v>
      </c>
      <c r="BY48" s="26">
        <f t="shared" si="108"/>
        <v>0</v>
      </c>
      <c r="BZ48" s="26">
        <f t="shared" si="108"/>
        <v>0</v>
      </c>
      <c r="CA48" s="26">
        <f t="shared" si="108"/>
        <v>0</v>
      </c>
      <c r="CB48" s="27"/>
      <c r="CC48" s="26">
        <f t="shared" ref="CC48" si="112">SUM(BV48:CB48)</f>
        <v>8</v>
      </c>
    </row>
    <row r="49" spans="1:81">
      <c r="A49" s="25" t="s">
        <v>50</v>
      </c>
      <c r="B49" s="27">
        <v>2</v>
      </c>
      <c r="C49" s="27"/>
      <c r="D49" s="27"/>
      <c r="E49" s="27"/>
      <c r="F49" s="27"/>
      <c r="G49" s="27"/>
      <c r="H49" s="27"/>
      <c r="I49" s="26">
        <f>SUM(B49:H49)</f>
        <v>2</v>
      </c>
      <c r="K49" s="27">
        <v>2</v>
      </c>
      <c r="L49" s="27"/>
      <c r="M49" s="27"/>
      <c r="N49" s="27"/>
      <c r="O49" s="27"/>
      <c r="P49" s="27"/>
      <c r="Q49" s="27"/>
      <c r="R49" s="26">
        <f>SUM(K49:Q49)</f>
        <v>2</v>
      </c>
      <c r="T49" s="27">
        <v>2</v>
      </c>
      <c r="U49" s="27"/>
      <c r="V49" s="27"/>
      <c r="W49" s="27"/>
      <c r="X49" s="27"/>
      <c r="Y49" s="27"/>
      <c r="Z49" s="27"/>
      <c r="AA49" s="26">
        <f>SUM(T49:Z49)</f>
        <v>2</v>
      </c>
      <c r="AC49" s="27">
        <v>5</v>
      </c>
      <c r="AD49" s="27"/>
      <c r="AE49" s="27"/>
      <c r="AF49" s="27"/>
      <c r="AG49" s="27"/>
      <c r="AH49" s="27"/>
      <c r="AI49" s="27"/>
      <c r="AJ49" s="26">
        <f>SUM(AC49:AI49)</f>
        <v>5</v>
      </c>
      <c r="AL49" s="27">
        <v>4</v>
      </c>
      <c r="AM49" s="27"/>
      <c r="AN49" s="27"/>
      <c r="AO49" s="27"/>
      <c r="AP49" s="27"/>
      <c r="AQ49" s="27"/>
      <c r="AR49" s="27"/>
      <c r="AS49" s="26">
        <f>SUM(AL49:AR49)</f>
        <v>4</v>
      </c>
      <c r="AU49" s="27"/>
      <c r="AV49" s="27"/>
      <c r="AW49" s="27"/>
      <c r="AX49" s="27"/>
      <c r="AY49" s="27"/>
      <c r="AZ49" s="27"/>
      <c r="BA49" s="27"/>
      <c r="BB49" s="26">
        <f>SUM(AU49:BA49)</f>
        <v>0</v>
      </c>
      <c r="BD49" s="27">
        <v>1</v>
      </c>
      <c r="BE49" s="27"/>
      <c r="BF49" s="27"/>
      <c r="BG49" s="27"/>
      <c r="BH49" s="27">
        <v>0</v>
      </c>
      <c r="BI49" s="27"/>
      <c r="BJ49" s="27"/>
      <c r="BK49" s="26">
        <f>SUM(BD49:BJ49)</f>
        <v>1</v>
      </c>
      <c r="BM49" s="27">
        <v>0</v>
      </c>
      <c r="BN49" s="27"/>
      <c r="BO49" s="27"/>
      <c r="BP49" s="27"/>
      <c r="BQ49" s="27"/>
      <c r="BR49" s="27"/>
      <c r="BS49" s="27"/>
      <c r="BT49" s="26">
        <f>SUM(BM49:BS49)</f>
        <v>0</v>
      </c>
      <c r="BV49" s="26">
        <f t="shared" si="110"/>
        <v>16</v>
      </c>
      <c r="BW49" s="26">
        <f t="shared" si="108"/>
        <v>0</v>
      </c>
      <c r="BX49" s="26">
        <f t="shared" si="108"/>
        <v>0</v>
      </c>
      <c r="BY49" s="26">
        <f t="shared" si="108"/>
        <v>0</v>
      </c>
      <c r="BZ49" s="26">
        <f t="shared" si="108"/>
        <v>0</v>
      </c>
      <c r="CA49" s="26">
        <f t="shared" si="108"/>
        <v>0</v>
      </c>
      <c r="CB49" s="27"/>
      <c r="CC49" s="26">
        <f>SUM(BV49:CB49)</f>
        <v>16</v>
      </c>
    </row>
    <row r="50" spans="1:81">
      <c r="A50" s="25" t="s">
        <v>51</v>
      </c>
      <c r="B50" s="27">
        <v>4</v>
      </c>
      <c r="C50" s="27">
        <v>4</v>
      </c>
      <c r="D50" s="27">
        <v>1</v>
      </c>
      <c r="E50" s="27"/>
      <c r="F50" s="27"/>
      <c r="G50" s="27"/>
      <c r="H50" s="27"/>
      <c r="I50" s="26">
        <f>SUM(B50:H50)</f>
        <v>9</v>
      </c>
      <c r="K50" s="27">
        <v>7</v>
      </c>
      <c r="L50" s="27">
        <v>4</v>
      </c>
      <c r="M50" s="27">
        <v>1</v>
      </c>
      <c r="N50" s="27"/>
      <c r="O50" s="27"/>
      <c r="P50" s="27"/>
      <c r="Q50" s="27"/>
      <c r="R50" s="26">
        <f>SUM(K50:Q50)</f>
        <v>12</v>
      </c>
      <c r="T50" s="27">
        <v>5</v>
      </c>
      <c r="U50" s="27">
        <v>5</v>
      </c>
      <c r="V50" s="27">
        <v>1</v>
      </c>
      <c r="W50" s="27"/>
      <c r="X50" s="27"/>
      <c r="Y50" s="27"/>
      <c r="Z50" s="27"/>
      <c r="AA50" s="26">
        <f>SUM(T50:Z50)</f>
        <v>11</v>
      </c>
      <c r="AC50" s="27">
        <v>11</v>
      </c>
      <c r="AD50" s="27">
        <v>13</v>
      </c>
      <c r="AE50" s="27">
        <v>3</v>
      </c>
      <c r="AF50" s="27"/>
      <c r="AG50" s="27"/>
      <c r="AH50" s="27"/>
      <c r="AI50" s="27"/>
      <c r="AJ50" s="26">
        <f>SUM(AC50:AI50)</f>
        <v>27</v>
      </c>
      <c r="AL50" s="27">
        <v>5</v>
      </c>
      <c r="AM50" s="27">
        <v>12</v>
      </c>
      <c r="AN50" s="27">
        <v>3</v>
      </c>
      <c r="AO50" s="27"/>
      <c r="AP50" s="27"/>
      <c r="AQ50" s="27"/>
      <c r="AR50" s="27"/>
      <c r="AS50" s="26">
        <f>SUM(AL50:AR50)</f>
        <v>20</v>
      </c>
      <c r="AU50" s="27">
        <v>2</v>
      </c>
      <c r="AV50" s="27">
        <v>1</v>
      </c>
      <c r="AW50" s="27"/>
      <c r="AX50" s="27"/>
      <c r="AY50" s="27"/>
      <c r="AZ50" s="27"/>
      <c r="BA50" s="27"/>
      <c r="BB50" s="26">
        <f>SUM(AU50:BA50)</f>
        <v>3</v>
      </c>
      <c r="BD50" s="27">
        <v>2</v>
      </c>
      <c r="BE50" s="27">
        <v>1</v>
      </c>
      <c r="BF50" s="27">
        <v>0</v>
      </c>
      <c r="BG50" s="27"/>
      <c r="BH50" s="27"/>
      <c r="BI50" s="27"/>
      <c r="BJ50" s="27"/>
      <c r="BK50" s="26">
        <f>SUM(BD50:BJ50)</f>
        <v>3</v>
      </c>
      <c r="BM50" s="27">
        <v>0.5</v>
      </c>
      <c r="BN50" s="27"/>
      <c r="BO50" s="27">
        <v>0</v>
      </c>
      <c r="BP50" s="27"/>
      <c r="BQ50" s="27"/>
      <c r="BR50" s="27"/>
      <c r="BS50" s="27"/>
      <c r="BT50" s="26">
        <f>SUM(BM50:BS50)</f>
        <v>0.5</v>
      </c>
      <c r="BV50" s="26">
        <f t="shared" si="110"/>
        <v>36.5</v>
      </c>
      <c r="BW50" s="26">
        <f t="shared" si="108"/>
        <v>40</v>
      </c>
      <c r="BX50" s="26">
        <f t="shared" si="108"/>
        <v>9</v>
      </c>
      <c r="BY50" s="26">
        <f t="shared" si="108"/>
        <v>0</v>
      </c>
      <c r="BZ50" s="26">
        <f t="shared" si="108"/>
        <v>0</v>
      </c>
      <c r="CA50" s="26">
        <f t="shared" si="108"/>
        <v>0</v>
      </c>
      <c r="CB50" s="27"/>
      <c r="CC50" s="26">
        <f>SUM(BV50:CB50)</f>
        <v>85.5</v>
      </c>
    </row>
    <row r="51" spans="1:81">
      <c r="A51" s="25" t="s">
        <v>52</v>
      </c>
      <c r="B51" s="27">
        <v>2</v>
      </c>
      <c r="C51" s="27"/>
      <c r="D51" s="27"/>
      <c r="E51" s="27"/>
      <c r="F51" s="27"/>
      <c r="G51" s="27"/>
      <c r="H51" s="27"/>
      <c r="I51" s="26">
        <f t="shared" si="100"/>
        <v>2</v>
      </c>
      <c r="K51" s="27">
        <v>3</v>
      </c>
      <c r="L51" s="27"/>
      <c r="M51" s="27"/>
      <c r="N51" s="27"/>
      <c r="O51" s="27"/>
      <c r="P51" s="27"/>
      <c r="Q51" s="27"/>
      <c r="R51" s="26">
        <f t="shared" si="101"/>
        <v>3</v>
      </c>
      <c r="T51" s="27">
        <v>3</v>
      </c>
      <c r="U51" s="27"/>
      <c r="V51" s="27"/>
      <c r="W51" s="27"/>
      <c r="X51" s="27"/>
      <c r="Y51" s="27"/>
      <c r="Z51" s="27"/>
      <c r="AA51" s="26">
        <f t="shared" si="102"/>
        <v>3</v>
      </c>
      <c r="AC51" s="27">
        <v>7</v>
      </c>
      <c r="AD51" s="27"/>
      <c r="AE51" s="27"/>
      <c r="AF51" s="27"/>
      <c r="AG51" s="27"/>
      <c r="AH51" s="27"/>
      <c r="AI51" s="27"/>
      <c r="AJ51" s="26">
        <f t="shared" si="103"/>
        <v>7</v>
      </c>
      <c r="AL51" s="27">
        <v>8</v>
      </c>
      <c r="AM51" s="27"/>
      <c r="AN51" s="27"/>
      <c r="AO51" s="27"/>
      <c r="AP51" s="27"/>
      <c r="AQ51" s="27"/>
      <c r="AR51" s="27"/>
      <c r="AS51" s="26">
        <f t="shared" si="104"/>
        <v>8</v>
      </c>
      <c r="AU51" s="27"/>
      <c r="AV51" s="27"/>
      <c r="AW51" s="27"/>
      <c r="AX51" s="27"/>
      <c r="AY51" s="27"/>
      <c r="AZ51" s="27"/>
      <c r="BA51" s="27"/>
      <c r="BB51" s="26">
        <f t="shared" si="105"/>
        <v>0</v>
      </c>
      <c r="BD51" s="27">
        <v>1</v>
      </c>
      <c r="BE51" s="27"/>
      <c r="BF51" s="27"/>
      <c r="BG51" s="27"/>
      <c r="BH51" s="27"/>
      <c r="BI51" s="27"/>
      <c r="BJ51" s="27"/>
      <c r="BK51" s="26">
        <f t="shared" si="106"/>
        <v>1</v>
      </c>
      <c r="BM51" s="27">
        <v>0</v>
      </c>
      <c r="BN51" s="27"/>
      <c r="BO51" s="27"/>
      <c r="BP51" s="27"/>
      <c r="BQ51" s="27"/>
      <c r="BR51" s="27"/>
      <c r="BS51" s="27"/>
      <c r="BT51" s="26">
        <f t="shared" si="107"/>
        <v>0</v>
      </c>
      <c r="BV51" s="26">
        <f t="shared" si="110"/>
        <v>24</v>
      </c>
      <c r="BW51" s="26">
        <f t="shared" si="108"/>
        <v>0</v>
      </c>
      <c r="BX51" s="26">
        <f t="shared" si="108"/>
        <v>0</v>
      </c>
      <c r="BY51" s="26">
        <f t="shared" si="108"/>
        <v>0</v>
      </c>
      <c r="BZ51" s="26">
        <f t="shared" si="108"/>
        <v>0</v>
      </c>
      <c r="CA51" s="26">
        <f t="shared" si="108"/>
        <v>0</v>
      </c>
      <c r="CB51" s="27"/>
      <c r="CC51" s="26">
        <f t="shared" ref="CC51" si="113">SUM(BV51:CB51)</f>
        <v>24</v>
      </c>
    </row>
    <row r="52" spans="1:81">
      <c r="A52" s="25" t="s">
        <v>53</v>
      </c>
      <c r="B52" s="27"/>
      <c r="C52" s="27"/>
      <c r="D52" s="27">
        <v>1</v>
      </c>
      <c r="E52" s="27"/>
      <c r="F52" s="27"/>
      <c r="G52" s="27"/>
      <c r="H52" s="27"/>
      <c r="I52" s="26">
        <f>SUM(B52:H52)</f>
        <v>1</v>
      </c>
      <c r="K52" s="27"/>
      <c r="L52" s="27"/>
      <c r="M52" s="27">
        <v>1</v>
      </c>
      <c r="N52" s="27"/>
      <c r="O52" s="27"/>
      <c r="P52" s="27"/>
      <c r="Q52" s="27"/>
      <c r="R52" s="26">
        <f>SUM(K52:Q52)</f>
        <v>1</v>
      </c>
      <c r="T52" s="27"/>
      <c r="U52" s="27"/>
      <c r="V52" s="27">
        <v>1</v>
      </c>
      <c r="W52" s="27"/>
      <c r="X52" s="27"/>
      <c r="Y52" s="27"/>
      <c r="Z52" s="27"/>
      <c r="AA52" s="26">
        <f>SUM(T52:Z52)</f>
        <v>1</v>
      </c>
      <c r="AC52" s="27"/>
      <c r="AD52" s="27"/>
      <c r="AE52" s="27">
        <v>3</v>
      </c>
      <c r="AF52" s="27"/>
      <c r="AG52" s="27"/>
      <c r="AH52" s="27"/>
      <c r="AI52" s="27"/>
      <c r="AJ52" s="26">
        <f>SUM(AC52:AI52)</f>
        <v>3</v>
      </c>
      <c r="AL52" s="27"/>
      <c r="AM52" s="27"/>
      <c r="AN52" s="27">
        <v>1</v>
      </c>
      <c r="AO52" s="27"/>
      <c r="AP52" s="27"/>
      <c r="AQ52" s="27"/>
      <c r="AR52" s="27"/>
      <c r="AS52" s="26">
        <f>SUM(AL52:AR52)</f>
        <v>1</v>
      </c>
      <c r="AU52" s="27"/>
      <c r="AV52" s="27"/>
      <c r="AW52" s="27"/>
      <c r="AX52" s="27"/>
      <c r="AY52" s="27"/>
      <c r="AZ52" s="27"/>
      <c r="BA52" s="27"/>
      <c r="BB52" s="26">
        <f>SUM(AU52:BA52)</f>
        <v>0</v>
      </c>
      <c r="BD52" s="27"/>
      <c r="BE52" s="27"/>
      <c r="BF52" s="27">
        <v>1</v>
      </c>
      <c r="BG52" s="27"/>
      <c r="BH52" s="27"/>
      <c r="BI52" s="27"/>
      <c r="BJ52" s="27"/>
      <c r="BK52" s="26">
        <f>SUM(BD52:BJ52)</f>
        <v>1</v>
      </c>
      <c r="BM52" s="27">
        <v>0</v>
      </c>
      <c r="BN52" s="27"/>
      <c r="BO52" s="27">
        <v>0.5</v>
      </c>
      <c r="BP52" s="27"/>
      <c r="BQ52" s="27"/>
      <c r="BR52" s="27"/>
      <c r="BS52" s="27"/>
      <c r="BT52" s="26">
        <f>SUM(BM52:BS52)</f>
        <v>0.5</v>
      </c>
      <c r="BV52" s="26">
        <f t="shared" si="110"/>
        <v>0</v>
      </c>
      <c r="BW52" s="26">
        <f t="shared" si="108"/>
        <v>0</v>
      </c>
      <c r="BX52" s="26">
        <f t="shared" si="108"/>
        <v>8.5</v>
      </c>
      <c r="BY52" s="26">
        <f t="shared" si="108"/>
        <v>0</v>
      </c>
      <c r="BZ52" s="26">
        <f t="shared" si="108"/>
        <v>0</v>
      </c>
      <c r="CA52" s="26">
        <f t="shared" si="108"/>
        <v>0</v>
      </c>
      <c r="CB52" s="27"/>
      <c r="CC52" s="26">
        <f>SUM(BV52:CB52)</f>
        <v>8.5</v>
      </c>
    </row>
    <row r="53" spans="1:81">
      <c r="A53" s="25" t="s">
        <v>54</v>
      </c>
      <c r="B53" s="27">
        <v>0</v>
      </c>
      <c r="C53" s="27"/>
      <c r="D53" s="27"/>
      <c r="E53" s="27"/>
      <c r="F53" s="27"/>
      <c r="G53" s="27"/>
      <c r="H53" s="27"/>
      <c r="I53" s="26">
        <f t="shared" si="100"/>
        <v>0</v>
      </c>
      <c r="J53" s="6"/>
      <c r="K53" s="27"/>
      <c r="L53" s="27"/>
      <c r="M53" s="27"/>
      <c r="N53" s="27"/>
      <c r="O53" s="27"/>
      <c r="P53" s="27"/>
      <c r="Q53" s="27"/>
      <c r="R53" s="26">
        <f t="shared" si="101"/>
        <v>0</v>
      </c>
      <c r="T53" s="27"/>
      <c r="U53" s="27"/>
      <c r="V53" s="27"/>
      <c r="W53" s="27"/>
      <c r="X53" s="27"/>
      <c r="Y53" s="27"/>
      <c r="Z53" s="27"/>
      <c r="AA53" s="26">
        <f t="shared" si="102"/>
        <v>0</v>
      </c>
      <c r="AC53" s="27">
        <v>0</v>
      </c>
      <c r="AD53" s="27"/>
      <c r="AE53" s="27"/>
      <c r="AF53" s="27"/>
      <c r="AG53" s="27"/>
      <c r="AH53" s="27"/>
      <c r="AI53" s="27"/>
      <c r="AJ53" s="26">
        <f t="shared" si="103"/>
        <v>0</v>
      </c>
      <c r="AL53" s="27">
        <v>0</v>
      </c>
      <c r="AM53" s="27"/>
      <c r="AN53" s="27"/>
      <c r="AO53" s="27"/>
      <c r="AP53" s="27"/>
      <c r="AQ53" s="27"/>
      <c r="AR53" s="27"/>
      <c r="AS53" s="26">
        <f t="shared" si="104"/>
        <v>0</v>
      </c>
      <c r="AU53" s="27"/>
      <c r="AV53" s="27"/>
      <c r="AW53" s="27"/>
      <c r="AX53" s="27"/>
      <c r="AY53" s="27"/>
      <c r="AZ53" s="27"/>
      <c r="BA53" s="27"/>
      <c r="BB53" s="26">
        <f t="shared" si="105"/>
        <v>0</v>
      </c>
      <c r="BD53" s="27"/>
      <c r="BE53" s="27"/>
      <c r="BF53" s="27"/>
      <c r="BG53" s="27"/>
      <c r="BH53" s="27"/>
      <c r="BI53" s="27"/>
      <c r="BJ53" s="27"/>
      <c r="BK53" s="26">
        <f t="shared" si="106"/>
        <v>0</v>
      </c>
      <c r="BM53" s="27">
        <v>0</v>
      </c>
      <c r="BN53" s="27"/>
      <c r="BO53" s="27"/>
      <c r="BP53" s="27"/>
      <c r="BQ53" s="27"/>
      <c r="BR53" s="27"/>
      <c r="BS53" s="27"/>
      <c r="BT53" s="26">
        <f t="shared" si="107"/>
        <v>0</v>
      </c>
      <c r="BV53" s="26">
        <f t="shared" si="110"/>
        <v>0</v>
      </c>
      <c r="BW53" s="26">
        <f t="shared" si="108"/>
        <v>0</v>
      </c>
      <c r="BX53" s="26">
        <f t="shared" si="108"/>
        <v>0</v>
      </c>
      <c r="BY53" s="26">
        <f t="shared" si="108"/>
        <v>0</v>
      </c>
      <c r="BZ53" s="26">
        <f t="shared" si="108"/>
        <v>0</v>
      </c>
      <c r="CA53" s="26">
        <f t="shared" si="108"/>
        <v>0</v>
      </c>
      <c r="CB53" s="27"/>
      <c r="CC53" s="26">
        <f t="shared" ref="CC53:CC55" si="114">SUM(BV53:CB53)</f>
        <v>0</v>
      </c>
    </row>
    <row r="54" spans="1:81">
      <c r="A54" s="29" t="s">
        <v>55</v>
      </c>
      <c r="B54" s="27"/>
      <c r="C54" s="27">
        <v>1</v>
      </c>
      <c r="D54" s="27"/>
      <c r="E54" s="27"/>
      <c r="F54" s="27"/>
      <c r="G54" s="27"/>
      <c r="H54" s="27"/>
      <c r="I54" s="26">
        <f t="shared" si="100"/>
        <v>1</v>
      </c>
      <c r="J54" s="6"/>
      <c r="K54" s="27"/>
      <c r="L54" s="27">
        <v>1</v>
      </c>
      <c r="M54" s="27"/>
      <c r="N54" s="27"/>
      <c r="O54" s="27"/>
      <c r="P54" s="27"/>
      <c r="Q54" s="27"/>
      <c r="R54" s="26">
        <f t="shared" si="101"/>
        <v>1</v>
      </c>
      <c r="T54" s="27"/>
      <c r="U54" s="27">
        <v>1</v>
      </c>
      <c r="V54" s="27"/>
      <c r="W54" s="27"/>
      <c r="X54" s="27"/>
      <c r="Y54" s="27"/>
      <c r="Z54" s="27"/>
      <c r="AA54" s="26">
        <f t="shared" si="102"/>
        <v>1</v>
      </c>
      <c r="AC54" s="27"/>
      <c r="AD54" s="27">
        <v>1</v>
      </c>
      <c r="AE54" s="27"/>
      <c r="AF54" s="27"/>
      <c r="AG54" s="27"/>
      <c r="AH54" s="27"/>
      <c r="AI54" s="27"/>
      <c r="AJ54" s="26">
        <f t="shared" si="103"/>
        <v>1</v>
      </c>
      <c r="AL54" s="27"/>
      <c r="AM54" s="27">
        <v>0</v>
      </c>
      <c r="AN54" s="27"/>
      <c r="AO54" s="27"/>
      <c r="AP54" s="27"/>
      <c r="AQ54" s="27"/>
      <c r="AR54" s="27"/>
      <c r="AS54" s="26">
        <f t="shared" si="104"/>
        <v>0</v>
      </c>
      <c r="AU54" s="27"/>
      <c r="AV54" s="27"/>
      <c r="AW54" s="27"/>
      <c r="AX54" s="27"/>
      <c r="AY54" s="27"/>
      <c r="AZ54" s="27"/>
      <c r="BA54" s="27"/>
      <c r="BB54" s="26">
        <f t="shared" si="105"/>
        <v>0</v>
      </c>
      <c r="BD54" s="27"/>
      <c r="BE54" s="27"/>
      <c r="BF54" s="27"/>
      <c r="BG54" s="27"/>
      <c r="BH54" s="27"/>
      <c r="BI54" s="27"/>
      <c r="BJ54" s="27"/>
      <c r="BK54" s="26">
        <f t="shared" si="106"/>
        <v>0</v>
      </c>
      <c r="BM54" s="27"/>
      <c r="BN54" s="27"/>
      <c r="BO54" s="27"/>
      <c r="BP54" s="27"/>
      <c r="BQ54" s="27"/>
      <c r="BR54" s="27"/>
      <c r="BS54" s="27"/>
      <c r="BT54" s="26">
        <f t="shared" si="107"/>
        <v>0</v>
      </c>
      <c r="BV54" s="26">
        <f t="shared" si="110"/>
        <v>0</v>
      </c>
      <c r="BW54" s="26">
        <f t="shared" si="108"/>
        <v>4</v>
      </c>
      <c r="BX54" s="26">
        <f t="shared" si="108"/>
        <v>0</v>
      </c>
      <c r="BY54" s="26">
        <f t="shared" si="108"/>
        <v>0</v>
      </c>
      <c r="BZ54" s="26">
        <f t="shared" si="108"/>
        <v>0</v>
      </c>
      <c r="CA54" s="26">
        <f t="shared" si="108"/>
        <v>0</v>
      </c>
      <c r="CB54" s="27"/>
      <c r="CC54" s="26">
        <f t="shared" si="114"/>
        <v>4</v>
      </c>
    </row>
    <row r="55" spans="1:81">
      <c r="A55" s="29" t="s">
        <v>56</v>
      </c>
      <c r="B55" s="27"/>
      <c r="C55" s="27">
        <v>0</v>
      </c>
      <c r="D55" s="27"/>
      <c r="E55" s="27"/>
      <c r="F55" s="27"/>
      <c r="G55" s="27"/>
      <c r="H55" s="27"/>
      <c r="I55" s="26">
        <f t="shared" si="100"/>
        <v>0</v>
      </c>
      <c r="J55" s="6"/>
      <c r="K55" s="27"/>
      <c r="L55" s="27">
        <v>0</v>
      </c>
      <c r="M55" s="27"/>
      <c r="N55" s="27"/>
      <c r="O55" s="27"/>
      <c r="P55" s="27"/>
      <c r="Q55" s="27"/>
      <c r="R55" s="26">
        <f t="shared" si="101"/>
        <v>0</v>
      </c>
      <c r="T55" s="27"/>
      <c r="U55" s="27">
        <v>1</v>
      </c>
      <c r="V55" s="27"/>
      <c r="W55" s="27"/>
      <c r="X55" s="27"/>
      <c r="Y55" s="27"/>
      <c r="Z55" s="27"/>
      <c r="AA55" s="26">
        <f t="shared" si="102"/>
        <v>1</v>
      </c>
      <c r="AC55" s="27"/>
      <c r="AD55" s="27">
        <v>1</v>
      </c>
      <c r="AE55" s="27"/>
      <c r="AF55" s="27"/>
      <c r="AG55" s="27"/>
      <c r="AH55" s="27"/>
      <c r="AI55" s="27"/>
      <c r="AJ55" s="26">
        <f t="shared" si="103"/>
        <v>1</v>
      </c>
      <c r="AL55" s="27"/>
      <c r="AM55" s="27">
        <v>0</v>
      </c>
      <c r="AN55" s="27"/>
      <c r="AO55" s="27"/>
      <c r="AP55" s="27"/>
      <c r="AQ55" s="27"/>
      <c r="AR55" s="27"/>
      <c r="AS55" s="26">
        <f t="shared" si="104"/>
        <v>0</v>
      </c>
      <c r="AU55" s="27"/>
      <c r="AV55" s="27"/>
      <c r="AW55" s="27"/>
      <c r="AX55" s="27"/>
      <c r="AY55" s="27"/>
      <c r="AZ55" s="27"/>
      <c r="BA55" s="27"/>
      <c r="BB55" s="26">
        <f t="shared" si="105"/>
        <v>0</v>
      </c>
      <c r="BD55" s="27"/>
      <c r="BE55" s="27"/>
      <c r="BF55" s="27"/>
      <c r="BG55" s="27"/>
      <c r="BH55" s="27"/>
      <c r="BI55" s="27"/>
      <c r="BJ55" s="27"/>
      <c r="BK55" s="26">
        <f t="shared" si="106"/>
        <v>0</v>
      </c>
      <c r="BM55" s="27"/>
      <c r="BN55" s="27"/>
      <c r="BO55" s="27"/>
      <c r="BP55" s="27"/>
      <c r="BQ55" s="27"/>
      <c r="BR55" s="27"/>
      <c r="BS55" s="27"/>
      <c r="BT55" s="26">
        <f t="shared" si="107"/>
        <v>0</v>
      </c>
      <c r="BV55" s="26">
        <f t="shared" si="110"/>
        <v>0</v>
      </c>
      <c r="BW55" s="26">
        <f t="shared" si="110"/>
        <v>2</v>
      </c>
      <c r="BX55" s="26">
        <f t="shared" si="110"/>
        <v>0</v>
      </c>
      <c r="BY55" s="26">
        <f t="shared" si="110"/>
        <v>0</v>
      </c>
      <c r="BZ55" s="26">
        <f t="shared" si="110"/>
        <v>0</v>
      </c>
      <c r="CA55" s="26">
        <f t="shared" si="110"/>
        <v>0</v>
      </c>
      <c r="CB55" s="27"/>
      <c r="CC55" s="26">
        <f t="shared" si="114"/>
        <v>2</v>
      </c>
    </row>
    <row r="56" spans="1:81">
      <c r="A56" s="29" t="s">
        <v>57</v>
      </c>
      <c r="B56" s="27"/>
      <c r="C56" s="27">
        <v>0</v>
      </c>
      <c r="D56" s="27"/>
      <c r="E56" s="27"/>
      <c r="F56" s="27"/>
      <c r="G56" s="27"/>
      <c r="H56" s="27"/>
      <c r="I56" s="26">
        <f>SUM(B56:H56)</f>
        <v>0</v>
      </c>
      <c r="J56" s="6"/>
      <c r="K56" s="27"/>
      <c r="L56" s="27">
        <v>0.5</v>
      </c>
      <c r="M56" s="27"/>
      <c r="N56" s="27"/>
      <c r="O56" s="27"/>
      <c r="P56" s="27"/>
      <c r="Q56" s="27"/>
      <c r="R56" s="26">
        <f>SUM(K56:Q56)</f>
        <v>0.5</v>
      </c>
      <c r="T56" s="27"/>
      <c r="U56" s="27">
        <v>0.5</v>
      </c>
      <c r="V56" s="27"/>
      <c r="W56" s="27"/>
      <c r="X56" s="27"/>
      <c r="Y56" s="27"/>
      <c r="Z56" s="27"/>
      <c r="AA56" s="26">
        <f>SUM(T56:Z56)</f>
        <v>0.5</v>
      </c>
      <c r="AC56" s="27"/>
      <c r="AD56" s="27">
        <v>1</v>
      </c>
      <c r="AE56" s="27"/>
      <c r="AF56" s="27"/>
      <c r="AG56" s="27"/>
      <c r="AH56" s="27"/>
      <c r="AI56" s="27"/>
      <c r="AJ56" s="26">
        <f>SUM(AC56:AI56)</f>
        <v>1</v>
      </c>
      <c r="AL56" s="27"/>
      <c r="AM56" s="27">
        <v>1</v>
      </c>
      <c r="AN56" s="27"/>
      <c r="AO56" s="27"/>
      <c r="AP56" s="27"/>
      <c r="AQ56" s="27"/>
      <c r="AR56" s="27"/>
      <c r="AS56" s="26">
        <f>SUM(AL56:AR56)</f>
        <v>1</v>
      </c>
      <c r="AU56" s="27"/>
      <c r="AV56" s="27"/>
      <c r="AW56" s="27"/>
      <c r="AX56" s="27"/>
      <c r="AY56" s="27"/>
      <c r="AZ56" s="27"/>
      <c r="BA56" s="27"/>
      <c r="BB56" s="26">
        <f>SUM(AU56:BA56)</f>
        <v>0</v>
      </c>
      <c r="BD56" s="27"/>
      <c r="BE56" s="27"/>
      <c r="BF56" s="27"/>
      <c r="BG56" s="27"/>
      <c r="BH56" s="27"/>
      <c r="BI56" s="27"/>
      <c r="BJ56" s="27"/>
      <c r="BK56" s="26">
        <f>SUM(BD56:BJ56)</f>
        <v>0</v>
      </c>
      <c r="BM56" s="27"/>
      <c r="BN56" s="27">
        <v>0</v>
      </c>
      <c r="BO56" s="27"/>
      <c r="BP56" s="27"/>
      <c r="BQ56" s="27"/>
      <c r="BR56" s="27"/>
      <c r="BS56" s="27"/>
      <c r="BT56" s="26">
        <f>SUM(BM56:BS56)</f>
        <v>0</v>
      </c>
      <c r="BV56" s="26">
        <f t="shared" si="110"/>
        <v>0</v>
      </c>
      <c r="BW56" s="26">
        <f t="shared" si="110"/>
        <v>3</v>
      </c>
      <c r="BX56" s="26">
        <f t="shared" si="110"/>
        <v>0</v>
      </c>
      <c r="BY56" s="26">
        <f t="shared" si="110"/>
        <v>0</v>
      </c>
      <c r="BZ56" s="26">
        <f t="shared" si="110"/>
        <v>0</v>
      </c>
      <c r="CA56" s="26">
        <f t="shared" si="110"/>
        <v>0</v>
      </c>
      <c r="CB56" s="27"/>
      <c r="CC56" s="26">
        <f>SUM(BV56:CB56)</f>
        <v>3</v>
      </c>
    </row>
    <row r="57" spans="1:81">
      <c r="A57" s="29" t="s">
        <v>58</v>
      </c>
      <c r="B57" s="27"/>
      <c r="C57" s="27"/>
      <c r="D57" s="27"/>
      <c r="E57" s="27"/>
      <c r="F57" s="27"/>
      <c r="G57" s="27"/>
      <c r="H57" s="27"/>
      <c r="I57" s="26">
        <f t="shared" si="100"/>
        <v>0</v>
      </c>
      <c r="J57" s="6"/>
      <c r="K57" s="27"/>
      <c r="L57" s="27"/>
      <c r="M57" s="27"/>
      <c r="N57" s="27"/>
      <c r="O57" s="27"/>
      <c r="P57" s="27"/>
      <c r="Q57" s="27"/>
      <c r="R57" s="26">
        <f t="shared" si="101"/>
        <v>0</v>
      </c>
      <c r="T57" s="27"/>
      <c r="U57" s="27">
        <v>0.33</v>
      </c>
      <c r="V57" s="27"/>
      <c r="W57" s="27"/>
      <c r="X57" s="27"/>
      <c r="Y57" s="27"/>
      <c r="Z57" s="27"/>
      <c r="AA57" s="26">
        <f t="shared" si="102"/>
        <v>0.33</v>
      </c>
      <c r="AC57" s="27"/>
      <c r="AD57" s="27"/>
      <c r="AE57" s="27"/>
      <c r="AF57" s="27"/>
      <c r="AG57" s="27"/>
      <c r="AH57" s="27"/>
      <c r="AI57" s="27"/>
      <c r="AJ57" s="26">
        <f t="shared" si="103"/>
        <v>0</v>
      </c>
      <c r="AL57" s="27"/>
      <c r="AM57" s="27">
        <v>0.5</v>
      </c>
      <c r="AN57" s="27"/>
      <c r="AO57" s="27"/>
      <c r="AP57" s="27"/>
      <c r="AQ57" s="27"/>
      <c r="AR57" s="27"/>
      <c r="AS57" s="26">
        <f t="shared" si="104"/>
        <v>0.5</v>
      </c>
      <c r="AU57" s="27"/>
      <c r="AV57" s="27"/>
      <c r="AW57" s="27"/>
      <c r="AX57" s="27"/>
      <c r="AY57" s="27"/>
      <c r="AZ57" s="27"/>
      <c r="BA57" s="27"/>
      <c r="BB57" s="26">
        <f t="shared" si="105"/>
        <v>0</v>
      </c>
      <c r="BD57" s="27"/>
      <c r="BE57" s="27"/>
      <c r="BF57" s="27"/>
      <c r="BG57" s="27"/>
      <c r="BH57" s="27"/>
      <c r="BI57" s="27"/>
      <c r="BJ57" s="27"/>
      <c r="BK57" s="26">
        <f t="shared" si="106"/>
        <v>0</v>
      </c>
      <c r="BM57" s="27"/>
      <c r="BN57" s="27"/>
      <c r="BO57" s="27"/>
      <c r="BP57" s="27"/>
      <c r="BQ57" s="27"/>
      <c r="BR57" s="27"/>
      <c r="BS57" s="27"/>
      <c r="BT57" s="26">
        <f t="shared" si="107"/>
        <v>0</v>
      </c>
      <c r="BV57" s="26">
        <f t="shared" si="110"/>
        <v>0</v>
      </c>
      <c r="BW57" s="26">
        <f t="shared" si="110"/>
        <v>0.83000000000000007</v>
      </c>
      <c r="BX57" s="26">
        <f t="shared" si="110"/>
        <v>0</v>
      </c>
      <c r="BY57" s="26">
        <f t="shared" si="110"/>
        <v>0</v>
      </c>
      <c r="BZ57" s="26">
        <f t="shared" si="110"/>
        <v>0</v>
      </c>
      <c r="CA57" s="26">
        <f t="shared" si="110"/>
        <v>0</v>
      </c>
      <c r="CB57" s="27"/>
      <c r="CC57" s="26">
        <f t="shared" ref="CC57" si="115">SUM(BV57:CB57)</f>
        <v>0.83000000000000007</v>
      </c>
    </row>
    <row r="58" spans="1:81">
      <c r="A58" s="29" t="s">
        <v>59</v>
      </c>
      <c r="B58" s="27">
        <v>0</v>
      </c>
      <c r="C58" s="27"/>
      <c r="D58" s="27"/>
      <c r="E58" s="27"/>
      <c r="F58" s="27"/>
      <c r="G58" s="27"/>
      <c r="H58" s="27"/>
      <c r="I58" s="26">
        <f>SUM(B58:H58)</f>
        <v>0</v>
      </c>
      <c r="J58" s="6"/>
      <c r="K58" s="27">
        <v>0</v>
      </c>
      <c r="L58" s="27">
        <v>0.5</v>
      </c>
      <c r="M58" s="27"/>
      <c r="N58" s="27"/>
      <c r="O58" s="27"/>
      <c r="P58" s="27"/>
      <c r="Q58" s="27"/>
      <c r="R58" s="26">
        <f>SUM(K58:Q58)</f>
        <v>0.5</v>
      </c>
      <c r="T58" s="27">
        <v>0</v>
      </c>
      <c r="U58" s="27">
        <v>0.5</v>
      </c>
      <c r="V58" s="27"/>
      <c r="W58" s="27"/>
      <c r="X58" s="27"/>
      <c r="Y58" s="27"/>
      <c r="Z58" s="27"/>
      <c r="AA58" s="26">
        <f>SUM(T58:Z58)</f>
        <v>0.5</v>
      </c>
      <c r="AC58" s="27">
        <v>0</v>
      </c>
      <c r="AD58" s="27">
        <v>1</v>
      </c>
      <c r="AE58" s="27"/>
      <c r="AF58" s="27"/>
      <c r="AG58" s="27"/>
      <c r="AH58" s="27"/>
      <c r="AI58" s="27"/>
      <c r="AJ58" s="26">
        <f>SUM(AC58:AI58)</f>
        <v>1</v>
      </c>
      <c r="AL58" s="27">
        <v>0</v>
      </c>
      <c r="AM58" s="27">
        <v>1</v>
      </c>
      <c r="AN58" s="27"/>
      <c r="AO58" s="27"/>
      <c r="AP58" s="27"/>
      <c r="AQ58" s="27"/>
      <c r="AR58" s="27"/>
      <c r="AS58" s="26">
        <f>SUM(AL58:AR58)</f>
        <v>1</v>
      </c>
      <c r="AU58" s="27"/>
      <c r="AV58" s="27"/>
      <c r="AW58" s="27"/>
      <c r="AX58" s="27"/>
      <c r="AY58" s="27"/>
      <c r="AZ58" s="27"/>
      <c r="BA58" s="27"/>
      <c r="BB58" s="26">
        <f>SUM(AU58:BA58)</f>
        <v>0</v>
      </c>
      <c r="BD58" s="27"/>
      <c r="BE58" s="27"/>
      <c r="BF58" s="27"/>
      <c r="BG58" s="27"/>
      <c r="BH58" s="27"/>
      <c r="BI58" s="27"/>
      <c r="BJ58" s="27"/>
      <c r="BK58" s="26">
        <f>SUM(BD58:BJ58)</f>
        <v>0</v>
      </c>
      <c r="BM58" s="27">
        <v>0</v>
      </c>
      <c r="BN58" s="27"/>
      <c r="BO58" s="27"/>
      <c r="BP58" s="27"/>
      <c r="BQ58" s="27"/>
      <c r="BR58" s="27"/>
      <c r="BS58" s="27"/>
      <c r="BT58" s="26">
        <f>SUM(BM58:BS58)</f>
        <v>0</v>
      </c>
      <c r="BV58" s="26">
        <f t="shared" si="110"/>
        <v>0</v>
      </c>
      <c r="BW58" s="26">
        <f t="shared" si="110"/>
        <v>3</v>
      </c>
      <c r="BX58" s="26">
        <f t="shared" si="110"/>
        <v>0</v>
      </c>
      <c r="BY58" s="26">
        <f t="shared" si="110"/>
        <v>0</v>
      </c>
      <c r="BZ58" s="26">
        <f t="shared" si="110"/>
        <v>0</v>
      </c>
      <c r="CA58" s="26">
        <f t="shared" si="110"/>
        <v>0</v>
      </c>
      <c r="CB58" s="27"/>
      <c r="CC58" s="26">
        <f>SUM(BV58:CB58)</f>
        <v>3</v>
      </c>
    </row>
    <row r="59" spans="1:81">
      <c r="A59" s="29" t="s">
        <v>60</v>
      </c>
      <c r="B59" s="27">
        <v>1</v>
      </c>
      <c r="C59" s="27"/>
      <c r="D59" s="27"/>
      <c r="E59" s="27"/>
      <c r="F59" s="27"/>
      <c r="G59" s="27"/>
      <c r="H59" s="27"/>
      <c r="I59" s="26">
        <f t="shared" si="100"/>
        <v>1</v>
      </c>
      <c r="J59" s="6"/>
      <c r="K59" s="27">
        <v>1</v>
      </c>
      <c r="L59" s="27"/>
      <c r="M59" s="27"/>
      <c r="N59" s="27"/>
      <c r="O59" s="27"/>
      <c r="P59" s="27"/>
      <c r="Q59" s="27"/>
      <c r="R59" s="26">
        <f t="shared" si="101"/>
        <v>1</v>
      </c>
      <c r="T59" s="27">
        <v>2</v>
      </c>
      <c r="U59" s="27"/>
      <c r="V59" s="27"/>
      <c r="W59" s="27"/>
      <c r="X59" s="27"/>
      <c r="Y59" s="27"/>
      <c r="Z59" s="27"/>
      <c r="AA59" s="26">
        <f t="shared" si="102"/>
        <v>2</v>
      </c>
      <c r="AC59" s="27">
        <v>3</v>
      </c>
      <c r="AD59" s="27"/>
      <c r="AE59" s="27"/>
      <c r="AF59" s="27"/>
      <c r="AG59" s="27"/>
      <c r="AH59" s="27"/>
      <c r="AI59" s="27"/>
      <c r="AJ59" s="26">
        <f t="shared" si="103"/>
        <v>3</v>
      </c>
      <c r="AL59" s="27">
        <v>4</v>
      </c>
      <c r="AM59" s="27"/>
      <c r="AN59" s="27"/>
      <c r="AO59" s="27"/>
      <c r="AP59" s="27"/>
      <c r="AQ59" s="27"/>
      <c r="AR59" s="27"/>
      <c r="AS59" s="26">
        <f t="shared" si="104"/>
        <v>4</v>
      </c>
      <c r="AU59" s="27"/>
      <c r="AV59" s="27"/>
      <c r="AW59" s="27"/>
      <c r="AX59" s="27"/>
      <c r="AY59" s="27"/>
      <c r="AZ59" s="27"/>
      <c r="BA59" s="27"/>
      <c r="BB59" s="26">
        <f t="shared" si="105"/>
        <v>0</v>
      </c>
      <c r="BD59" s="27"/>
      <c r="BE59" s="27"/>
      <c r="BF59" s="27"/>
      <c r="BG59" s="27"/>
      <c r="BH59" s="27"/>
      <c r="BI59" s="27"/>
      <c r="BJ59" s="27"/>
      <c r="BK59" s="26">
        <f t="shared" si="106"/>
        <v>0</v>
      </c>
      <c r="BM59" s="27">
        <v>0</v>
      </c>
      <c r="BN59" s="27"/>
      <c r="BO59" s="27"/>
      <c r="BP59" s="27"/>
      <c r="BQ59" s="27"/>
      <c r="BR59" s="27"/>
      <c r="BS59" s="27"/>
      <c r="BT59" s="26">
        <f t="shared" si="107"/>
        <v>0</v>
      </c>
      <c r="BV59" s="26">
        <f t="shared" si="110"/>
        <v>11</v>
      </c>
      <c r="BW59" s="26">
        <f t="shared" si="110"/>
        <v>0</v>
      </c>
      <c r="BX59" s="26">
        <f t="shared" si="110"/>
        <v>0</v>
      </c>
      <c r="BY59" s="26">
        <f t="shared" si="110"/>
        <v>0</v>
      </c>
      <c r="BZ59" s="26">
        <f t="shared" si="110"/>
        <v>0</v>
      </c>
      <c r="CA59" s="26">
        <f t="shared" si="110"/>
        <v>0</v>
      </c>
      <c r="CB59" s="27"/>
      <c r="CC59" s="26">
        <f t="shared" ref="CC59:CC60" si="116">SUM(BV59:CB59)</f>
        <v>11</v>
      </c>
    </row>
    <row r="60" spans="1:81">
      <c r="A60" s="25" t="s">
        <v>61</v>
      </c>
      <c r="B60" s="26"/>
      <c r="C60" s="26"/>
      <c r="D60" s="26"/>
      <c r="E60" s="26"/>
      <c r="F60" s="26"/>
      <c r="G60" s="26"/>
      <c r="H60" s="26"/>
      <c r="I60" s="26">
        <f t="shared" si="100"/>
        <v>0</v>
      </c>
      <c r="J60" s="6"/>
      <c r="K60" s="26"/>
      <c r="L60" s="26"/>
      <c r="M60" s="26"/>
      <c r="N60" s="26"/>
      <c r="O60" s="26"/>
      <c r="P60" s="26"/>
      <c r="Q60" s="26"/>
      <c r="R60" s="26">
        <f t="shared" si="101"/>
        <v>0</v>
      </c>
      <c r="T60" s="26">
        <v>1</v>
      </c>
      <c r="U60" s="26"/>
      <c r="V60" s="26"/>
      <c r="W60" s="26"/>
      <c r="X60" s="26"/>
      <c r="Y60" s="26"/>
      <c r="Z60" s="26"/>
      <c r="AA60" s="26">
        <f t="shared" si="102"/>
        <v>1</v>
      </c>
      <c r="AC60" s="26">
        <v>1</v>
      </c>
      <c r="AD60" s="26"/>
      <c r="AE60" s="26"/>
      <c r="AF60" s="26"/>
      <c r="AG60" s="26"/>
      <c r="AH60" s="26"/>
      <c r="AI60" s="26"/>
      <c r="AJ60" s="26">
        <f t="shared" si="103"/>
        <v>1</v>
      </c>
      <c r="AL60" s="26">
        <v>2</v>
      </c>
      <c r="AM60" s="26"/>
      <c r="AN60" s="26"/>
      <c r="AO60" s="26"/>
      <c r="AP60" s="26"/>
      <c r="AQ60" s="26"/>
      <c r="AR60" s="26"/>
      <c r="AS60" s="26">
        <f t="shared" si="104"/>
        <v>2</v>
      </c>
      <c r="AU60" s="26"/>
      <c r="AV60" s="26"/>
      <c r="AW60" s="26"/>
      <c r="AX60" s="26"/>
      <c r="AY60" s="26"/>
      <c r="AZ60" s="26"/>
      <c r="BA60" s="26"/>
      <c r="BB60" s="26">
        <f t="shared" si="105"/>
        <v>0</v>
      </c>
      <c r="BD60" s="26"/>
      <c r="BE60" s="26"/>
      <c r="BF60" s="26"/>
      <c r="BG60" s="26"/>
      <c r="BH60" s="26"/>
      <c r="BI60" s="26"/>
      <c r="BJ60" s="26"/>
      <c r="BK60" s="26">
        <f t="shared" si="106"/>
        <v>0</v>
      </c>
      <c r="BM60" s="26"/>
      <c r="BN60" s="26"/>
      <c r="BO60" s="26"/>
      <c r="BP60" s="26"/>
      <c r="BQ60" s="26"/>
      <c r="BR60" s="26"/>
      <c r="BS60" s="26"/>
      <c r="BT60" s="26">
        <f t="shared" si="107"/>
        <v>0</v>
      </c>
      <c r="BV60" s="26">
        <f t="shared" si="110"/>
        <v>4</v>
      </c>
      <c r="BW60" s="26">
        <f t="shared" si="110"/>
        <v>0</v>
      </c>
      <c r="BX60" s="26">
        <f t="shared" si="110"/>
        <v>0</v>
      </c>
      <c r="BY60" s="26">
        <f t="shared" si="110"/>
        <v>0</v>
      </c>
      <c r="BZ60" s="26">
        <f t="shared" si="110"/>
        <v>0</v>
      </c>
      <c r="CA60" s="26">
        <f t="shared" si="110"/>
        <v>0</v>
      </c>
      <c r="CB60" s="26"/>
      <c r="CC60" s="26">
        <f t="shared" si="116"/>
        <v>4</v>
      </c>
    </row>
    <row r="61" spans="1:81" ht="15">
      <c r="A61" s="24" t="s">
        <v>62</v>
      </c>
      <c r="B61" s="33">
        <f t="shared" ref="B61:I61" si="117">SUM(B39:B60)</f>
        <v>18</v>
      </c>
      <c r="C61" s="33">
        <f t="shared" si="117"/>
        <v>5</v>
      </c>
      <c r="D61" s="33">
        <f t="shared" si="117"/>
        <v>2</v>
      </c>
      <c r="E61" s="33">
        <f t="shared" si="117"/>
        <v>0</v>
      </c>
      <c r="F61" s="33">
        <f t="shared" si="117"/>
        <v>0</v>
      </c>
      <c r="G61" s="33">
        <f t="shared" si="117"/>
        <v>0</v>
      </c>
      <c r="H61" s="33">
        <f t="shared" si="117"/>
        <v>0</v>
      </c>
      <c r="I61" s="33">
        <f t="shared" si="117"/>
        <v>25</v>
      </c>
      <c r="J61" s="7"/>
      <c r="K61" s="33">
        <f t="shared" ref="K61:R61" si="118">SUM(K39:K60)</f>
        <v>22</v>
      </c>
      <c r="L61" s="33">
        <f t="shared" si="118"/>
        <v>6</v>
      </c>
      <c r="M61" s="33">
        <f t="shared" si="118"/>
        <v>2</v>
      </c>
      <c r="N61" s="33">
        <f t="shared" si="118"/>
        <v>0</v>
      </c>
      <c r="O61" s="33">
        <f t="shared" si="118"/>
        <v>0</v>
      </c>
      <c r="P61" s="33">
        <f t="shared" si="118"/>
        <v>0</v>
      </c>
      <c r="Q61" s="33">
        <f t="shared" si="118"/>
        <v>0</v>
      </c>
      <c r="R61" s="33">
        <f t="shared" si="118"/>
        <v>30</v>
      </c>
      <c r="T61" s="33">
        <f t="shared" ref="T61:AA61" si="119">SUM(T39:T60)</f>
        <v>22</v>
      </c>
      <c r="U61" s="33">
        <f t="shared" si="119"/>
        <v>8.33</v>
      </c>
      <c r="V61" s="33">
        <f t="shared" si="119"/>
        <v>2</v>
      </c>
      <c r="W61" s="33">
        <f t="shared" si="119"/>
        <v>0</v>
      </c>
      <c r="X61" s="33">
        <f t="shared" si="119"/>
        <v>0</v>
      </c>
      <c r="Y61" s="33">
        <f t="shared" si="119"/>
        <v>0</v>
      </c>
      <c r="Z61" s="33">
        <f t="shared" si="119"/>
        <v>0</v>
      </c>
      <c r="AA61" s="33">
        <f t="shared" si="119"/>
        <v>32.33</v>
      </c>
      <c r="AC61" s="33">
        <f t="shared" ref="AC61:AJ61" si="120">SUM(AC39:AC60)</f>
        <v>49</v>
      </c>
      <c r="AD61" s="33">
        <f t="shared" si="120"/>
        <v>17</v>
      </c>
      <c r="AE61" s="33">
        <f t="shared" si="120"/>
        <v>6</v>
      </c>
      <c r="AF61" s="33">
        <f t="shared" si="120"/>
        <v>0</v>
      </c>
      <c r="AG61" s="33">
        <f t="shared" si="120"/>
        <v>0</v>
      </c>
      <c r="AH61" s="33">
        <f t="shared" si="120"/>
        <v>0</v>
      </c>
      <c r="AI61" s="33">
        <f t="shared" si="120"/>
        <v>0</v>
      </c>
      <c r="AJ61" s="33">
        <f t="shared" si="120"/>
        <v>72</v>
      </c>
      <c r="AL61" s="33">
        <f t="shared" ref="AL61:AS61" si="121">SUM(AL39:AL60)</f>
        <v>42</v>
      </c>
      <c r="AM61" s="33">
        <f t="shared" si="121"/>
        <v>14.5</v>
      </c>
      <c r="AN61" s="33">
        <f t="shared" si="121"/>
        <v>4</v>
      </c>
      <c r="AO61" s="33">
        <f t="shared" si="121"/>
        <v>0</v>
      </c>
      <c r="AP61" s="33">
        <f t="shared" si="121"/>
        <v>0</v>
      </c>
      <c r="AQ61" s="33">
        <f t="shared" si="121"/>
        <v>0</v>
      </c>
      <c r="AR61" s="33">
        <f t="shared" si="121"/>
        <v>0</v>
      </c>
      <c r="AS61" s="33">
        <f t="shared" si="121"/>
        <v>60.5</v>
      </c>
      <c r="AU61" s="33">
        <f t="shared" ref="AU61:BB61" si="122">SUM(AU39:AU60)</f>
        <v>3</v>
      </c>
      <c r="AV61" s="33">
        <f t="shared" si="122"/>
        <v>1</v>
      </c>
      <c r="AW61" s="33">
        <f t="shared" si="122"/>
        <v>0</v>
      </c>
      <c r="AX61" s="33">
        <f t="shared" si="122"/>
        <v>0</v>
      </c>
      <c r="AY61" s="33">
        <f t="shared" si="122"/>
        <v>0</v>
      </c>
      <c r="AZ61" s="33">
        <f t="shared" si="122"/>
        <v>0</v>
      </c>
      <c r="BA61" s="33">
        <f t="shared" si="122"/>
        <v>0</v>
      </c>
      <c r="BB61" s="33">
        <f t="shared" si="122"/>
        <v>4</v>
      </c>
      <c r="BD61" s="33">
        <f t="shared" ref="BD61:BK61" si="123">SUM(BD39:BD60)</f>
        <v>8</v>
      </c>
      <c r="BE61" s="33">
        <f t="shared" si="123"/>
        <v>1</v>
      </c>
      <c r="BF61" s="33">
        <f t="shared" si="123"/>
        <v>1</v>
      </c>
      <c r="BG61" s="33">
        <f t="shared" si="123"/>
        <v>0</v>
      </c>
      <c r="BH61" s="33">
        <f t="shared" si="123"/>
        <v>0</v>
      </c>
      <c r="BI61" s="33">
        <f t="shared" si="123"/>
        <v>0</v>
      </c>
      <c r="BJ61" s="33">
        <f t="shared" si="123"/>
        <v>0</v>
      </c>
      <c r="BK61" s="33">
        <f t="shared" si="123"/>
        <v>10</v>
      </c>
      <c r="BM61" s="33">
        <f t="shared" ref="BM61:BT61" si="124">SUM(BM39:BM60)</f>
        <v>2.5</v>
      </c>
      <c r="BN61" s="33">
        <f t="shared" si="124"/>
        <v>0</v>
      </c>
      <c r="BO61" s="33">
        <f t="shared" si="124"/>
        <v>0.5</v>
      </c>
      <c r="BP61" s="33">
        <f t="shared" si="124"/>
        <v>0</v>
      </c>
      <c r="BQ61" s="33">
        <f t="shared" si="124"/>
        <v>0</v>
      </c>
      <c r="BR61" s="33">
        <f t="shared" si="124"/>
        <v>0</v>
      </c>
      <c r="BS61" s="33">
        <f t="shared" si="124"/>
        <v>0</v>
      </c>
      <c r="BT61" s="33">
        <f t="shared" si="124"/>
        <v>3</v>
      </c>
      <c r="BV61" s="33">
        <f t="shared" ref="BV61:CC61" si="125">SUM(BV39:BV60)</f>
        <v>166.5</v>
      </c>
      <c r="BW61" s="33">
        <f t="shared" si="125"/>
        <v>52.83</v>
      </c>
      <c r="BX61" s="33">
        <f t="shared" si="125"/>
        <v>17.5</v>
      </c>
      <c r="BY61" s="33">
        <f t="shared" si="125"/>
        <v>0</v>
      </c>
      <c r="BZ61" s="33">
        <f t="shared" si="125"/>
        <v>0</v>
      </c>
      <c r="CA61" s="33">
        <f t="shared" si="125"/>
        <v>0</v>
      </c>
      <c r="CB61" s="33">
        <f t="shared" si="125"/>
        <v>0</v>
      </c>
      <c r="CC61" s="33">
        <f t="shared" si="125"/>
        <v>236.83</v>
      </c>
    </row>
    <row r="62" spans="1:81" ht="15.75" thickBot="1">
      <c r="A62" s="34"/>
      <c r="B62" s="35"/>
      <c r="C62" s="35"/>
      <c r="D62" s="35"/>
      <c r="E62" s="35"/>
      <c r="F62" s="35"/>
      <c r="G62" s="35"/>
      <c r="H62" s="35"/>
      <c r="I62" s="35"/>
      <c r="J62" s="7"/>
      <c r="K62" s="35"/>
      <c r="L62" s="35"/>
      <c r="M62" s="35"/>
      <c r="N62" s="35"/>
      <c r="O62" s="35"/>
      <c r="P62" s="35"/>
      <c r="Q62" s="35"/>
      <c r="R62" s="35"/>
      <c r="T62" s="35"/>
      <c r="U62" s="35"/>
      <c r="V62" s="35"/>
      <c r="W62" s="35"/>
      <c r="X62" s="35"/>
      <c r="Y62" s="35"/>
      <c r="Z62" s="35"/>
      <c r="AA62" s="35"/>
      <c r="AC62" s="35"/>
      <c r="AD62" s="35"/>
      <c r="AE62" s="35"/>
      <c r="AF62" s="35"/>
      <c r="AG62" s="35"/>
      <c r="AH62" s="35"/>
      <c r="AI62" s="35"/>
      <c r="AJ62" s="35"/>
      <c r="AL62" s="35"/>
      <c r="AM62" s="35"/>
      <c r="AN62" s="35"/>
      <c r="AO62" s="35"/>
      <c r="AP62" s="35"/>
      <c r="AQ62" s="35"/>
      <c r="AR62" s="35"/>
      <c r="AS62" s="35"/>
      <c r="AU62" s="35"/>
      <c r="AV62" s="35"/>
      <c r="AW62" s="35"/>
      <c r="AX62" s="35"/>
      <c r="AY62" s="35"/>
      <c r="AZ62" s="35"/>
      <c r="BA62" s="35"/>
      <c r="BB62" s="35"/>
      <c r="BD62" s="35"/>
      <c r="BE62" s="35"/>
      <c r="BF62" s="35"/>
      <c r="BG62" s="35"/>
      <c r="BH62" s="35"/>
      <c r="BI62" s="35"/>
      <c r="BJ62" s="35"/>
      <c r="BK62" s="35"/>
      <c r="BM62" s="35"/>
      <c r="BN62" s="35"/>
      <c r="BO62" s="35"/>
      <c r="BP62" s="35"/>
      <c r="BQ62" s="35"/>
      <c r="BR62" s="35"/>
      <c r="BS62" s="35"/>
      <c r="BT62" s="35"/>
      <c r="BV62" s="35"/>
      <c r="BW62" s="35"/>
      <c r="BX62" s="35"/>
      <c r="BY62" s="35"/>
      <c r="BZ62" s="35"/>
      <c r="CA62" s="35"/>
      <c r="CB62" s="35"/>
      <c r="CC62" s="35"/>
    </row>
    <row r="63" spans="1:81" ht="15">
      <c r="A63" s="36" t="s">
        <v>63</v>
      </c>
      <c r="B63" s="37">
        <f t="shared" ref="B63:I63" si="126">B36</f>
        <v>42.5</v>
      </c>
      <c r="C63" s="37">
        <f t="shared" si="126"/>
        <v>5</v>
      </c>
      <c r="D63" s="37">
        <f t="shared" si="126"/>
        <v>0</v>
      </c>
      <c r="E63" s="37">
        <f t="shared" si="126"/>
        <v>0</v>
      </c>
      <c r="F63" s="37">
        <f t="shared" si="126"/>
        <v>0</v>
      </c>
      <c r="G63" s="37">
        <f t="shared" si="126"/>
        <v>0</v>
      </c>
      <c r="H63" s="37">
        <f t="shared" si="126"/>
        <v>0</v>
      </c>
      <c r="I63" s="37">
        <f t="shared" si="126"/>
        <v>47.5</v>
      </c>
      <c r="J63" s="7"/>
      <c r="K63" s="37">
        <f t="shared" ref="K63:R63" si="127">K36</f>
        <v>44</v>
      </c>
      <c r="L63" s="37">
        <f t="shared" si="127"/>
        <v>4</v>
      </c>
      <c r="M63" s="37">
        <f t="shared" si="127"/>
        <v>0</v>
      </c>
      <c r="N63" s="37">
        <f t="shared" si="127"/>
        <v>0</v>
      </c>
      <c r="O63" s="37">
        <f t="shared" si="127"/>
        <v>0</v>
      </c>
      <c r="P63" s="37">
        <f t="shared" si="127"/>
        <v>0</v>
      </c>
      <c r="Q63" s="37">
        <f t="shared" si="127"/>
        <v>0</v>
      </c>
      <c r="R63" s="37">
        <f t="shared" si="127"/>
        <v>48</v>
      </c>
      <c r="T63" s="37">
        <f t="shared" ref="T63:AA63" si="128">T36</f>
        <v>56</v>
      </c>
      <c r="U63" s="37">
        <f t="shared" si="128"/>
        <v>5</v>
      </c>
      <c r="V63" s="37">
        <f t="shared" si="128"/>
        <v>0</v>
      </c>
      <c r="W63" s="37">
        <f t="shared" si="128"/>
        <v>0</v>
      </c>
      <c r="X63" s="37">
        <f t="shared" si="128"/>
        <v>0</v>
      </c>
      <c r="Y63" s="37">
        <f t="shared" si="128"/>
        <v>0</v>
      </c>
      <c r="Z63" s="37">
        <f t="shared" si="128"/>
        <v>0</v>
      </c>
      <c r="AA63" s="37">
        <f t="shared" si="128"/>
        <v>61</v>
      </c>
      <c r="AC63" s="37">
        <f t="shared" ref="AC63:AJ63" si="129">AC36</f>
        <v>101</v>
      </c>
      <c r="AD63" s="37">
        <f t="shared" si="129"/>
        <v>13</v>
      </c>
      <c r="AE63" s="37">
        <f t="shared" si="129"/>
        <v>0</v>
      </c>
      <c r="AF63" s="37">
        <f t="shared" si="129"/>
        <v>0</v>
      </c>
      <c r="AG63" s="37">
        <f t="shared" si="129"/>
        <v>0</v>
      </c>
      <c r="AH63" s="37">
        <f t="shared" si="129"/>
        <v>0</v>
      </c>
      <c r="AI63" s="37">
        <f t="shared" si="129"/>
        <v>0</v>
      </c>
      <c r="AJ63" s="37">
        <f t="shared" si="129"/>
        <v>114</v>
      </c>
      <c r="AL63" s="37">
        <f t="shared" ref="AL63:AS63" si="130">AL36</f>
        <v>97</v>
      </c>
      <c r="AM63" s="37">
        <f t="shared" si="130"/>
        <v>12</v>
      </c>
      <c r="AN63" s="37">
        <f t="shared" si="130"/>
        <v>0</v>
      </c>
      <c r="AO63" s="37">
        <f t="shared" si="130"/>
        <v>0</v>
      </c>
      <c r="AP63" s="37">
        <f t="shared" si="130"/>
        <v>0</v>
      </c>
      <c r="AQ63" s="37">
        <f t="shared" si="130"/>
        <v>0</v>
      </c>
      <c r="AR63" s="37">
        <f t="shared" si="130"/>
        <v>0</v>
      </c>
      <c r="AS63" s="37">
        <f t="shared" si="130"/>
        <v>109</v>
      </c>
      <c r="AU63" s="37">
        <f t="shared" ref="AU63:BB63" si="131">AU36</f>
        <v>0</v>
      </c>
      <c r="AV63" s="37">
        <f t="shared" si="131"/>
        <v>1</v>
      </c>
      <c r="AW63" s="37">
        <f t="shared" si="131"/>
        <v>0</v>
      </c>
      <c r="AX63" s="37">
        <f t="shared" si="131"/>
        <v>0</v>
      </c>
      <c r="AY63" s="37">
        <f t="shared" si="131"/>
        <v>0</v>
      </c>
      <c r="AZ63" s="37">
        <f t="shared" si="131"/>
        <v>0</v>
      </c>
      <c r="BA63" s="37">
        <f t="shared" si="131"/>
        <v>0</v>
      </c>
      <c r="BB63" s="37">
        <f t="shared" si="131"/>
        <v>1</v>
      </c>
      <c r="BD63" s="37">
        <f t="shared" ref="BD63:BK63" si="132">BD36</f>
        <v>20</v>
      </c>
      <c r="BE63" s="37">
        <f t="shared" si="132"/>
        <v>1</v>
      </c>
      <c r="BF63" s="37">
        <f t="shared" si="132"/>
        <v>0</v>
      </c>
      <c r="BG63" s="37">
        <f t="shared" si="132"/>
        <v>0</v>
      </c>
      <c r="BH63" s="37">
        <f t="shared" si="132"/>
        <v>0</v>
      </c>
      <c r="BI63" s="37">
        <f t="shared" si="132"/>
        <v>0</v>
      </c>
      <c r="BJ63" s="37">
        <f t="shared" si="132"/>
        <v>0</v>
      </c>
      <c r="BK63" s="37">
        <f t="shared" si="132"/>
        <v>21</v>
      </c>
      <c r="BM63" s="37">
        <f t="shared" ref="BM63:BT63" si="133">BM36</f>
        <v>1</v>
      </c>
      <c r="BN63" s="37">
        <f t="shared" si="133"/>
        <v>0</v>
      </c>
      <c r="BO63" s="37">
        <f t="shared" si="133"/>
        <v>0</v>
      </c>
      <c r="BP63" s="37">
        <f t="shared" si="133"/>
        <v>0</v>
      </c>
      <c r="BQ63" s="37">
        <f t="shared" si="133"/>
        <v>0</v>
      </c>
      <c r="BR63" s="37">
        <f t="shared" si="133"/>
        <v>0</v>
      </c>
      <c r="BS63" s="37">
        <f t="shared" si="133"/>
        <v>0</v>
      </c>
      <c r="BT63" s="37">
        <f t="shared" si="133"/>
        <v>1</v>
      </c>
      <c r="BV63" s="37">
        <f t="shared" ref="BV63:CC63" si="134">BV36</f>
        <v>361.5</v>
      </c>
      <c r="BW63" s="37">
        <f t="shared" si="134"/>
        <v>41</v>
      </c>
      <c r="BX63" s="37">
        <f t="shared" si="134"/>
        <v>0</v>
      </c>
      <c r="BY63" s="37">
        <f t="shared" si="134"/>
        <v>0</v>
      </c>
      <c r="BZ63" s="37">
        <f t="shared" si="134"/>
        <v>0</v>
      </c>
      <c r="CA63" s="37">
        <f t="shared" si="134"/>
        <v>0</v>
      </c>
      <c r="CB63" s="37">
        <f t="shared" si="134"/>
        <v>0</v>
      </c>
      <c r="CC63" s="37">
        <f t="shared" si="134"/>
        <v>402.5</v>
      </c>
    </row>
    <row r="64" spans="1:81" ht="15">
      <c r="A64" s="38" t="s">
        <v>64</v>
      </c>
      <c r="B64" s="39">
        <f>B61</f>
        <v>18</v>
      </c>
      <c r="C64" s="39">
        <f t="shared" ref="C64:I64" si="135">C61</f>
        <v>5</v>
      </c>
      <c r="D64" s="39">
        <f t="shared" si="135"/>
        <v>2</v>
      </c>
      <c r="E64" s="39">
        <f t="shared" si="135"/>
        <v>0</v>
      </c>
      <c r="F64" s="39">
        <f t="shared" si="135"/>
        <v>0</v>
      </c>
      <c r="G64" s="39">
        <f t="shared" si="135"/>
        <v>0</v>
      </c>
      <c r="H64" s="39">
        <f t="shared" si="135"/>
        <v>0</v>
      </c>
      <c r="I64" s="39">
        <f t="shared" si="135"/>
        <v>25</v>
      </c>
      <c r="J64" s="7"/>
      <c r="K64" s="39">
        <f>K61</f>
        <v>22</v>
      </c>
      <c r="L64" s="39">
        <f t="shared" ref="L64:R64" si="136">L61</f>
        <v>6</v>
      </c>
      <c r="M64" s="39">
        <f t="shared" si="136"/>
        <v>2</v>
      </c>
      <c r="N64" s="39">
        <f t="shared" si="136"/>
        <v>0</v>
      </c>
      <c r="O64" s="39">
        <f t="shared" si="136"/>
        <v>0</v>
      </c>
      <c r="P64" s="39">
        <f t="shared" si="136"/>
        <v>0</v>
      </c>
      <c r="Q64" s="39">
        <f t="shared" si="136"/>
        <v>0</v>
      </c>
      <c r="R64" s="39">
        <f t="shared" si="136"/>
        <v>30</v>
      </c>
      <c r="T64" s="39">
        <f>T61</f>
        <v>22</v>
      </c>
      <c r="U64" s="39">
        <f t="shared" ref="U64:AA64" si="137">U61</f>
        <v>8.33</v>
      </c>
      <c r="V64" s="39">
        <f t="shared" si="137"/>
        <v>2</v>
      </c>
      <c r="W64" s="39">
        <f t="shared" si="137"/>
        <v>0</v>
      </c>
      <c r="X64" s="39">
        <f t="shared" si="137"/>
        <v>0</v>
      </c>
      <c r="Y64" s="39">
        <f t="shared" si="137"/>
        <v>0</v>
      </c>
      <c r="Z64" s="39">
        <f t="shared" si="137"/>
        <v>0</v>
      </c>
      <c r="AA64" s="39">
        <f t="shared" si="137"/>
        <v>32.33</v>
      </c>
      <c r="AC64" s="39">
        <f>AC61</f>
        <v>49</v>
      </c>
      <c r="AD64" s="39">
        <f t="shared" ref="AD64:AJ64" si="138">AD61</f>
        <v>17</v>
      </c>
      <c r="AE64" s="39">
        <f t="shared" si="138"/>
        <v>6</v>
      </c>
      <c r="AF64" s="39">
        <f t="shared" si="138"/>
        <v>0</v>
      </c>
      <c r="AG64" s="39">
        <f t="shared" si="138"/>
        <v>0</v>
      </c>
      <c r="AH64" s="39">
        <f t="shared" si="138"/>
        <v>0</v>
      </c>
      <c r="AI64" s="39">
        <f t="shared" si="138"/>
        <v>0</v>
      </c>
      <c r="AJ64" s="39">
        <f t="shared" si="138"/>
        <v>72</v>
      </c>
      <c r="AL64" s="39">
        <f>AL61</f>
        <v>42</v>
      </c>
      <c r="AM64" s="39">
        <f t="shared" ref="AM64:AS64" si="139">AM61</f>
        <v>14.5</v>
      </c>
      <c r="AN64" s="39">
        <f t="shared" si="139"/>
        <v>4</v>
      </c>
      <c r="AO64" s="39">
        <f t="shared" si="139"/>
        <v>0</v>
      </c>
      <c r="AP64" s="39">
        <f t="shared" si="139"/>
        <v>0</v>
      </c>
      <c r="AQ64" s="39">
        <f t="shared" si="139"/>
        <v>0</v>
      </c>
      <c r="AR64" s="39">
        <f t="shared" si="139"/>
        <v>0</v>
      </c>
      <c r="AS64" s="39">
        <f t="shared" si="139"/>
        <v>60.5</v>
      </c>
      <c r="AU64" s="39">
        <f>AU61</f>
        <v>3</v>
      </c>
      <c r="AV64" s="39">
        <f t="shared" ref="AV64:BB64" si="140">AV61</f>
        <v>1</v>
      </c>
      <c r="AW64" s="39">
        <f t="shared" si="140"/>
        <v>0</v>
      </c>
      <c r="AX64" s="39">
        <f t="shared" si="140"/>
        <v>0</v>
      </c>
      <c r="AY64" s="39">
        <f t="shared" si="140"/>
        <v>0</v>
      </c>
      <c r="AZ64" s="39">
        <f t="shared" si="140"/>
        <v>0</v>
      </c>
      <c r="BA64" s="39">
        <f t="shared" si="140"/>
        <v>0</v>
      </c>
      <c r="BB64" s="39">
        <f t="shared" si="140"/>
        <v>4</v>
      </c>
      <c r="BD64" s="39">
        <f>BD61</f>
        <v>8</v>
      </c>
      <c r="BE64" s="39">
        <f t="shared" ref="BE64:BK64" si="141">BE61</f>
        <v>1</v>
      </c>
      <c r="BF64" s="39">
        <f t="shared" si="141"/>
        <v>1</v>
      </c>
      <c r="BG64" s="39">
        <f t="shared" si="141"/>
        <v>0</v>
      </c>
      <c r="BH64" s="39">
        <f t="shared" si="141"/>
        <v>0</v>
      </c>
      <c r="BI64" s="39">
        <f t="shared" si="141"/>
        <v>0</v>
      </c>
      <c r="BJ64" s="39">
        <f t="shared" si="141"/>
        <v>0</v>
      </c>
      <c r="BK64" s="39">
        <f t="shared" si="141"/>
        <v>10</v>
      </c>
      <c r="BM64" s="39">
        <f>BM61</f>
        <v>2.5</v>
      </c>
      <c r="BN64" s="39">
        <f t="shared" ref="BN64:BT64" si="142">BN61</f>
        <v>0</v>
      </c>
      <c r="BO64" s="39">
        <f t="shared" si="142"/>
        <v>0.5</v>
      </c>
      <c r="BP64" s="39">
        <f t="shared" si="142"/>
        <v>0</v>
      </c>
      <c r="BQ64" s="39">
        <f t="shared" si="142"/>
        <v>0</v>
      </c>
      <c r="BR64" s="39">
        <f t="shared" si="142"/>
        <v>0</v>
      </c>
      <c r="BS64" s="39">
        <f t="shared" si="142"/>
        <v>0</v>
      </c>
      <c r="BT64" s="39">
        <f t="shared" si="142"/>
        <v>3</v>
      </c>
      <c r="BV64" s="39">
        <f>BV61</f>
        <v>166.5</v>
      </c>
      <c r="BW64" s="39">
        <f t="shared" ref="BW64:CC64" si="143">BW61</f>
        <v>52.83</v>
      </c>
      <c r="BX64" s="39">
        <f t="shared" si="143"/>
        <v>17.5</v>
      </c>
      <c r="BY64" s="39">
        <f t="shared" si="143"/>
        <v>0</v>
      </c>
      <c r="BZ64" s="39">
        <f t="shared" si="143"/>
        <v>0</v>
      </c>
      <c r="CA64" s="39">
        <f t="shared" si="143"/>
        <v>0</v>
      </c>
      <c r="CB64" s="39">
        <f t="shared" si="143"/>
        <v>0</v>
      </c>
      <c r="CC64" s="39">
        <f t="shared" si="143"/>
        <v>236.83</v>
      </c>
    </row>
    <row r="65" spans="1:81" ht="15.75" thickBot="1">
      <c r="A65" s="40" t="s">
        <v>65</v>
      </c>
      <c r="B65" s="41">
        <f>SUM(B63:B64)</f>
        <v>60.5</v>
      </c>
      <c r="C65" s="41">
        <f t="shared" ref="C65:H65" si="144">SUM(C63:C64)</f>
        <v>10</v>
      </c>
      <c r="D65" s="41">
        <f t="shared" si="144"/>
        <v>2</v>
      </c>
      <c r="E65" s="41">
        <f t="shared" si="144"/>
        <v>0</v>
      </c>
      <c r="F65" s="41">
        <f t="shared" si="144"/>
        <v>0</v>
      </c>
      <c r="G65" s="41">
        <f t="shared" si="144"/>
        <v>0</v>
      </c>
      <c r="H65" s="41">
        <f t="shared" si="144"/>
        <v>0</v>
      </c>
      <c r="I65" s="41">
        <f>SUM(I63:I64)</f>
        <v>72.5</v>
      </c>
      <c r="J65" s="7"/>
      <c r="K65" s="41">
        <f>SUM(K63:K64)</f>
        <v>66</v>
      </c>
      <c r="L65" s="41">
        <f t="shared" ref="L65:Q65" si="145">SUM(L63:L64)</f>
        <v>10</v>
      </c>
      <c r="M65" s="41">
        <f t="shared" si="145"/>
        <v>2</v>
      </c>
      <c r="N65" s="41">
        <f t="shared" si="145"/>
        <v>0</v>
      </c>
      <c r="O65" s="41">
        <f t="shared" si="145"/>
        <v>0</v>
      </c>
      <c r="P65" s="41">
        <f t="shared" si="145"/>
        <v>0</v>
      </c>
      <c r="Q65" s="41">
        <f t="shared" si="145"/>
        <v>0</v>
      </c>
      <c r="R65" s="41">
        <f>SUM(R63:R64)</f>
        <v>78</v>
      </c>
      <c r="T65" s="41">
        <f>SUM(T63:T64)</f>
        <v>78</v>
      </c>
      <c r="U65" s="41">
        <f t="shared" ref="U65:Z65" si="146">SUM(U63:U64)</f>
        <v>13.33</v>
      </c>
      <c r="V65" s="41">
        <f t="shared" si="146"/>
        <v>2</v>
      </c>
      <c r="W65" s="41">
        <f t="shared" si="146"/>
        <v>0</v>
      </c>
      <c r="X65" s="41">
        <f t="shared" si="146"/>
        <v>0</v>
      </c>
      <c r="Y65" s="41">
        <f t="shared" si="146"/>
        <v>0</v>
      </c>
      <c r="Z65" s="41">
        <f t="shared" si="146"/>
        <v>0</v>
      </c>
      <c r="AA65" s="41">
        <f>SUM(AA63:AA64)</f>
        <v>93.33</v>
      </c>
      <c r="AC65" s="41">
        <f>SUM(AC63:AC64)</f>
        <v>150</v>
      </c>
      <c r="AD65" s="41">
        <f t="shared" ref="AD65:AI65" si="147">SUM(AD63:AD64)</f>
        <v>30</v>
      </c>
      <c r="AE65" s="41">
        <f t="shared" si="147"/>
        <v>6</v>
      </c>
      <c r="AF65" s="41">
        <f t="shared" si="147"/>
        <v>0</v>
      </c>
      <c r="AG65" s="41">
        <f t="shared" si="147"/>
        <v>0</v>
      </c>
      <c r="AH65" s="41">
        <f t="shared" si="147"/>
        <v>0</v>
      </c>
      <c r="AI65" s="41">
        <f t="shared" si="147"/>
        <v>0</v>
      </c>
      <c r="AJ65" s="41">
        <f>SUM(AJ63:AJ64)</f>
        <v>186</v>
      </c>
      <c r="AL65" s="41">
        <f>SUM(AL63:AL64)</f>
        <v>139</v>
      </c>
      <c r="AM65" s="41">
        <f t="shared" ref="AM65:AR65" si="148">SUM(AM63:AM64)</f>
        <v>26.5</v>
      </c>
      <c r="AN65" s="41">
        <f t="shared" si="148"/>
        <v>4</v>
      </c>
      <c r="AO65" s="41">
        <f t="shared" si="148"/>
        <v>0</v>
      </c>
      <c r="AP65" s="41">
        <f t="shared" si="148"/>
        <v>0</v>
      </c>
      <c r="AQ65" s="41">
        <f t="shared" si="148"/>
        <v>0</v>
      </c>
      <c r="AR65" s="41">
        <f t="shared" si="148"/>
        <v>0</v>
      </c>
      <c r="AS65" s="41">
        <f>SUM(AS63:AS64)</f>
        <v>169.5</v>
      </c>
      <c r="AU65" s="41">
        <f>SUM(AU63:AU64)</f>
        <v>3</v>
      </c>
      <c r="AV65" s="41">
        <f t="shared" ref="AV65:BA65" si="149">SUM(AV63:AV64)</f>
        <v>2</v>
      </c>
      <c r="AW65" s="41">
        <f t="shared" si="149"/>
        <v>0</v>
      </c>
      <c r="AX65" s="41">
        <f t="shared" si="149"/>
        <v>0</v>
      </c>
      <c r="AY65" s="41">
        <f t="shared" si="149"/>
        <v>0</v>
      </c>
      <c r="AZ65" s="41">
        <f t="shared" si="149"/>
        <v>0</v>
      </c>
      <c r="BA65" s="41">
        <f t="shared" si="149"/>
        <v>0</v>
      </c>
      <c r="BB65" s="41">
        <f>SUM(BB63:BB64)</f>
        <v>5</v>
      </c>
      <c r="BD65" s="41">
        <f>SUM(BD63:BD64)</f>
        <v>28</v>
      </c>
      <c r="BE65" s="41">
        <f t="shared" ref="BE65:BJ65" si="150">SUM(BE63:BE64)</f>
        <v>2</v>
      </c>
      <c r="BF65" s="41">
        <f t="shared" si="150"/>
        <v>1</v>
      </c>
      <c r="BG65" s="41">
        <f t="shared" si="150"/>
        <v>0</v>
      </c>
      <c r="BH65" s="41">
        <f t="shared" si="150"/>
        <v>0</v>
      </c>
      <c r="BI65" s="41">
        <f t="shared" si="150"/>
        <v>0</v>
      </c>
      <c r="BJ65" s="41">
        <f t="shared" si="150"/>
        <v>0</v>
      </c>
      <c r="BK65" s="41">
        <f>SUM(BK63:BK64)</f>
        <v>31</v>
      </c>
      <c r="BM65" s="41">
        <f>SUM(BM63:BM64)</f>
        <v>3.5</v>
      </c>
      <c r="BN65" s="41">
        <f t="shared" ref="BN65:BS65" si="151">SUM(BN63:BN64)</f>
        <v>0</v>
      </c>
      <c r="BO65" s="41">
        <f t="shared" si="151"/>
        <v>0.5</v>
      </c>
      <c r="BP65" s="41">
        <f t="shared" si="151"/>
        <v>0</v>
      </c>
      <c r="BQ65" s="41">
        <f t="shared" si="151"/>
        <v>0</v>
      </c>
      <c r="BR65" s="41">
        <f t="shared" si="151"/>
        <v>0</v>
      </c>
      <c r="BS65" s="41">
        <f t="shared" si="151"/>
        <v>0</v>
      </c>
      <c r="BT65" s="41">
        <f>SUM(BT63:BT64)</f>
        <v>4</v>
      </c>
      <c r="BV65" s="41">
        <f>SUM(BV63:BV64)</f>
        <v>528</v>
      </c>
      <c r="BW65" s="41">
        <f t="shared" ref="BW65:CB65" si="152">SUM(BW63:BW64)</f>
        <v>93.83</v>
      </c>
      <c r="BX65" s="41">
        <f t="shared" si="152"/>
        <v>17.5</v>
      </c>
      <c r="BY65" s="41">
        <f t="shared" si="152"/>
        <v>0</v>
      </c>
      <c r="BZ65" s="41">
        <f t="shared" si="152"/>
        <v>0</v>
      </c>
      <c r="CA65" s="41">
        <f t="shared" si="152"/>
        <v>0</v>
      </c>
      <c r="CB65" s="41">
        <f t="shared" si="152"/>
        <v>0</v>
      </c>
      <c r="CC65" s="41">
        <f>SUM(CC63:CC64)</f>
        <v>639.33000000000004</v>
      </c>
    </row>
    <row r="66" spans="1:81">
      <c r="A66" s="29"/>
      <c r="B66" s="42"/>
      <c r="C66" s="42"/>
      <c r="D66" s="42"/>
      <c r="E66" s="42"/>
      <c r="F66" s="42"/>
      <c r="G66" s="42"/>
      <c r="H66" s="42"/>
      <c r="I66" s="42"/>
      <c r="J66" s="7"/>
      <c r="K66" s="42"/>
      <c r="L66" s="42"/>
      <c r="M66" s="42"/>
      <c r="N66" s="42"/>
      <c r="O66" s="42"/>
      <c r="P66" s="42"/>
      <c r="Q66" s="42"/>
      <c r="R66" s="42"/>
      <c r="T66" s="42"/>
      <c r="U66" s="42"/>
      <c r="V66" s="42"/>
      <c r="W66" s="42"/>
      <c r="X66" s="42"/>
      <c r="Y66" s="42"/>
      <c r="Z66" s="42"/>
      <c r="AA66" s="42"/>
      <c r="AC66" s="42"/>
      <c r="AD66" s="42"/>
      <c r="AE66" s="42"/>
      <c r="AF66" s="42"/>
      <c r="AG66" s="42"/>
      <c r="AH66" s="42"/>
      <c r="AI66" s="42"/>
      <c r="AJ66" s="42"/>
      <c r="AL66" s="42"/>
      <c r="AM66" s="42"/>
      <c r="AN66" s="42"/>
      <c r="AO66" s="42"/>
      <c r="AP66" s="42"/>
      <c r="AQ66" s="42"/>
      <c r="AR66" s="42"/>
      <c r="AS66" s="42"/>
      <c r="AU66" s="42"/>
      <c r="AV66" s="42"/>
      <c r="AW66" s="42"/>
      <c r="AX66" s="42"/>
      <c r="AY66" s="42"/>
      <c r="AZ66" s="42"/>
      <c r="BA66" s="42"/>
      <c r="BB66" s="42"/>
      <c r="BD66" s="42"/>
      <c r="BE66" s="42"/>
      <c r="BF66" s="42"/>
      <c r="BG66" s="42"/>
      <c r="BH66" s="42"/>
      <c r="BI66" s="42"/>
      <c r="BJ66" s="42"/>
      <c r="BK66" s="42"/>
      <c r="BM66" s="42"/>
      <c r="BN66" s="42"/>
      <c r="BO66" s="42"/>
      <c r="BP66" s="42"/>
      <c r="BQ66" s="42"/>
      <c r="BR66" s="42"/>
      <c r="BS66" s="42"/>
      <c r="BT66" s="42"/>
      <c r="BV66" s="42"/>
      <c r="BW66" s="42"/>
      <c r="BX66" s="42"/>
      <c r="BY66" s="42"/>
      <c r="BZ66" s="42"/>
      <c r="CA66" s="42"/>
      <c r="CB66" s="42"/>
      <c r="CC66" s="42"/>
    </row>
    <row r="67" spans="1:81" ht="15">
      <c r="A67" s="43" t="s">
        <v>66</v>
      </c>
      <c r="B67" s="44"/>
      <c r="C67" s="44"/>
      <c r="D67" s="44"/>
      <c r="E67" s="44"/>
      <c r="F67" s="44"/>
      <c r="G67" s="44"/>
      <c r="H67" s="44"/>
      <c r="I67" s="45">
        <f>I142/(I211+I213+I214+I215+I216+I217)</f>
        <v>0.6171354409996197</v>
      </c>
      <c r="J67" s="7"/>
      <c r="K67" s="44"/>
      <c r="L67" s="44"/>
      <c r="M67" s="44"/>
      <c r="N67" s="44"/>
      <c r="O67" s="44"/>
      <c r="P67" s="44"/>
      <c r="Q67" s="44"/>
      <c r="R67" s="45">
        <f>R142/(R211+R213+R214+R215+R216+R217)</f>
        <v>0.60192600047875455</v>
      </c>
      <c r="T67" s="44"/>
      <c r="U67" s="44"/>
      <c r="V67" s="44"/>
      <c r="W67" s="44"/>
      <c r="X67" s="44"/>
      <c r="Y67" s="44"/>
      <c r="Z67" s="44"/>
      <c r="AA67" s="45">
        <f>AA142/(AA211+AA213+AA214+AA215+AA216+AA217)</f>
        <v>0.62461022846856362</v>
      </c>
      <c r="AC67" s="44"/>
      <c r="AD67" s="44"/>
      <c r="AE67" s="44"/>
      <c r="AF67" s="44"/>
      <c r="AG67" s="44"/>
      <c r="AH67" s="44"/>
      <c r="AI67" s="44"/>
      <c r="AJ67" s="45">
        <f>AJ142/(AJ211+AJ213+AJ214+AJ215+AJ216+AJ217)</f>
        <v>0.61115050156934025</v>
      </c>
      <c r="AL67" s="44"/>
      <c r="AM67" s="44"/>
      <c r="AN67" s="44"/>
      <c r="AO67" s="44"/>
      <c r="AP67" s="44"/>
      <c r="AQ67" s="44"/>
      <c r="AR67" s="44"/>
      <c r="AS67" s="45">
        <f>AS142/(AS211+AS213+AS214+AS215+AS216+AS217)</f>
        <v>0.55919496637867894</v>
      </c>
      <c r="AU67" s="44"/>
      <c r="AV67" s="44"/>
      <c r="AW67" s="44"/>
      <c r="AX67" s="44"/>
      <c r="AY67" s="44"/>
      <c r="AZ67" s="44"/>
      <c r="BA67" s="44"/>
      <c r="BB67" s="45">
        <f>BB142/(BB211+BB213+BB214+BB215+BB216+BB217)</f>
        <v>0.47867575328566503</v>
      </c>
      <c r="BD67" s="44"/>
      <c r="BE67" s="44"/>
      <c r="BF67" s="44"/>
      <c r="BG67" s="44"/>
      <c r="BH67" s="44"/>
      <c r="BI67" s="44"/>
      <c r="BJ67" s="44"/>
      <c r="BK67" s="45">
        <f>BK142/(BK211+BK213+BK214+BK215+BK216+BK217)</f>
        <v>0.56865933200536101</v>
      </c>
      <c r="BM67" s="44"/>
      <c r="BN67" s="44"/>
      <c r="BO67" s="44"/>
      <c r="BP67" s="44"/>
      <c r="BQ67" s="44"/>
      <c r="BR67" s="44"/>
      <c r="BS67" s="44"/>
      <c r="BT67" s="45">
        <f>BT142/(BT211+BT213+BT214+BT215+BT216+BT217)</f>
        <v>0.98998950146905429</v>
      </c>
      <c r="BV67" s="44"/>
      <c r="BW67" s="44"/>
      <c r="BX67" s="44"/>
      <c r="BY67" s="44"/>
      <c r="BZ67" s="44"/>
      <c r="CA67" s="44"/>
      <c r="CB67" s="44"/>
      <c r="CC67" s="45">
        <f>CC142/(CC211+CC213+CC214+CC215+CC216+CC217)</f>
        <v>0.59589882042025155</v>
      </c>
    </row>
    <row r="68" spans="1:81" ht="15">
      <c r="A68" s="43" t="s">
        <v>67</v>
      </c>
      <c r="B68" s="44"/>
      <c r="C68" s="44"/>
      <c r="D68" s="44"/>
      <c r="E68" s="44"/>
      <c r="F68" s="44"/>
      <c r="G68" s="44"/>
      <c r="H68" s="44"/>
      <c r="I68" s="45">
        <f>(I114+I115+I118+I128)/I132</f>
        <v>0.75120024388327133</v>
      </c>
      <c r="J68" s="7"/>
      <c r="K68" s="44"/>
      <c r="L68" s="44"/>
      <c r="M68" s="44"/>
      <c r="N68" s="44"/>
      <c r="O68" s="44"/>
      <c r="P68" s="44"/>
      <c r="Q68" s="44"/>
      <c r="R68" s="45">
        <f>(R114+R115+R118+R128)/R132</f>
        <v>0.72361124867144844</v>
      </c>
      <c r="T68" s="44"/>
      <c r="U68" s="44"/>
      <c r="V68" s="44"/>
      <c r="W68" s="44"/>
      <c r="X68" s="44"/>
      <c r="Y68" s="44"/>
      <c r="Z68" s="44"/>
      <c r="AA68" s="45">
        <f>(AA114+AA115+AA118+AA128)/AA132</f>
        <v>0.73521406417257262</v>
      </c>
      <c r="AC68" s="44"/>
      <c r="AD68" s="44"/>
      <c r="AE68" s="44"/>
      <c r="AF68" s="44"/>
      <c r="AG68" s="44"/>
      <c r="AH68" s="44"/>
      <c r="AI68" s="44"/>
      <c r="AJ68" s="45">
        <f>(AJ114+AJ115+AJ118+AJ128)/AJ132</f>
        <v>0.73087792939531004</v>
      </c>
      <c r="AL68" s="44"/>
      <c r="AM68" s="44"/>
      <c r="AN68" s="44"/>
      <c r="AO68" s="44"/>
      <c r="AP68" s="44"/>
      <c r="AQ68" s="44"/>
      <c r="AR68" s="44"/>
      <c r="AS68" s="45">
        <f>(AS114+AS115+AS118+AS128)/AS132</f>
        <v>0.74672661843269084</v>
      </c>
      <c r="AU68" s="44"/>
      <c r="AV68" s="44"/>
      <c r="AW68" s="44"/>
      <c r="AX68" s="44"/>
      <c r="AY68" s="44"/>
      <c r="AZ68" s="44"/>
      <c r="BA68" s="44"/>
      <c r="BB68" s="45">
        <f>(BB114+BB115+BB118+BB128)/BB132</f>
        <v>0.65374470892092773</v>
      </c>
      <c r="BD68" s="44"/>
      <c r="BE68" s="44"/>
      <c r="BF68" s="44"/>
      <c r="BG68" s="44"/>
      <c r="BH68" s="44"/>
      <c r="BI68" s="44"/>
      <c r="BJ68" s="44"/>
      <c r="BK68" s="45">
        <f>(BK114+BK115+BK118+BK128)/BK132</f>
        <v>0.79501367304574788</v>
      </c>
      <c r="BM68" s="44"/>
      <c r="BN68" s="44"/>
      <c r="BO68" s="44"/>
      <c r="BP68" s="44"/>
      <c r="BQ68" s="44"/>
      <c r="BR68" s="44"/>
      <c r="BS68" s="44"/>
      <c r="BT68" s="45">
        <f>(BT114+BT115+BT118+BT128)/BT132</f>
        <v>0.31784640456943336</v>
      </c>
      <c r="BV68" s="44"/>
      <c r="BW68" s="44"/>
      <c r="BX68" s="44"/>
      <c r="BY68" s="44"/>
      <c r="BZ68" s="44"/>
      <c r="CA68" s="44"/>
      <c r="CB68" s="44"/>
      <c r="CC68" s="45">
        <f>(CC114+CC115+CC118+CC128)/CC132</f>
        <v>0.73628176475057394</v>
      </c>
    </row>
    <row r="69" spans="1:81" ht="15">
      <c r="A69" s="43" t="s">
        <v>68</v>
      </c>
      <c r="B69" s="44"/>
      <c r="C69" s="44"/>
      <c r="D69" s="44"/>
      <c r="E69" s="44"/>
      <c r="F69" s="44"/>
      <c r="G69" s="44"/>
      <c r="H69" s="44"/>
      <c r="I69" s="45">
        <f>(I107+I108+I109+I112+I116+I117+I119+I120++I123+I124+I125+I126+I127+I129+I130)/I132</f>
        <v>0.22877280367461242</v>
      </c>
      <c r="J69" s="7"/>
      <c r="K69" s="44"/>
      <c r="L69" s="44"/>
      <c r="M69" s="44"/>
      <c r="N69" s="44"/>
      <c r="O69" s="44"/>
      <c r="P69" s="44"/>
      <c r="Q69" s="44"/>
      <c r="R69" s="45">
        <f>(R107+R108+R109+R112+R116+R117+R119+R120++R123+R124+R125+R126+R127+R129+R130)/R132</f>
        <v>0.25784111039708479</v>
      </c>
      <c r="T69" s="44"/>
      <c r="U69" s="44"/>
      <c r="V69" s="44"/>
      <c r="W69" s="44"/>
      <c r="X69" s="44"/>
      <c r="Y69" s="44"/>
      <c r="Z69" s="44"/>
      <c r="AA69" s="45">
        <f>(AA107+AA108+AA109+AA112+AA116+AA117+AA119+AA120++AA123+AA124+AA125+AA126+AA127+AA129+AA130)/AA132</f>
        <v>0.24961729517900977</v>
      </c>
      <c r="AC69" s="44"/>
      <c r="AD69" s="44"/>
      <c r="AE69" s="44"/>
      <c r="AF69" s="44"/>
      <c r="AG69" s="44"/>
      <c r="AH69" s="44"/>
      <c r="AI69" s="44"/>
      <c r="AJ69" s="45">
        <f>(AJ107+AJ108+AJ109+AJ112+AJ116+AJ117+AJ119+AJ120++AJ123+AJ124+AJ125+AJ126+AJ127+AJ129+AJ130)/AJ132</f>
        <v>0.22639256750524223</v>
      </c>
      <c r="AL69" s="44"/>
      <c r="AM69" s="44"/>
      <c r="AN69" s="44"/>
      <c r="AO69" s="44"/>
      <c r="AP69" s="44"/>
      <c r="AQ69" s="44"/>
      <c r="AR69" s="44"/>
      <c r="AS69" s="45">
        <f>(AS107+AS108+AS109+AS112+AS116+AS117+AS119+AS120++AS123+AS124+AS125+AS126+AS127+AS129+AS130)/AS132</f>
        <v>0.21346633394126269</v>
      </c>
      <c r="AU69" s="44"/>
      <c r="AV69" s="44"/>
      <c r="AW69" s="44"/>
      <c r="AX69" s="44"/>
      <c r="AY69" s="44"/>
      <c r="AZ69" s="44"/>
      <c r="BA69" s="44"/>
      <c r="BB69" s="45">
        <f>(BB107+BB108+BB109+BB112+BB116+BB117+BB119+BB120++BB123+BB124+BB125+BB126+BB127+BB129+BB130)/BB132</f>
        <v>0</v>
      </c>
      <c r="BD69" s="44"/>
      <c r="BE69" s="44"/>
      <c r="BF69" s="44"/>
      <c r="BG69" s="44"/>
      <c r="BH69" s="44"/>
      <c r="BI69" s="44"/>
      <c r="BJ69" s="44"/>
      <c r="BK69" s="45">
        <f>(BK107+BK108+BK109+BK112+BK116+BK117+BK119+BK120++BK123+BK124+BK125+BK126+BK127+BK129+BK130)/BK132</f>
        <v>0.20498632695425206</v>
      </c>
      <c r="BM69" s="44"/>
      <c r="BN69" s="44"/>
      <c r="BO69" s="44"/>
      <c r="BP69" s="44"/>
      <c r="BQ69" s="44"/>
      <c r="BR69" s="44"/>
      <c r="BS69" s="44"/>
      <c r="BT69" s="45">
        <f>(BT107+BT108+BT109+BT112+BT116+BT117+BT119+BT120++BT123+BT124+BT125+BT126+BT127+BT129+BT130+BT111)/BT132</f>
        <v>0.68215359543056664</v>
      </c>
      <c r="BV69" s="44"/>
      <c r="BW69" s="44"/>
      <c r="BX69" s="44"/>
      <c r="BY69" s="44"/>
      <c r="BZ69" s="44"/>
      <c r="CA69" s="44"/>
      <c r="CB69" s="44"/>
      <c r="CC69" s="45">
        <f>(CC107+CC108+CC109+CC112+CC116+CC117+CC119+CC120++CC123+CC124+CC125+CC126+CC127+CC129+CC130+CC111)/CC132</f>
        <v>0.24940090419234173</v>
      </c>
    </row>
    <row r="70" spans="1:81" ht="15">
      <c r="A70" s="43" t="s">
        <v>69</v>
      </c>
      <c r="B70" s="44"/>
      <c r="C70" s="44"/>
      <c r="D70" s="44"/>
      <c r="E70" s="44"/>
      <c r="F70" s="44"/>
      <c r="G70" s="44"/>
      <c r="H70" s="44"/>
      <c r="I70" s="45">
        <f>(I214+I215+I216+I217+I213)/I97</f>
        <v>8.560965409431949E-2</v>
      </c>
      <c r="J70" s="7"/>
      <c r="K70" s="44"/>
      <c r="L70" s="44"/>
      <c r="M70" s="44"/>
      <c r="N70" s="44"/>
      <c r="O70" s="44"/>
      <c r="P70" s="44"/>
      <c r="Q70" s="44"/>
      <c r="R70" s="45">
        <f>(R214+R215+R216+R217+R213)/R97</f>
        <v>8.3789539909784549E-2</v>
      </c>
      <c r="T70" s="44"/>
      <c r="U70" s="44"/>
      <c r="V70" s="44"/>
      <c r="W70" s="44"/>
      <c r="X70" s="44"/>
      <c r="Y70" s="44"/>
      <c r="Z70" s="44"/>
      <c r="AA70" s="45">
        <f>(AA214+AA215+AA216+AA217+AA213)/AA97</f>
        <v>8.5013261551555391E-2</v>
      </c>
      <c r="AC70" s="44"/>
      <c r="AD70" s="44"/>
      <c r="AE70" s="44"/>
      <c r="AF70" s="44"/>
      <c r="AG70" s="44"/>
      <c r="AH70" s="44"/>
      <c r="AI70" s="44"/>
      <c r="AJ70" s="45">
        <f>(AJ214+AJ215+AJ216+AJ217+AJ213)/AJ97</f>
        <v>8.5083862355375725E-2</v>
      </c>
      <c r="AL70" s="44"/>
      <c r="AM70" s="44"/>
      <c r="AN70" s="44"/>
      <c r="AO70" s="44"/>
      <c r="AP70" s="44"/>
      <c r="AQ70" s="44"/>
      <c r="AR70" s="44"/>
      <c r="AS70" s="45">
        <f>(AS214+AS215+AS216+AS217+AS213)/AS97</f>
        <v>0.1401949127978506</v>
      </c>
      <c r="AU70" s="44"/>
      <c r="AV70" s="44"/>
      <c r="AW70" s="44"/>
      <c r="AX70" s="44"/>
      <c r="AY70" s="44"/>
      <c r="AZ70" s="44"/>
      <c r="BA70" s="44"/>
      <c r="BB70" s="45">
        <f>(BB214+BB215+BB216+BB217+BB213)/BB97</f>
        <v>0</v>
      </c>
      <c r="BD70" s="44"/>
      <c r="BE70" s="44"/>
      <c r="BF70" s="44"/>
      <c r="BG70" s="44"/>
      <c r="BH70" s="44"/>
      <c r="BI70" s="44"/>
      <c r="BJ70" s="44"/>
      <c r="BK70" s="45">
        <f>(BK214+BK215+BK216+BK217+BK213)/BK97</f>
        <v>6.6898262910753389E-2</v>
      </c>
      <c r="BM70" s="44"/>
      <c r="BN70" s="44"/>
      <c r="BO70" s="44"/>
      <c r="BP70" s="44"/>
      <c r="BQ70" s="44"/>
      <c r="BR70" s="44"/>
      <c r="BS70" s="44"/>
      <c r="BT70" s="45" t="e">
        <f>(BT214+BT215+BT216+BT217+BT213)/BT97</f>
        <v>#DIV/0!</v>
      </c>
      <c r="BV70" s="44"/>
      <c r="BW70" s="44"/>
      <c r="BX70" s="44"/>
      <c r="BY70" s="44"/>
      <c r="BZ70" s="44"/>
      <c r="CA70" s="44"/>
      <c r="CB70" s="44"/>
      <c r="CC70" s="45">
        <f>(CC214+CC215+CC216+CC217+CC213)/CC97</f>
        <v>9.8003113823958293E-2</v>
      </c>
    </row>
    <row r="71" spans="1:81" ht="15" thickBot="1">
      <c r="B71" s="42"/>
      <c r="C71" s="42"/>
      <c r="D71" s="42"/>
      <c r="E71" s="42"/>
      <c r="F71" s="42"/>
      <c r="G71" s="42"/>
      <c r="H71" s="42"/>
      <c r="I71" s="42"/>
      <c r="J71" s="7"/>
      <c r="K71" s="42"/>
      <c r="L71" s="42"/>
      <c r="M71" s="42"/>
      <c r="N71" s="42"/>
      <c r="O71" s="42"/>
      <c r="P71" s="42"/>
      <c r="Q71" s="42"/>
      <c r="R71" s="42"/>
      <c r="T71" s="42"/>
      <c r="U71" s="42"/>
      <c r="V71" s="42"/>
      <c r="W71" s="42"/>
      <c r="X71" s="42"/>
      <c r="Y71" s="42"/>
      <c r="Z71" s="42"/>
      <c r="AA71" s="42"/>
      <c r="AC71" s="42"/>
      <c r="AD71" s="42"/>
      <c r="AE71" s="42"/>
      <c r="AF71" s="42"/>
      <c r="AG71" s="42"/>
      <c r="AH71" s="42"/>
      <c r="AI71" s="42"/>
      <c r="AJ71" s="42"/>
      <c r="AL71" s="42"/>
      <c r="AM71" s="42"/>
      <c r="AN71" s="42"/>
      <c r="AO71" s="42"/>
      <c r="AP71" s="42"/>
      <c r="AQ71" s="42"/>
      <c r="AR71" s="42"/>
      <c r="AS71" s="42"/>
      <c r="AU71" s="42"/>
      <c r="AV71" s="42"/>
      <c r="AW71" s="42"/>
      <c r="AX71" s="42"/>
      <c r="AY71" s="42"/>
      <c r="AZ71" s="42"/>
      <c r="BA71" s="42"/>
      <c r="BB71" s="42"/>
      <c r="BD71" s="42"/>
      <c r="BE71" s="42"/>
      <c r="BF71" s="42"/>
      <c r="BG71" s="42"/>
      <c r="BH71" s="42"/>
      <c r="BI71" s="42"/>
      <c r="BJ71" s="42"/>
      <c r="BK71" s="42"/>
      <c r="BM71" s="42"/>
      <c r="BN71" s="42"/>
      <c r="BO71" s="42"/>
      <c r="BP71" s="42"/>
      <c r="BQ71" s="42"/>
      <c r="BR71" s="42"/>
      <c r="BS71" s="42"/>
      <c r="BT71" s="42"/>
      <c r="BV71" s="42"/>
      <c r="BW71" s="42"/>
      <c r="BX71" s="42"/>
      <c r="BY71" s="42"/>
      <c r="BZ71" s="42"/>
      <c r="CA71" s="42"/>
      <c r="CB71" s="42"/>
      <c r="CC71" s="42"/>
    </row>
    <row r="72" spans="1:81" ht="15.75" thickBot="1">
      <c r="A72" s="46" t="s">
        <v>70</v>
      </c>
      <c r="B72" s="47" t="str">
        <f t="shared" ref="B72:I72" si="153">B1</f>
        <v>Operating</v>
      </c>
      <c r="C72" s="47" t="str">
        <f t="shared" si="153"/>
        <v>SPED</v>
      </c>
      <c r="D72" s="47" t="str">
        <f t="shared" si="153"/>
        <v>NSLP</v>
      </c>
      <c r="E72" s="47" t="str">
        <f t="shared" si="153"/>
        <v>Other</v>
      </c>
      <c r="F72" s="47" t="str">
        <f t="shared" si="153"/>
        <v>Title I</v>
      </c>
      <c r="G72" s="47" t="str">
        <f t="shared" si="153"/>
        <v>SGF</v>
      </c>
      <c r="H72" s="47" t="str">
        <f t="shared" si="153"/>
        <v>Title III</v>
      </c>
      <c r="I72" s="47" t="str">
        <f t="shared" si="153"/>
        <v>Horizon</v>
      </c>
      <c r="J72" s="7"/>
      <c r="K72" s="47" t="str">
        <f t="shared" ref="K72:R72" si="154">K1</f>
        <v>Operating</v>
      </c>
      <c r="L72" s="47" t="str">
        <f t="shared" si="154"/>
        <v>SPED</v>
      </c>
      <c r="M72" s="47" t="str">
        <f t="shared" si="154"/>
        <v>NSLP</v>
      </c>
      <c r="N72" s="47" t="str">
        <f t="shared" si="154"/>
        <v>Other</v>
      </c>
      <c r="O72" s="47" t="str">
        <f t="shared" si="154"/>
        <v>Title I</v>
      </c>
      <c r="P72" s="47" t="str">
        <f t="shared" si="154"/>
        <v>SGF</v>
      </c>
      <c r="Q72" s="47" t="str">
        <f t="shared" si="154"/>
        <v>Title III</v>
      </c>
      <c r="R72" s="47" t="str">
        <f t="shared" si="154"/>
        <v>St. Rose</v>
      </c>
      <c r="T72" s="47" t="str">
        <f t="shared" ref="T72:AA72" si="155">T1</f>
        <v>Operating</v>
      </c>
      <c r="U72" s="47" t="str">
        <f t="shared" si="155"/>
        <v>SPED</v>
      </c>
      <c r="V72" s="47" t="str">
        <f t="shared" si="155"/>
        <v>NSLP</v>
      </c>
      <c r="W72" s="47" t="str">
        <f t="shared" si="155"/>
        <v>Other</v>
      </c>
      <c r="X72" s="47" t="str">
        <f t="shared" si="155"/>
        <v>Title I</v>
      </c>
      <c r="Y72" s="47" t="str">
        <f t="shared" si="155"/>
        <v>SGF</v>
      </c>
      <c r="Z72" s="47" t="str">
        <f t="shared" si="155"/>
        <v>Title III</v>
      </c>
      <c r="AA72" s="47" t="str">
        <f t="shared" si="155"/>
        <v>Inspirada</v>
      </c>
      <c r="AC72" s="47" t="str">
        <f t="shared" ref="AC72:AJ72" si="156">AC1</f>
        <v>Operating</v>
      </c>
      <c r="AD72" s="47" t="str">
        <f t="shared" si="156"/>
        <v>SPED</v>
      </c>
      <c r="AE72" s="47" t="str">
        <f t="shared" si="156"/>
        <v>NSLP</v>
      </c>
      <c r="AF72" s="47" t="str">
        <f t="shared" si="156"/>
        <v>Other</v>
      </c>
      <c r="AG72" s="47" t="str">
        <f t="shared" si="156"/>
        <v>Title I</v>
      </c>
      <c r="AH72" s="47" t="str">
        <f t="shared" si="156"/>
        <v>SGF</v>
      </c>
      <c r="AI72" s="47" t="str">
        <f t="shared" si="156"/>
        <v>Title III</v>
      </c>
      <c r="AJ72" s="47" t="str">
        <f t="shared" si="156"/>
        <v>Cadence</v>
      </c>
      <c r="AL72" s="47" t="str">
        <f t="shared" ref="AL72:AS72" si="157">AL1</f>
        <v>Operating</v>
      </c>
      <c r="AM72" s="47" t="str">
        <f t="shared" si="157"/>
        <v>SPED</v>
      </c>
      <c r="AN72" s="47" t="str">
        <f t="shared" si="157"/>
        <v>NSLP</v>
      </c>
      <c r="AO72" s="47" t="str">
        <f t="shared" si="157"/>
        <v>Other</v>
      </c>
      <c r="AP72" s="47" t="str">
        <f t="shared" si="157"/>
        <v>Title I</v>
      </c>
      <c r="AQ72" s="47" t="str">
        <f t="shared" si="157"/>
        <v>SGF</v>
      </c>
      <c r="AR72" s="47" t="str">
        <f t="shared" si="157"/>
        <v>Title III</v>
      </c>
      <c r="AS72" s="47" t="str">
        <f t="shared" si="157"/>
        <v>Sloan</v>
      </c>
      <c r="AU72" s="47" t="str">
        <f t="shared" ref="AU72:BB72" si="158">AU1</f>
        <v>Operating</v>
      </c>
      <c r="AV72" s="47" t="str">
        <f t="shared" si="158"/>
        <v>SPED</v>
      </c>
      <c r="AW72" s="47" t="str">
        <f t="shared" si="158"/>
        <v>NSLP</v>
      </c>
      <c r="AX72" s="47" t="str">
        <f t="shared" si="158"/>
        <v>Other</v>
      </c>
      <c r="AY72" s="47" t="str">
        <f t="shared" si="158"/>
        <v>Title I</v>
      </c>
      <c r="AZ72" s="47" t="str">
        <f t="shared" si="158"/>
        <v>SGF</v>
      </c>
      <c r="BA72" s="47" t="str">
        <f t="shared" si="158"/>
        <v>Title III</v>
      </c>
      <c r="BB72" s="47" t="str">
        <f t="shared" si="158"/>
        <v>Virtual</v>
      </c>
      <c r="BD72" s="47" t="str">
        <f t="shared" ref="BD72:BK72" si="159">BD1</f>
        <v>Operating</v>
      </c>
      <c r="BE72" s="47" t="str">
        <f t="shared" si="159"/>
        <v>SPED</v>
      </c>
      <c r="BF72" s="47" t="str">
        <f t="shared" si="159"/>
        <v>NSLP</v>
      </c>
      <c r="BG72" s="47" t="str">
        <f t="shared" si="159"/>
        <v>Other</v>
      </c>
      <c r="BH72" s="47" t="str">
        <f t="shared" si="159"/>
        <v>Title I</v>
      </c>
      <c r="BI72" s="47" t="str">
        <f t="shared" si="159"/>
        <v>SGF</v>
      </c>
      <c r="BJ72" s="47" t="str">
        <f t="shared" si="159"/>
        <v>Title III</v>
      </c>
      <c r="BK72" s="47" t="str">
        <f t="shared" si="159"/>
        <v>Springs</v>
      </c>
      <c r="BM72" s="47" t="str">
        <f t="shared" ref="BM72:BT72" si="160">BM1</f>
        <v>Operating</v>
      </c>
      <c r="BN72" s="47" t="str">
        <f t="shared" si="160"/>
        <v>SPED</v>
      </c>
      <c r="BO72" s="47" t="str">
        <f t="shared" si="160"/>
        <v>NSLP</v>
      </c>
      <c r="BP72" s="47" t="str">
        <f t="shared" si="160"/>
        <v>Other</v>
      </c>
      <c r="BQ72" s="47" t="str">
        <f t="shared" si="160"/>
        <v>Title I</v>
      </c>
      <c r="BR72" s="47" t="str">
        <f t="shared" si="160"/>
        <v>SGF</v>
      </c>
      <c r="BS72" s="47" t="str">
        <f t="shared" si="160"/>
        <v>Title III</v>
      </c>
      <c r="BT72" s="47" t="str">
        <f t="shared" si="160"/>
        <v>Exec. Office</v>
      </c>
      <c r="BV72" s="47" t="str">
        <f t="shared" ref="BV72:CC72" si="161">BV1</f>
        <v>Operating</v>
      </c>
      <c r="BW72" s="47" t="str">
        <f t="shared" si="161"/>
        <v>SPED</v>
      </c>
      <c r="BX72" s="47" t="str">
        <f t="shared" si="161"/>
        <v>NSLP</v>
      </c>
      <c r="BY72" s="47" t="str">
        <f t="shared" si="161"/>
        <v>Other</v>
      </c>
      <c r="BZ72" s="47" t="str">
        <f t="shared" si="161"/>
        <v>Title I</v>
      </c>
      <c r="CA72" s="47" t="str">
        <f t="shared" si="161"/>
        <v>SGF</v>
      </c>
      <c r="CB72" s="47" t="str">
        <f t="shared" si="161"/>
        <v>Title III</v>
      </c>
      <c r="CC72" s="47" t="str">
        <f t="shared" si="161"/>
        <v>Systemwide</v>
      </c>
    </row>
    <row r="73" spans="1:81" ht="15">
      <c r="A73" s="48" t="s">
        <v>71</v>
      </c>
      <c r="B73" s="49"/>
      <c r="C73" s="49"/>
      <c r="D73" s="49"/>
      <c r="E73" s="49"/>
      <c r="F73" s="49"/>
      <c r="G73" s="49"/>
      <c r="H73" s="49"/>
      <c r="I73" s="50"/>
      <c r="J73" s="7"/>
      <c r="K73" s="49"/>
      <c r="L73" s="49"/>
      <c r="M73" s="49"/>
      <c r="N73" s="49"/>
      <c r="O73" s="49"/>
      <c r="P73" s="49"/>
      <c r="Q73" s="49"/>
      <c r="R73" s="50"/>
      <c r="T73" s="49"/>
      <c r="U73" s="49"/>
      <c r="V73" s="49"/>
      <c r="W73" s="49"/>
      <c r="X73" s="49"/>
      <c r="Y73" s="49"/>
      <c r="Z73" s="49"/>
      <c r="AA73" s="50"/>
      <c r="AC73" s="49"/>
      <c r="AD73" s="49"/>
      <c r="AE73" s="49"/>
      <c r="AF73" s="49"/>
      <c r="AG73" s="49"/>
      <c r="AH73" s="49"/>
      <c r="AI73" s="49"/>
      <c r="AJ73" s="50"/>
      <c r="AL73" s="49"/>
      <c r="AM73" s="49"/>
      <c r="AN73" s="49"/>
      <c r="AO73" s="49"/>
      <c r="AP73" s="49"/>
      <c r="AQ73" s="49"/>
      <c r="AR73" s="49"/>
      <c r="AS73" s="50"/>
      <c r="AU73" s="49"/>
      <c r="AV73" s="49"/>
      <c r="AW73" s="49"/>
      <c r="AX73" s="49"/>
      <c r="AY73" s="49"/>
      <c r="AZ73" s="49"/>
      <c r="BA73" s="49"/>
      <c r="BB73" s="50"/>
      <c r="BD73" s="49"/>
      <c r="BE73" s="49"/>
      <c r="BF73" s="49"/>
      <c r="BG73" s="49"/>
      <c r="BH73" s="49"/>
      <c r="BI73" s="49"/>
      <c r="BJ73" s="49"/>
      <c r="BK73" s="50"/>
      <c r="BM73" s="49"/>
      <c r="BN73" s="49"/>
      <c r="BO73" s="49"/>
      <c r="BP73" s="49"/>
      <c r="BQ73" s="49"/>
      <c r="BR73" s="49"/>
      <c r="BS73" s="49"/>
      <c r="BT73" s="50"/>
      <c r="BV73" s="49"/>
      <c r="BW73" s="49"/>
      <c r="BX73" s="49"/>
      <c r="BY73" s="49"/>
      <c r="BZ73" s="49"/>
      <c r="CA73" s="49"/>
      <c r="CB73" s="49"/>
      <c r="CC73" s="50"/>
    </row>
    <row r="74" spans="1:81">
      <c r="A74" s="29" t="s">
        <v>72</v>
      </c>
      <c r="B74" s="51">
        <f>(B2*B3)</f>
        <v>9021000</v>
      </c>
      <c r="C74" s="51"/>
      <c r="D74" s="51"/>
      <c r="E74" s="51"/>
      <c r="F74" s="51"/>
      <c r="G74" s="51"/>
      <c r="H74" s="51"/>
      <c r="I74" s="52">
        <f t="shared" ref="I74:I79" si="162">SUM(B74:H74)</f>
        <v>9021000</v>
      </c>
      <c r="K74" s="51">
        <f>(K2*K3)</f>
        <v>10010400</v>
      </c>
      <c r="L74" s="51"/>
      <c r="M74" s="51"/>
      <c r="N74" s="51"/>
      <c r="O74" s="51"/>
      <c r="P74" s="51"/>
      <c r="Q74" s="51"/>
      <c r="R74" s="52">
        <f t="shared" ref="R74:R79" si="163">SUM(K74:Q74)</f>
        <v>10010400</v>
      </c>
      <c r="T74" s="51">
        <f>(T2*T3)</f>
        <v>12076500</v>
      </c>
      <c r="U74" s="51"/>
      <c r="V74" s="51"/>
      <c r="W74" s="51"/>
      <c r="X74" s="51"/>
      <c r="Y74" s="51"/>
      <c r="Z74" s="51"/>
      <c r="AA74" s="52">
        <f t="shared" ref="AA74:AA79" si="164">SUM(T74:Z74)</f>
        <v>12076500</v>
      </c>
      <c r="AC74" s="51">
        <f>(AC2*AC3)</f>
        <v>24395500</v>
      </c>
      <c r="AD74" s="51"/>
      <c r="AE74" s="51"/>
      <c r="AF74" s="51"/>
      <c r="AG74" s="51"/>
      <c r="AH74" s="51"/>
      <c r="AI74" s="51"/>
      <c r="AJ74" s="52">
        <f t="shared" ref="AJ74:AJ79" si="165">SUM(AC74:AI74)</f>
        <v>24395500</v>
      </c>
      <c r="AL74" s="51">
        <f>(AL2*AL3)</f>
        <v>22998700</v>
      </c>
      <c r="AM74" s="51"/>
      <c r="AN74" s="51"/>
      <c r="AO74" s="51"/>
      <c r="AP74" s="51"/>
      <c r="AQ74" s="51"/>
      <c r="AR74" s="51"/>
      <c r="AS74" s="52">
        <f t="shared" ref="AS74:AS79" si="166">SUM(AL74:AR74)</f>
        <v>22998700</v>
      </c>
      <c r="AU74" s="51">
        <f>(AU2*AU3)</f>
        <v>1358000</v>
      </c>
      <c r="AV74" s="51"/>
      <c r="AW74" s="51"/>
      <c r="AX74" s="51"/>
      <c r="AY74" s="51"/>
      <c r="AZ74" s="51"/>
      <c r="BA74" s="51"/>
      <c r="BB74" s="52">
        <f t="shared" ref="BB74:BB79" si="167">SUM(AU74:BA74)</f>
        <v>1358000</v>
      </c>
      <c r="BD74" s="51">
        <f>(BD2*BD3)</f>
        <v>4083700</v>
      </c>
      <c r="BE74" s="51"/>
      <c r="BF74" s="51"/>
      <c r="BG74" s="51"/>
      <c r="BH74" s="51"/>
      <c r="BI74" s="51"/>
      <c r="BJ74" s="51"/>
      <c r="BK74" s="52">
        <f t="shared" ref="BK74:BK79" si="168">SUM(BD74:BJ74)</f>
        <v>4083700</v>
      </c>
      <c r="BM74" s="51">
        <f>(BM2*BM3)</f>
        <v>0</v>
      </c>
      <c r="BN74" s="51"/>
      <c r="BO74" s="51"/>
      <c r="BP74" s="51"/>
      <c r="BQ74" s="51"/>
      <c r="BR74" s="51"/>
      <c r="BS74" s="51"/>
      <c r="BT74" s="52">
        <f t="shared" ref="BT74:BT79" si="169">SUM(BM74:BS74)</f>
        <v>0</v>
      </c>
      <c r="BV74" s="5">
        <f t="shared" ref="BV74:CA79" si="170">B74+K74+T74+AC74+AL74+AU74+BD74+BM74</f>
        <v>83943800</v>
      </c>
      <c r="BW74" s="5">
        <f t="shared" si="170"/>
        <v>0</v>
      </c>
      <c r="BX74" s="5">
        <f t="shared" si="170"/>
        <v>0</v>
      </c>
      <c r="BY74" s="5">
        <f t="shared" si="170"/>
        <v>0</v>
      </c>
      <c r="BZ74" s="5">
        <f t="shared" si="170"/>
        <v>0</v>
      </c>
      <c r="CA74" s="5">
        <f t="shared" si="170"/>
        <v>0</v>
      </c>
      <c r="CB74" s="51"/>
      <c r="CC74" s="52">
        <f t="shared" ref="CC74:CC79" si="171">SUM(BV74:CB74)</f>
        <v>83943800</v>
      </c>
    </row>
    <row r="75" spans="1:81">
      <c r="A75" s="29" t="s">
        <v>73</v>
      </c>
      <c r="B75" s="35">
        <f>4236*B21</f>
        <v>156708.59668508286</v>
      </c>
      <c r="C75" s="35"/>
      <c r="D75" s="35"/>
      <c r="E75" s="35"/>
      <c r="F75" s="35"/>
      <c r="G75" s="35"/>
      <c r="H75" s="35"/>
      <c r="I75" s="5">
        <f t="shared" si="162"/>
        <v>156708.59668508286</v>
      </c>
      <c r="J75" s="6"/>
      <c r="K75" s="35">
        <f>4236*K21</f>
        <v>94103.859099804293</v>
      </c>
      <c r="L75" s="35"/>
      <c r="M75" s="35"/>
      <c r="N75" s="35"/>
      <c r="O75" s="35"/>
      <c r="P75" s="35"/>
      <c r="Q75" s="35"/>
      <c r="R75" s="5">
        <f t="shared" si="163"/>
        <v>94103.859099804293</v>
      </c>
      <c r="T75" s="35">
        <f>4236*T21</f>
        <v>75150.829840737628</v>
      </c>
      <c r="U75" s="35"/>
      <c r="V75" s="35"/>
      <c r="W75" s="35"/>
      <c r="X75" s="35"/>
      <c r="Y75" s="35"/>
      <c r="Z75" s="35"/>
      <c r="AA75" s="5">
        <f t="shared" si="164"/>
        <v>75150.829840737628</v>
      </c>
      <c r="AC75" s="35">
        <f>4236*AC21</f>
        <v>191380.95808383232</v>
      </c>
      <c r="AD75" s="35"/>
      <c r="AE75" s="35"/>
      <c r="AF75" s="35"/>
      <c r="AG75" s="35"/>
      <c r="AH75" s="35"/>
      <c r="AI75" s="35"/>
      <c r="AJ75" s="5">
        <f t="shared" si="165"/>
        <v>191380.95808383232</v>
      </c>
      <c r="AL75" s="35">
        <f>4034*AL21</f>
        <v>172676.8709819463</v>
      </c>
      <c r="AM75" s="35"/>
      <c r="AN75" s="35"/>
      <c r="AO75" s="35"/>
      <c r="AP75" s="35"/>
      <c r="AQ75" s="35"/>
      <c r="AR75" s="35"/>
      <c r="AS75" s="5">
        <f t="shared" si="166"/>
        <v>172676.8709819463</v>
      </c>
      <c r="AU75" s="35">
        <f>4236*AU21</f>
        <v>4392.8888888888887</v>
      </c>
      <c r="AV75" s="35"/>
      <c r="AW75" s="35"/>
      <c r="AX75" s="35"/>
      <c r="AY75" s="35"/>
      <c r="AZ75" s="35"/>
      <c r="BA75" s="35"/>
      <c r="BB75" s="5">
        <f t="shared" si="167"/>
        <v>4392.8888888888887</v>
      </c>
      <c r="BD75" s="35">
        <f>4236*BD21</f>
        <v>147495.60902255637</v>
      </c>
      <c r="BE75" s="35"/>
      <c r="BF75" s="35"/>
      <c r="BG75" s="35"/>
      <c r="BH75" s="35"/>
      <c r="BI75" s="35"/>
      <c r="BJ75" s="35"/>
      <c r="BK75" s="5">
        <f t="shared" si="168"/>
        <v>147495.60902255637</v>
      </c>
      <c r="BM75" s="35">
        <f>4200*BM21</f>
        <v>0</v>
      </c>
      <c r="BN75" s="35"/>
      <c r="BO75" s="35"/>
      <c r="BP75" s="35"/>
      <c r="BQ75" s="35"/>
      <c r="BR75" s="35"/>
      <c r="BS75" s="35"/>
      <c r="BT75" s="5">
        <f t="shared" si="169"/>
        <v>0</v>
      </c>
      <c r="BV75" s="5">
        <f t="shared" si="170"/>
        <v>841909.61260284868</v>
      </c>
      <c r="BW75" s="5">
        <f t="shared" si="170"/>
        <v>0</v>
      </c>
      <c r="BX75" s="5">
        <f t="shared" si="170"/>
        <v>0</v>
      </c>
      <c r="BY75" s="5">
        <f t="shared" si="170"/>
        <v>0</v>
      </c>
      <c r="BZ75" s="5">
        <f t="shared" si="170"/>
        <v>0</v>
      </c>
      <c r="CA75" s="5">
        <f t="shared" si="170"/>
        <v>0</v>
      </c>
      <c r="CB75" s="35"/>
      <c r="CC75" s="5">
        <f t="shared" si="171"/>
        <v>841909.61260284868</v>
      </c>
    </row>
    <row r="76" spans="1:81">
      <c r="A76" s="29" t="s">
        <v>74</v>
      </c>
      <c r="B76" s="5">
        <f>1129*B22</f>
        <v>59169.580110497227</v>
      </c>
      <c r="C76" s="5"/>
      <c r="D76" s="5"/>
      <c r="E76" s="5"/>
      <c r="F76" s="5"/>
      <c r="G76" s="5"/>
      <c r="H76" s="5"/>
      <c r="I76" s="5">
        <f t="shared" si="162"/>
        <v>59169.580110497227</v>
      </c>
      <c r="J76" s="6"/>
      <c r="K76" s="5">
        <f>1129*K22</f>
        <v>76383.14677103718</v>
      </c>
      <c r="L76" s="5"/>
      <c r="M76" s="5"/>
      <c r="N76" s="5"/>
      <c r="O76" s="5"/>
      <c r="P76" s="5"/>
      <c r="Q76" s="5"/>
      <c r="R76" s="5">
        <f t="shared" si="163"/>
        <v>76383.14677103718</v>
      </c>
      <c r="T76" s="5">
        <f>1129*T22</f>
        <v>130781.3537300922</v>
      </c>
      <c r="U76" s="5"/>
      <c r="V76" s="5"/>
      <c r="W76" s="5"/>
      <c r="X76" s="5"/>
      <c r="Y76" s="5"/>
      <c r="Z76" s="5"/>
      <c r="AA76" s="5">
        <f t="shared" si="164"/>
        <v>130781.3537300922</v>
      </c>
      <c r="AC76" s="5">
        <f>1129*AC22</f>
        <v>77726.193327630448</v>
      </c>
      <c r="AD76" s="5"/>
      <c r="AE76" s="5"/>
      <c r="AF76" s="5"/>
      <c r="AG76" s="5"/>
      <c r="AH76" s="5"/>
      <c r="AI76" s="5"/>
      <c r="AJ76" s="5">
        <f t="shared" si="165"/>
        <v>77726.193327630448</v>
      </c>
      <c r="AL76" s="5">
        <f>1075*AL22</f>
        <v>127946.30118890357</v>
      </c>
      <c r="AM76" s="5"/>
      <c r="AN76" s="5"/>
      <c r="AO76" s="5"/>
      <c r="AP76" s="5"/>
      <c r="AQ76" s="5"/>
      <c r="AR76" s="5"/>
      <c r="AS76" s="5">
        <f t="shared" si="166"/>
        <v>127946.30118890357</v>
      </c>
      <c r="AU76" s="5">
        <f>1075*AU22</f>
        <v>0</v>
      </c>
      <c r="AV76" s="5"/>
      <c r="AW76" s="5"/>
      <c r="AX76" s="5"/>
      <c r="AY76" s="5"/>
      <c r="AZ76" s="5"/>
      <c r="BA76" s="5"/>
      <c r="BB76" s="5">
        <f t="shared" si="167"/>
        <v>0</v>
      </c>
      <c r="BD76" s="5">
        <f>1075*BD22</f>
        <v>0</v>
      </c>
      <c r="BE76" s="5"/>
      <c r="BF76" s="5"/>
      <c r="BG76" s="5"/>
      <c r="BH76" s="5"/>
      <c r="BI76" s="5"/>
      <c r="BJ76" s="5"/>
      <c r="BK76" s="5">
        <f t="shared" si="168"/>
        <v>0</v>
      </c>
      <c r="BM76" s="5">
        <f>1000*BM22</f>
        <v>0</v>
      </c>
      <c r="BN76" s="5"/>
      <c r="BO76" s="5"/>
      <c r="BP76" s="5"/>
      <c r="BQ76" s="5"/>
      <c r="BR76" s="5"/>
      <c r="BS76" s="5"/>
      <c r="BT76" s="5">
        <f t="shared" si="169"/>
        <v>0</v>
      </c>
      <c r="BV76" s="5">
        <f t="shared" si="170"/>
        <v>472006.57512816065</v>
      </c>
      <c r="BW76" s="5">
        <f t="shared" si="170"/>
        <v>0</v>
      </c>
      <c r="BX76" s="5">
        <f t="shared" si="170"/>
        <v>0</v>
      </c>
      <c r="BY76" s="5">
        <f t="shared" si="170"/>
        <v>0</v>
      </c>
      <c r="BZ76" s="5">
        <f t="shared" si="170"/>
        <v>0</v>
      </c>
      <c r="CA76" s="5">
        <f t="shared" si="170"/>
        <v>0</v>
      </c>
      <c r="CB76" s="5"/>
      <c r="CC76" s="5">
        <f t="shared" si="171"/>
        <v>472006.57512816065</v>
      </c>
    </row>
    <row r="77" spans="1:81">
      <c r="A77" s="29" t="s">
        <v>75</v>
      </c>
      <c r="B77" s="5">
        <f>3294*B24</f>
        <v>0</v>
      </c>
      <c r="C77" s="5"/>
      <c r="D77" s="5"/>
      <c r="E77" s="5"/>
      <c r="F77" s="5"/>
      <c r="G77" s="5"/>
      <c r="H77" s="5"/>
      <c r="I77" s="5">
        <f t="shared" si="162"/>
        <v>0</v>
      </c>
      <c r="K77" s="5">
        <f>3294*K24</f>
        <v>0</v>
      </c>
      <c r="L77" s="5"/>
      <c r="M77" s="5"/>
      <c r="N77" s="5"/>
      <c r="O77" s="5"/>
      <c r="P77" s="5"/>
      <c r="Q77" s="5"/>
      <c r="R77" s="5">
        <f t="shared" si="163"/>
        <v>0</v>
      </c>
      <c r="T77" s="5">
        <f>3294*T24</f>
        <v>0</v>
      </c>
      <c r="U77" s="5"/>
      <c r="V77" s="5"/>
      <c r="W77" s="5"/>
      <c r="X77" s="5"/>
      <c r="Y77" s="5"/>
      <c r="Z77" s="5"/>
      <c r="AA77" s="5">
        <f t="shared" si="164"/>
        <v>0</v>
      </c>
      <c r="AC77" s="5">
        <f>3294*AC24</f>
        <v>500688</v>
      </c>
      <c r="AD77" s="5"/>
      <c r="AE77" s="5"/>
      <c r="AF77" s="5"/>
      <c r="AG77" s="5"/>
      <c r="AH77" s="5"/>
      <c r="AI77" s="5"/>
      <c r="AJ77" s="5">
        <f t="shared" si="165"/>
        <v>500688</v>
      </c>
      <c r="AL77" s="5">
        <f>3294*AL24</f>
        <v>401868</v>
      </c>
      <c r="AM77" s="5"/>
      <c r="AN77" s="5"/>
      <c r="AO77" s="5"/>
      <c r="AP77" s="5"/>
      <c r="AQ77" s="5"/>
      <c r="AR77" s="5"/>
      <c r="AS77" s="5">
        <f t="shared" si="166"/>
        <v>401868</v>
      </c>
      <c r="AU77" s="5">
        <f>3294*AU24</f>
        <v>128466</v>
      </c>
      <c r="AV77" s="5"/>
      <c r="AW77" s="5"/>
      <c r="AX77" s="5"/>
      <c r="AY77" s="5"/>
      <c r="AZ77" s="5"/>
      <c r="BA77" s="5"/>
      <c r="BB77" s="5">
        <f t="shared" si="167"/>
        <v>128466</v>
      </c>
      <c r="BD77" s="5">
        <f>3294*BD24</f>
        <v>115290</v>
      </c>
      <c r="BE77" s="5"/>
      <c r="BF77" s="5"/>
      <c r="BG77" s="5"/>
      <c r="BH77" s="5"/>
      <c r="BI77" s="5"/>
      <c r="BJ77" s="5"/>
      <c r="BK77" s="5">
        <f t="shared" si="168"/>
        <v>115290</v>
      </c>
      <c r="BM77" s="5">
        <f>3294*BM24</f>
        <v>0</v>
      </c>
      <c r="BN77" s="5"/>
      <c r="BO77" s="5"/>
      <c r="BP77" s="5"/>
      <c r="BQ77" s="5"/>
      <c r="BR77" s="5"/>
      <c r="BS77" s="5"/>
      <c r="BT77" s="5">
        <f t="shared" si="169"/>
        <v>0</v>
      </c>
      <c r="BV77" s="5">
        <f t="shared" si="170"/>
        <v>1146312</v>
      </c>
      <c r="BW77" s="5">
        <f t="shared" si="170"/>
        <v>0</v>
      </c>
      <c r="BX77" s="5">
        <f t="shared" si="170"/>
        <v>0</v>
      </c>
      <c r="BY77" s="5">
        <f t="shared" si="170"/>
        <v>0</v>
      </c>
      <c r="BZ77" s="5">
        <f t="shared" si="170"/>
        <v>0</v>
      </c>
      <c r="CA77" s="5">
        <f t="shared" si="170"/>
        <v>0</v>
      </c>
      <c r="CB77" s="5"/>
      <c r="CC77" s="5">
        <f t="shared" si="171"/>
        <v>1146312</v>
      </c>
    </row>
    <row r="78" spans="1:81">
      <c r="A78" s="29" t="s">
        <v>76</v>
      </c>
      <c r="B78" s="35">
        <v>0</v>
      </c>
      <c r="C78" s="35">
        <v>157805</v>
      </c>
      <c r="D78" s="35"/>
      <c r="E78" s="35"/>
      <c r="F78" s="35"/>
      <c r="G78" s="35"/>
      <c r="H78" s="35"/>
      <c r="I78" s="35">
        <f t="shared" si="162"/>
        <v>157805</v>
      </c>
      <c r="J78" s="53"/>
      <c r="K78" s="35">
        <v>0</v>
      </c>
      <c r="L78" s="35">
        <v>128410</v>
      </c>
      <c r="M78" s="35"/>
      <c r="N78" s="35"/>
      <c r="O78" s="35"/>
      <c r="P78" s="35"/>
      <c r="Q78" s="35"/>
      <c r="R78" s="35">
        <f t="shared" si="163"/>
        <v>128410</v>
      </c>
      <c r="T78" s="35">
        <v>0</v>
      </c>
      <c r="U78" s="35">
        <v>170182</v>
      </c>
      <c r="V78" s="35"/>
      <c r="W78" s="35"/>
      <c r="X78" s="35"/>
      <c r="Y78" s="35"/>
      <c r="Z78" s="35"/>
      <c r="AA78" s="35">
        <f t="shared" si="164"/>
        <v>170182</v>
      </c>
      <c r="AC78" s="35">
        <v>0</v>
      </c>
      <c r="AD78" s="35">
        <v>450210</v>
      </c>
      <c r="AE78" s="35"/>
      <c r="AF78" s="35"/>
      <c r="AG78" s="35"/>
      <c r="AH78" s="35"/>
      <c r="AI78" s="35"/>
      <c r="AJ78" s="35">
        <f t="shared" si="165"/>
        <v>450210</v>
      </c>
      <c r="AL78" s="35">
        <v>0</v>
      </c>
      <c r="AM78" s="35">
        <v>326441</v>
      </c>
      <c r="AN78" s="35"/>
      <c r="AO78" s="35"/>
      <c r="AP78" s="35"/>
      <c r="AQ78" s="35"/>
      <c r="AR78" s="35"/>
      <c r="AS78" s="35">
        <f t="shared" si="166"/>
        <v>326441</v>
      </c>
      <c r="AU78" s="35">
        <v>0</v>
      </c>
      <c r="AV78" s="35">
        <v>15471</v>
      </c>
      <c r="AW78" s="35"/>
      <c r="AX78" s="35"/>
      <c r="AY78" s="35"/>
      <c r="AZ78" s="35"/>
      <c r="BA78" s="35"/>
      <c r="BB78" s="35">
        <f t="shared" si="167"/>
        <v>15471</v>
      </c>
      <c r="BD78" s="35">
        <v>0</v>
      </c>
      <c r="BE78" s="35"/>
      <c r="BF78" s="35"/>
      <c r="BG78" s="35"/>
      <c r="BH78" s="35"/>
      <c r="BI78" s="35"/>
      <c r="BJ78" s="35"/>
      <c r="BK78" s="35">
        <f t="shared" si="168"/>
        <v>0</v>
      </c>
      <c r="BM78" s="35">
        <v>0</v>
      </c>
      <c r="BN78" s="35">
        <v>0</v>
      </c>
      <c r="BO78" s="35"/>
      <c r="BP78" s="35"/>
      <c r="BQ78" s="35"/>
      <c r="BR78" s="35"/>
      <c r="BS78" s="35"/>
      <c r="BT78" s="35">
        <f t="shared" si="169"/>
        <v>0</v>
      </c>
      <c r="BV78" s="5">
        <f t="shared" si="170"/>
        <v>0</v>
      </c>
      <c r="BW78" s="5">
        <f t="shared" si="170"/>
        <v>1248519</v>
      </c>
      <c r="BX78" s="5">
        <f t="shared" si="170"/>
        <v>0</v>
      </c>
      <c r="BY78" s="5">
        <f t="shared" si="170"/>
        <v>0</v>
      </c>
      <c r="BZ78" s="5">
        <f t="shared" si="170"/>
        <v>0</v>
      </c>
      <c r="CA78" s="5">
        <f t="shared" si="170"/>
        <v>0</v>
      </c>
      <c r="CB78" s="35"/>
      <c r="CC78" s="35">
        <f t="shared" si="171"/>
        <v>1248519</v>
      </c>
    </row>
    <row r="79" spans="1:81">
      <c r="A79" s="29" t="s">
        <v>77</v>
      </c>
      <c r="B79" s="35">
        <v>0</v>
      </c>
      <c r="C79" s="35">
        <f>3800*C20</f>
        <v>472501.65745856357</v>
      </c>
      <c r="D79" s="35"/>
      <c r="E79" s="35"/>
      <c r="F79" s="35"/>
      <c r="G79" s="35"/>
      <c r="H79" s="35"/>
      <c r="I79" s="35">
        <f t="shared" si="162"/>
        <v>472501.65745856357</v>
      </c>
      <c r="J79" s="53"/>
      <c r="K79" s="35">
        <v>0</v>
      </c>
      <c r="L79" s="35">
        <f>3800*L20</f>
        <v>280114.28571428568</v>
      </c>
      <c r="M79" s="35"/>
      <c r="N79" s="35"/>
      <c r="O79" s="35"/>
      <c r="P79" s="35"/>
      <c r="Q79" s="35"/>
      <c r="R79" s="35">
        <f t="shared" si="163"/>
        <v>280114.28571428568</v>
      </c>
      <c r="T79" s="35">
        <v>0</v>
      </c>
      <c r="U79" s="35">
        <f>3800*U20</f>
        <v>428288.34870075434</v>
      </c>
      <c r="V79" s="35"/>
      <c r="W79" s="35"/>
      <c r="X79" s="35"/>
      <c r="Y79" s="35"/>
      <c r="Z79" s="35"/>
      <c r="AA79" s="35">
        <f t="shared" si="164"/>
        <v>428288.34870075434</v>
      </c>
      <c r="AC79" s="35">
        <v>0</v>
      </c>
      <c r="AD79" s="35">
        <f>3800*AD20</f>
        <v>1136375.5346449956</v>
      </c>
      <c r="AE79" s="35"/>
      <c r="AF79" s="35"/>
      <c r="AG79" s="35"/>
      <c r="AH79" s="35"/>
      <c r="AI79" s="35"/>
      <c r="AJ79" s="35">
        <f t="shared" si="165"/>
        <v>1136375.5346449956</v>
      </c>
      <c r="AL79" s="35">
        <v>0</v>
      </c>
      <c r="AM79" s="35">
        <f>3800*AM20</f>
        <v>845040.68692206079</v>
      </c>
      <c r="AN79" s="35"/>
      <c r="AO79" s="35"/>
      <c r="AP79" s="35"/>
      <c r="AQ79" s="35"/>
      <c r="AR79" s="35"/>
      <c r="AS79" s="35">
        <f t="shared" si="166"/>
        <v>845040.68692206079</v>
      </c>
      <c r="AU79" s="35">
        <v>0</v>
      </c>
      <c r="AV79" s="35">
        <f>3800*AV20</f>
        <v>70933.333333333343</v>
      </c>
      <c r="AW79" s="35"/>
      <c r="AX79" s="35"/>
      <c r="AY79" s="35"/>
      <c r="AZ79" s="35"/>
      <c r="BA79" s="35"/>
      <c r="BB79" s="35">
        <f t="shared" si="167"/>
        <v>70933.333333333343</v>
      </c>
      <c r="BD79" s="35">
        <v>0</v>
      </c>
      <c r="BE79" s="35">
        <f>3800*BE20</f>
        <v>102242.85714285714</v>
      </c>
      <c r="BF79" s="35"/>
      <c r="BG79" s="35"/>
      <c r="BH79" s="35"/>
      <c r="BI79" s="35"/>
      <c r="BJ79" s="35"/>
      <c r="BK79" s="35">
        <f t="shared" si="168"/>
        <v>102242.85714285714</v>
      </c>
      <c r="BM79" s="35">
        <v>0</v>
      </c>
      <c r="BN79" s="35">
        <f>2500*BN20</f>
        <v>0</v>
      </c>
      <c r="BO79" s="35"/>
      <c r="BP79" s="35"/>
      <c r="BQ79" s="35"/>
      <c r="BR79" s="35"/>
      <c r="BS79" s="35"/>
      <c r="BT79" s="35">
        <f t="shared" si="169"/>
        <v>0</v>
      </c>
      <c r="BV79" s="5">
        <f t="shared" si="170"/>
        <v>0</v>
      </c>
      <c r="BW79" s="5">
        <f t="shared" si="170"/>
        <v>3335496.7039168505</v>
      </c>
      <c r="BX79" s="5">
        <f t="shared" si="170"/>
        <v>0</v>
      </c>
      <c r="BY79" s="5">
        <f t="shared" si="170"/>
        <v>0</v>
      </c>
      <c r="BZ79" s="5">
        <f t="shared" si="170"/>
        <v>0</v>
      </c>
      <c r="CA79" s="5">
        <f t="shared" si="170"/>
        <v>0</v>
      </c>
      <c r="CB79" s="35"/>
      <c r="CC79" s="35">
        <f t="shared" si="171"/>
        <v>3335496.7039168505</v>
      </c>
    </row>
    <row r="80" spans="1:81" ht="15">
      <c r="A80" s="54" t="s">
        <v>78</v>
      </c>
      <c r="B80" s="55">
        <f t="shared" ref="B80:I80" si="172">SUM(B74:B79)</f>
        <v>9236878.1767955814</v>
      </c>
      <c r="C80" s="55">
        <f t="shared" si="172"/>
        <v>630306.65745856357</v>
      </c>
      <c r="D80" s="55">
        <f t="shared" si="172"/>
        <v>0</v>
      </c>
      <c r="E80" s="55"/>
      <c r="F80" s="55">
        <f t="shared" si="172"/>
        <v>0</v>
      </c>
      <c r="G80" s="55">
        <f t="shared" si="172"/>
        <v>0</v>
      </c>
      <c r="H80" s="55">
        <f t="shared" si="172"/>
        <v>0</v>
      </c>
      <c r="I80" s="55">
        <f t="shared" si="172"/>
        <v>9867184.8342541456</v>
      </c>
      <c r="J80" s="7"/>
      <c r="K80" s="55">
        <f t="shared" ref="K80:R80" si="173">SUM(K74:K79)</f>
        <v>10180887.005870841</v>
      </c>
      <c r="L80" s="55">
        <f t="shared" si="173"/>
        <v>408524.28571428568</v>
      </c>
      <c r="M80" s="55">
        <f t="shared" si="173"/>
        <v>0</v>
      </c>
      <c r="N80" s="55"/>
      <c r="O80" s="55">
        <f t="shared" si="173"/>
        <v>0</v>
      </c>
      <c r="P80" s="55">
        <f t="shared" si="173"/>
        <v>0</v>
      </c>
      <c r="Q80" s="55">
        <f t="shared" si="173"/>
        <v>0</v>
      </c>
      <c r="R80" s="55">
        <f t="shared" si="173"/>
        <v>10589411.291585127</v>
      </c>
      <c r="T80" s="55">
        <f t="shared" ref="T80:AA80" si="174">SUM(T74:T79)</f>
        <v>12282432.18357083</v>
      </c>
      <c r="U80" s="55">
        <f t="shared" si="174"/>
        <v>598470.34870075434</v>
      </c>
      <c r="V80" s="55">
        <f t="shared" si="174"/>
        <v>0</v>
      </c>
      <c r="W80" s="55"/>
      <c r="X80" s="55">
        <f t="shared" si="174"/>
        <v>0</v>
      </c>
      <c r="Y80" s="55">
        <f t="shared" si="174"/>
        <v>0</v>
      </c>
      <c r="Z80" s="55">
        <f t="shared" si="174"/>
        <v>0</v>
      </c>
      <c r="AA80" s="55">
        <f t="shared" si="174"/>
        <v>12880902.532271584</v>
      </c>
      <c r="AC80" s="55">
        <f t="shared" ref="AC80:AJ80" si="175">SUM(AC74:AC79)</f>
        <v>25165295.151411463</v>
      </c>
      <c r="AD80" s="55">
        <f t="shared" si="175"/>
        <v>1586585.5346449956</v>
      </c>
      <c r="AE80" s="55">
        <f t="shared" si="175"/>
        <v>0</v>
      </c>
      <c r="AF80" s="55">
        <f t="shared" si="175"/>
        <v>0</v>
      </c>
      <c r="AG80" s="55">
        <f t="shared" si="175"/>
        <v>0</v>
      </c>
      <c r="AH80" s="55">
        <f t="shared" si="175"/>
        <v>0</v>
      </c>
      <c r="AI80" s="55">
        <f t="shared" si="175"/>
        <v>0</v>
      </c>
      <c r="AJ80" s="55">
        <f t="shared" si="175"/>
        <v>26751880.686056457</v>
      </c>
      <c r="AL80" s="55">
        <f t="shared" ref="AL80:AS80" si="176">SUM(AL74:AL79)</f>
        <v>23701191.172170851</v>
      </c>
      <c r="AM80" s="55">
        <f t="shared" si="176"/>
        <v>1171481.6869220608</v>
      </c>
      <c r="AN80" s="55">
        <f t="shared" si="176"/>
        <v>0</v>
      </c>
      <c r="AO80" s="55"/>
      <c r="AP80" s="55">
        <f t="shared" si="176"/>
        <v>0</v>
      </c>
      <c r="AQ80" s="55">
        <f t="shared" si="176"/>
        <v>0</v>
      </c>
      <c r="AR80" s="55">
        <f t="shared" si="176"/>
        <v>0</v>
      </c>
      <c r="AS80" s="55">
        <f t="shared" si="176"/>
        <v>24872672.859092914</v>
      </c>
      <c r="AU80" s="55">
        <f t="shared" ref="AU80:BB80" si="177">SUM(AU74:AU79)</f>
        <v>1490858.888888889</v>
      </c>
      <c r="AV80" s="55">
        <f t="shared" si="177"/>
        <v>86404.333333333343</v>
      </c>
      <c r="AW80" s="55">
        <f t="shared" si="177"/>
        <v>0</v>
      </c>
      <c r="AX80" s="55"/>
      <c r="AY80" s="55">
        <f t="shared" si="177"/>
        <v>0</v>
      </c>
      <c r="AZ80" s="55">
        <f t="shared" si="177"/>
        <v>0</v>
      </c>
      <c r="BA80" s="55">
        <f t="shared" si="177"/>
        <v>0</v>
      </c>
      <c r="BB80" s="55">
        <f t="shared" si="177"/>
        <v>1577263.2222222222</v>
      </c>
      <c r="BD80" s="55">
        <f t="shared" ref="BD80:BK80" si="178">SUM(BD74:BD79)</f>
        <v>4346485.6090225568</v>
      </c>
      <c r="BE80" s="55">
        <f t="shared" si="178"/>
        <v>102242.85714285714</v>
      </c>
      <c r="BF80" s="55">
        <f t="shared" si="178"/>
        <v>0</v>
      </c>
      <c r="BG80" s="55"/>
      <c r="BH80" s="55">
        <f t="shared" si="178"/>
        <v>0</v>
      </c>
      <c r="BI80" s="55">
        <f t="shared" si="178"/>
        <v>0</v>
      </c>
      <c r="BJ80" s="55">
        <f t="shared" si="178"/>
        <v>0</v>
      </c>
      <c r="BK80" s="55">
        <f t="shared" si="178"/>
        <v>4448728.4661654141</v>
      </c>
      <c r="BM80" s="55">
        <f t="shared" ref="BM80:BT80" si="179">SUM(BM74:BM79)</f>
        <v>0</v>
      </c>
      <c r="BN80" s="55">
        <f t="shared" si="179"/>
        <v>0</v>
      </c>
      <c r="BO80" s="55">
        <f t="shared" si="179"/>
        <v>0</v>
      </c>
      <c r="BP80" s="55"/>
      <c r="BQ80" s="55">
        <f t="shared" si="179"/>
        <v>0</v>
      </c>
      <c r="BR80" s="55">
        <f t="shared" si="179"/>
        <v>0</v>
      </c>
      <c r="BS80" s="55">
        <f t="shared" si="179"/>
        <v>0</v>
      </c>
      <c r="BT80" s="55">
        <f t="shared" si="179"/>
        <v>0</v>
      </c>
      <c r="BV80" s="55">
        <f t="shared" ref="BV80:BX80" si="180">SUM(BV74:BV79)</f>
        <v>86404028.187731013</v>
      </c>
      <c r="BW80" s="55">
        <f t="shared" si="180"/>
        <v>4584015.7039168505</v>
      </c>
      <c r="BX80" s="55">
        <f t="shared" si="180"/>
        <v>0</v>
      </c>
      <c r="BY80" s="55"/>
      <c r="BZ80" s="55">
        <f t="shared" ref="BZ80:CC80" si="181">SUM(BZ74:BZ79)</f>
        <v>0</v>
      </c>
      <c r="CA80" s="55">
        <f t="shared" si="181"/>
        <v>0</v>
      </c>
      <c r="CB80" s="55">
        <f t="shared" si="181"/>
        <v>0</v>
      </c>
      <c r="CC80" s="55">
        <f t="shared" si="181"/>
        <v>90988043.89164786</v>
      </c>
    </row>
    <row r="81" spans="1:81" ht="15">
      <c r="A81" s="56" t="s">
        <v>79</v>
      </c>
      <c r="B81" s="49"/>
      <c r="C81" s="49"/>
      <c r="D81" s="49"/>
      <c r="E81" s="49"/>
      <c r="F81" s="49"/>
      <c r="G81" s="49"/>
      <c r="H81" s="49"/>
      <c r="I81" s="50"/>
      <c r="J81" s="7"/>
      <c r="K81" s="49"/>
      <c r="L81" s="49"/>
      <c r="M81" s="49"/>
      <c r="N81" s="49"/>
      <c r="O81" s="49"/>
      <c r="P81" s="49"/>
      <c r="Q81" s="49"/>
      <c r="R81" s="50"/>
      <c r="T81" s="49"/>
      <c r="U81" s="49"/>
      <c r="V81" s="49"/>
      <c r="W81" s="49"/>
      <c r="X81" s="49"/>
      <c r="Y81" s="49"/>
      <c r="Z81" s="49"/>
      <c r="AA81" s="50"/>
      <c r="AC81" s="49"/>
      <c r="AD81" s="49"/>
      <c r="AE81" s="49"/>
      <c r="AF81" s="49"/>
      <c r="AG81" s="49"/>
      <c r="AH81" s="49"/>
      <c r="AI81" s="49"/>
      <c r="AJ81" s="50"/>
      <c r="AL81" s="49"/>
      <c r="AM81" s="49"/>
      <c r="AN81" s="49"/>
      <c r="AO81" s="49"/>
      <c r="AP81" s="49"/>
      <c r="AQ81" s="49"/>
      <c r="AR81" s="49"/>
      <c r="AS81" s="50"/>
      <c r="AU81" s="49"/>
      <c r="AV81" s="49"/>
      <c r="AW81" s="49"/>
      <c r="AX81" s="49"/>
      <c r="AY81" s="49"/>
      <c r="AZ81" s="49"/>
      <c r="BA81" s="49"/>
      <c r="BB81" s="50"/>
      <c r="BD81" s="49"/>
      <c r="BE81" s="49"/>
      <c r="BF81" s="49"/>
      <c r="BG81" s="49"/>
      <c r="BH81" s="49"/>
      <c r="BI81" s="49"/>
      <c r="BJ81" s="49"/>
      <c r="BK81" s="50"/>
      <c r="BM81" s="49"/>
      <c r="BN81" s="49"/>
      <c r="BO81" s="49"/>
      <c r="BP81" s="49"/>
      <c r="BQ81" s="49"/>
      <c r="BR81" s="49"/>
      <c r="BS81" s="49"/>
      <c r="BT81" s="50"/>
      <c r="BV81" s="49"/>
      <c r="BW81" s="49"/>
      <c r="BX81" s="49"/>
      <c r="BY81" s="49"/>
      <c r="BZ81" s="49"/>
      <c r="CA81" s="49"/>
      <c r="CB81" s="49"/>
      <c r="CC81" s="50"/>
    </row>
    <row r="82" spans="1:81">
      <c r="A82" s="29" t="s">
        <v>80</v>
      </c>
      <c r="B82" s="5"/>
      <c r="C82" s="5">
        <f>C20*1100</f>
        <v>136776.79558011051</v>
      </c>
      <c r="D82" s="5"/>
      <c r="E82" s="5"/>
      <c r="F82" s="5"/>
      <c r="G82" s="5"/>
      <c r="H82" s="5"/>
      <c r="I82" s="5">
        <f>SUM(B82:H82)</f>
        <v>136776.79558011051</v>
      </c>
      <c r="J82" s="6"/>
      <c r="K82" s="5"/>
      <c r="L82" s="5">
        <f>L20*1100</f>
        <v>81085.714285714275</v>
      </c>
      <c r="M82" s="5"/>
      <c r="N82" s="5"/>
      <c r="O82" s="5"/>
      <c r="P82" s="5"/>
      <c r="Q82" s="5"/>
      <c r="R82" s="5">
        <f>SUM(K82:Q82)</f>
        <v>81085.714285714275</v>
      </c>
      <c r="T82" s="5"/>
      <c r="U82" s="5">
        <f>U20*1100</f>
        <v>123978.20620284995</v>
      </c>
      <c r="V82" s="5"/>
      <c r="W82" s="5"/>
      <c r="X82" s="5"/>
      <c r="Y82" s="5"/>
      <c r="Z82" s="5"/>
      <c r="AA82" s="5">
        <f>SUM(T82:Z82)</f>
        <v>123978.20620284995</v>
      </c>
      <c r="AC82" s="5"/>
      <c r="AD82" s="5">
        <f>AD20*1100</f>
        <v>328950.81266039348</v>
      </c>
      <c r="AE82" s="5"/>
      <c r="AF82" s="5"/>
      <c r="AG82" s="5"/>
      <c r="AH82" s="5"/>
      <c r="AI82" s="5"/>
      <c r="AJ82" s="5">
        <f>SUM(AC82:AI82)</f>
        <v>328950.81266039348</v>
      </c>
      <c r="AL82" s="5"/>
      <c r="AM82" s="5">
        <f>AM20*1100</f>
        <v>244617.04095112285</v>
      </c>
      <c r="AN82" s="5"/>
      <c r="AO82" s="5"/>
      <c r="AP82" s="5"/>
      <c r="AQ82" s="5"/>
      <c r="AR82" s="5"/>
      <c r="AS82" s="5">
        <f>SUM(AL82:AR82)</f>
        <v>244617.04095112285</v>
      </c>
      <c r="AU82" s="5"/>
      <c r="AV82" s="5">
        <f>AV20*1100</f>
        <v>20533.333333333336</v>
      </c>
      <c r="AW82" s="5"/>
      <c r="AX82" s="5"/>
      <c r="AY82" s="5"/>
      <c r="AZ82" s="5"/>
      <c r="BA82" s="5"/>
      <c r="BB82" s="5">
        <f>SUM(AU82:BA82)</f>
        <v>20533.333333333336</v>
      </c>
      <c r="BD82" s="5"/>
      <c r="BE82" s="5">
        <f>BE20*1100</f>
        <v>29596.616541353382</v>
      </c>
      <c r="BF82" s="11"/>
      <c r="BG82" s="5"/>
      <c r="BH82" s="5"/>
      <c r="BI82" s="5"/>
      <c r="BJ82" s="5"/>
      <c r="BK82" s="5">
        <f>SUM(BD82:BJ82)</f>
        <v>29596.616541353382</v>
      </c>
      <c r="BM82" s="5"/>
      <c r="BN82" s="5">
        <v>0</v>
      </c>
      <c r="BO82" s="5"/>
      <c r="BP82" s="5"/>
      <c r="BQ82" s="5"/>
      <c r="BR82" s="5"/>
      <c r="BS82" s="5"/>
      <c r="BT82" s="5">
        <f>SUM(BM82:BS82)</f>
        <v>0</v>
      </c>
      <c r="BV82" s="5">
        <f t="shared" ref="BV82:CA89" si="182">B82+K82+T82+AC82+AL82+AU82+BD82+BM82</f>
        <v>0</v>
      </c>
      <c r="BW82" s="5">
        <f t="shared" si="182"/>
        <v>965538.51955487777</v>
      </c>
      <c r="BX82" s="5">
        <f t="shared" si="182"/>
        <v>0</v>
      </c>
      <c r="BY82" s="5">
        <f t="shared" si="182"/>
        <v>0</v>
      </c>
      <c r="BZ82" s="5">
        <f t="shared" si="182"/>
        <v>0</v>
      </c>
      <c r="CA82" s="5">
        <f t="shared" si="182"/>
        <v>0</v>
      </c>
      <c r="CB82" s="5"/>
      <c r="CC82" s="5">
        <f>SUM(BV82:CB82)</f>
        <v>965538.51955487777</v>
      </c>
    </row>
    <row r="83" spans="1:81">
      <c r="A83" s="29" t="s">
        <v>81</v>
      </c>
      <c r="B83" s="5"/>
      <c r="C83" s="5"/>
      <c r="D83" s="11"/>
      <c r="E83" s="11"/>
      <c r="F83" s="11"/>
      <c r="G83" s="11"/>
      <c r="H83" s="11"/>
      <c r="I83" s="5">
        <f t="shared" ref="I83:I95" si="183">SUM(B83:H83)</f>
        <v>0</v>
      </c>
      <c r="J83" s="57"/>
      <c r="K83" s="5"/>
      <c r="L83" s="5"/>
      <c r="M83" s="11">
        <v>0</v>
      </c>
      <c r="N83" s="11"/>
      <c r="O83" s="11"/>
      <c r="P83" s="11"/>
      <c r="Q83" s="11"/>
      <c r="R83" s="5">
        <f t="shared" ref="R83:R95" si="184">SUM(K83:Q83)</f>
        <v>0</v>
      </c>
      <c r="T83" s="5"/>
      <c r="U83" s="5"/>
      <c r="V83" s="11">
        <v>0</v>
      </c>
      <c r="W83" s="11"/>
      <c r="X83" s="11"/>
      <c r="Y83" s="11"/>
      <c r="Z83" s="11"/>
      <c r="AA83" s="5">
        <f t="shared" ref="AA83:AA95" si="185">SUM(T83:Z83)</f>
        <v>0</v>
      </c>
      <c r="AC83" s="5"/>
      <c r="AD83" s="5"/>
      <c r="AE83" s="11">
        <v>0</v>
      </c>
      <c r="AF83" s="11"/>
      <c r="AG83" s="11"/>
      <c r="AH83" s="11"/>
      <c r="AI83" s="11"/>
      <c r="AJ83" s="5">
        <f t="shared" ref="AJ83:AJ95" si="186">SUM(AC83:AI83)</f>
        <v>0</v>
      </c>
      <c r="AL83" s="5"/>
      <c r="AM83" s="5"/>
      <c r="AN83" s="11">
        <v>0</v>
      </c>
      <c r="AO83" s="11"/>
      <c r="AP83" s="11"/>
      <c r="AQ83" s="11"/>
      <c r="AR83" s="11"/>
      <c r="AS83" s="5">
        <f t="shared" ref="AS83:AS95" si="187">SUM(AL83:AR83)</f>
        <v>0</v>
      </c>
      <c r="AU83" s="5"/>
      <c r="AV83" s="5"/>
      <c r="AW83" s="11"/>
      <c r="AX83" s="11"/>
      <c r="AY83" s="11"/>
      <c r="AZ83" s="11"/>
      <c r="BA83" s="11"/>
      <c r="BB83" s="5">
        <f t="shared" ref="BB83:BB95" si="188">SUM(AU83:BA83)</f>
        <v>0</v>
      </c>
      <c r="BD83" s="5"/>
      <c r="BE83" s="5"/>
      <c r="BF83" s="11">
        <f>((BD17*0.93)*2.28*180)</f>
        <v>160683.91200000001</v>
      </c>
      <c r="BG83" s="11"/>
      <c r="BH83" s="11"/>
      <c r="BI83" s="11"/>
      <c r="BJ83" s="11"/>
      <c r="BK83" s="5">
        <f t="shared" ref="BK83:BK95" si="189">SUM(BD83:BJ83)</f>
        <v>160683.91200000001</v>
      </c>
      <c r="BM83" s="5"/>
      <c r="BN83" s="5"/>
      <c r="BO83" s="11"/>
      <c r="BP83" s="11"/>
      <c r="BQ83" s="11"/>
      <c r="BR83" s="11"/>
      <c r="BS83" s="11"/>
      <c r="BT83" s="5">
        <f t="shared" ref="BT83:BT95" si="190">SUM(BM83:BS83)</f>
        <v>0</v>
      </c>
      <c r="BV83" s="5">
        <f t="shared" si="182"/>
        <v>0</v>
      </c>
      <c r="BW83" s="5">
        <f t="shared" si="182"/>
        <v>0</v>
      </c>
      <c r="BX83" s="5">
        <f t="shared" si="182"/>
        <v>160683.91200000001</v>
      </c>
      <c r="BY83" s="5">
        <f t="shared" si="182"/>
        <v>0</v>
      </c>
      <c r="BZ83" s="5">
        <f t="shared" si="182"/>
        <v>0</v>
      </c>
      <c r="CA83" s="5">
        <f t="shared" si="182"/>
        <v>0</v>
      </c>
      <c r="CB83" s="11"/>
      <c r="CC83" s="5">
        <f t="shared" ref="CC83:CC88" si="191">SUM(BV83:CB83)</f>
        <v>160683.91200000001</v>
      </c>
    </row>
    <row r="84" spans="1:81">
      <c r="A84" s="29" t="s">
        <v>82</v>
      </c>
      <c r="B84" s="35"/>
      <c r="C84" s="35"/>
      <c r="D84" s="11">
        <f>((B17*0.51)*4.33*180)</f>
        <v>369669.42</v>
      </c>
      <c r="E84" s="11"/>
      <c r="F84" s="11"/>
      <c r="G84" s="11"/>
      <c r="H84" s="11"/>
      <c r="I84" s="5">
        <f t="shared" si="183"/>
        <v>369669.42</v>
      </c>
      <c r="J84" s="57"/>
      <c r="K84" s="35"/>
      <c r="L84" s="35"/>
      <c r="M84" s="11">
        <f>((K17*0.35)*4.33*180)</f>
        <v>281519.27999999997</v>
      </c>
      <c r="N84" s="11"/>
      <c r="O84" s="11"/>
      <c r="P84" s="11"/>
      <c r="Q84" s="11"/>
      <c r="R84" s="5">
        <f t="shared" si="184"/>
        <v>281519.27999999997</v>
      </c>
      <c r="T84" s="35"/>
      <c r="U84" s="35"/>
      <c r="V84" s="11">
        <f>((T17*0.17)*4.33*180)</f>
        <v>164960.01</v>
      </c>
      <c r="W84" s="11"/>
      <c r="X84" s="11"/>
      <c r="Y84" s="11"/>
      <c r="Z84" s="11"/>
      <c r="AA84" s="5">
        <f t="shared" si="185"/>
        <v>164960.01</v>
      </c>
      <c r="AC84" s="35"/>
      <c r="AD84" s="35"/>
      <c r="AE84" s="11">
        <f>((AC17*0.45)*4.33*180)</f>
        <v>882085.95</v>
      </c>
      <c r="AF84" s="11"/>
      <c r="AG84" s="11"/>
      <c r="AH84" s="11"/>
      <c r="AI84" s="11"/>
      <c r="AJ84" s="5">
        <f t="shared" si="186"/>
        <v>882085.95</v>
      </c>
      <c r="AL84" s="35"/>
      <c r="AM84" s="35"/>
      <c r="AN84" s="11">
        <f>((AL17*0.31)*4.33*180)</f>
        <v>572866.79399999999</v>
      </c>
      <c r="AO84" s="11"/>
      <c r="AP84" s="11"/>
      <c r="AQ84" s="11"/>
      <c r="AR84" s="11"/>
      <c r="AS84" s="5">
        <f t="shared" si="187"/>
        <v>572866.79399999999</v>
      </c>
      <c r="AU84" s="35"/>
      <c r="AV84" s="35"/>
      <c r="AW84" s="11">
        <f>((AU17*0.02)*4.33*180)</f>
        <v>2182.3200000000002</v>
      </c>
      <c r="AX84" s="11"/>
      <c r="AY84" s="11"/>
      <c r="AZ84" s="11"/>
      <c r="BA84" s="11"/>
      <c r="BB84" s="5">
        <f t="shared" si="188"/>
        <v>2182.3200000000002</v>
      </c>
      <c r="BD84" s="35"/>
      <c r="BE84" s="35"/>
      <c r="BF84" s="11">
        <f>((BD17*0.97)*4.33*180)</f>
        <v>318283.57799999998</v>
      </c>
      <c r="BG84" s="11"/>
      <c r="BH84" s="11"/>
      <c r="BI84" s="11"/>
      <c r="BJ84" s="11"/>
      <c r="BK84" s="5">
        <f t="shared" si="189"/>
        <v>318283.57799999998</v>
      </c>
      <c r="BM84" s="35"/>
      <c r="BN84" s="35"/>
      <c r="BO84" s="11">
        <f>((BM17*0.25)*4*180)</f>
        <v>0</v>
      </c>
      <c r="BP84" s="11"/>
      <c r="BQ84" s="11"/>
      <c r="BR84" s="11"/>
      <c r="BS84" s="11"/>
      <c r="BT84" s="5">
        <f t="shared" si="190"/>
        <v>0</v>
      </c>
      <c r="BV84" s="5">
        <f t="shared" si="182"/>
        <v>0</v>
      </c>
      <c r="BW84" s="5">
        <f t="shared" si="182"/>
        <v>0</v>
      </c>
      <c r="BX84" s="5">
        <f t="shared" si="182"/>
        <v>2591567.352</v>
      </c>
      <c r="BY84" s="5">
        <f t="shared" si="182"/>
        <v>0</v>
      </c>
      <c r="BZ84" s="5">
        <f t="shared" si="182"/>
        <v>0</v>
      </c>
      <c r="CA84" s="5">
        <f t="shared" si="182"/>
        <v>0</v>
      </c>
      <c r="CB84" s="11"/>
      <c r="CC84" s="5">
        <f t="shared" si="191"/>
        <v>2591567.352</v>
      </c>
    </row>
    <row r="85" spans="1:81">
      <c r="A85" s="29" t="s">
        <v>4</v>
      </c>
      <c r="B85" s="35"/>
      <c r="C85" s="35"/>
      <c r="D85" s="35"/>
      <c r="E85" s="35"/>
      <c r="F85" s="67"/>
      <c r="G85" s="35"/>
      <c r="H85" s="35"/>
      <c r="I85" s="5">
        <f t="shared" si="183"/>
        <v>0</v>
      </c>
      <c r="J85" s="6"/>
      <c r="K85" s="35"/>
      <c r="L85" s="35"/>
      <c r="M85" s="67"/>
      <c r="N85" s="35"/>
      <c r="O85" s="35"/>
      <c r="P85" s="35"/>
      <c r="Q85" s="35"/>
      <c r="R85" s="5">
        <f t="shared" si="184"/>
        <v>0</v>
      </c>
      <c r="T85" s="35"/>
      <c r="U85" s="35"/>
      <c r="V85" s="35"/>
      <c r="W85" s="35"/>
      <c r="X85" s="35"/>
      <c r="Y85" s="35"/>
      <c r="Z85" s="35"/>
      <c r="AA85" s="5">
        <f t="shared" si="185"/>
        <v>0</v>
      </c>
      <c r="AC85" s="35"/>
      <c r="AD85" s="35"/>
      <c r="AE85" s="35"/>
      <c r="AF85" s="35"/>
      <c r="AG85" s="35"/>
      <c r="AH85" s="35"/>
      <c r="AI85" s="35"/>
      <c r="AJ85" s="5">
        <f t="shared" si="186"/>
        <v>0</v>
      </c>
      <c r="AL85" s="35"/>
      <c r="AM85" s="35"/>
      <c r="AN85" s="35"/>
      <c r="AO85" s="35"/>
      <c r="AP85" s="35"/>
      <c r="AQ85" s="35"/>
      <c r="AR85" s="35"/>
      <c r="AS85" s="5">
        <f t="shared" si="187"/>
        <v>0</v>
      </c>
      <c r="AU85" s="35"/>
      <c r="AV85" s="35"/>
      <c r="AW85" s="35"/>
      <c r="AX85" s="35"/>
      <c r="AY85" s="67"/>
      <c r="AZ85" s="35"/>
      <c r="BA85" s="35"/>
      <c r="BB85" s="5">
        <f t="shared" si="188"/>
        <v>0</v>
      </c>
      <c r="BD85" s="35"/>
      <c r="BE85" s="35"/>
      <c r="BF85" s="67"/>
      <c r="BG85" s="35"/>
      <c r="BH85" s="67"/>
      <c r="BI85" s="35"/>
      <c r="BJ85" s="35"/>
      <c r="BK85" s="5">
        <f t="shared" si="189"/>
        <v>0</v>
      </c>
      <c r="BM85" s="35"/>
      <c r="BN85" s="35"/>
      <c r="BO85" s="35"/>
      <c r="BP85" s="35"/>
      <c r="BQ85" s="35"/>
      <c r="BR85" s="35"/>
      <c r="BS85" s="35"/>
      <c r="BT85" s="5">
        <f t="shared" si="190"/>
        <v>0</v>
      </c>
      <c r="BV85" s="5">
        <f t="shared" si="182"/>
        <v>0</v>
      </c>
      <c r="BW85" s="5">
        <f t="shared" si="182"/>
        <v>0</v>
      </c>
      <c r="BX85" s="5">
        <f t="shared" si="182"/>
        <v>0</v>
      </c>
      <c r="BY85" s="5">
        <f t="shared" si="182"/>
        <v>0</v>
      </c>
      <c r="BZ85" s="5">
        <f t="shared" si="182"/>
        <v>0</v>
      </c>
      <c r="CA85" s="5">
        <f t="shared" si="182"/>
        <v>0</v>
      </c>
      <c r="CB85" s="35"/>
      <c r="CC85" s="5">
        <f t="shared" si="191"/>
        <v>0</v>
      </c>
    </row>
    <row r="86" spans="1:81">
      <c r="A86" s="29" t="s">
        <v>83</v>
      </c>
      <c r="B86" s="35"/>
      <c r="C86" s="35"/>
      <c r="D86" s="35"/>
      <c r="E86" s="35"/>
      <c r="F86" s="35"/>
      <c r="G86" s="35"/>
      <c r="H86" s="35"/>
      <c r="I86" s="5">
        <f t="shared" si="183"/>
        <v>0</v>
      </c>
      <c r="J86" s="6"/>
      <c r="K86" s="35"/>
      <c r="L86" s="35"/>
      <c r="M86" s="67"/>
      <c r="N86" s="35"/>
      <c r="O86" s="35"/>
      <c r="P86" s="35"/>
      <c r="Q86" s="35"/>
      <c r="R86" s="5">
        <f t="shared" si="184"/>
        <v>0</v>
      </c>
      <c r="T86" s="35"/>
      <c r="U86" s="35"/>
      <c r="V86" s="35"/>
      <c r="W86" s="35"/>
      <c r="X86" s="35"/>
      <c r="Y86" s="35"/>
      <c r="Z86" s="35"/>
      <c r="AA86" s="5">
        <f t="shared" si="185"/>
        <v>0</v>
      </c>
      <c r="AC86" s="35"/>
      <c r="AD86" s="35"/>
      <c r="AE86" s="35"/>
      <c r="AF86" s="35"/>
      <c r="AG86" s="35"/>
      <c r="AH86" s="35"/>
      <c r="AI86" s="35"/>
      <c r="AJ86" s="5">
        <f t="shared" si="186"/>
        <v>0</v>
      </c>
      <c r="AL86" s="35"/>
      <c r="AM86" s="35"/>
      <c r="AN86" s="35"/>
      <c r="AO86" s="35"/>
      <c r="AP86" s="35"/>
      <c r="AQ86" s="35"/>
      <c r="AR86" s="35"/>
      <c r="AS86" s="5">
        <f t="shared" si="187"/>
        <v>0</v>
      </c>
      <c r="AU86" s="35"/>
      <c r="AV86" s="35"/>
      <c r="AW86" s="35"/>
      <c r="AX86" s="35"/>
      <c r="AY86" s="35"/>
      <c r="AZ86" s="35"/>
      <c r="BA86" s="35"/>
      <c r="BB86" s="5">
        <f t="shared" si="188"/>
        <v>0</v>
      </c>
      <c r="BD86" s="35"/>
      <c r="BE86" s="35"/>
      <c r="BF86" s="67"/>
      <c r="BG86" s="35"/>
      <c r="BH86" s="35"/>
      <c r="BI86" s="35"/>
      <c r="BJ86" s="35"/>
      <c r="BK86" s="5">
        <f t="shared" si="189"/>
        <v>0</v>
      </c>
      <c r="BM86" s="35"/>
      <c r="BN86" s="35"/>
      <c r="BO86" s="35"/>
      <c r="BP86" s="35"/>
      <c r="BQ86" s="35"/>
      <c r="BR86" s="35"/>
      <c r="BS86" s="35"/>
      <c r="BT86" s="5">
        <f t="shared" si="190"/>
        <v>0</v>
      </c>
      <c r="BV86" s="5">
        <f t="shared" si="182"/>
        <v>0</v>
      </c>
      <c r="BW86" s="5">
        <f t="shared" si="182"/>
        <v>0</v>
      </c>
      <c r="BX86" s="5">
        <f t="shared" si="182"/>
        <v>0</v>
      </c>
      <c r="BY86" s="5">
        <f t="shared" si="182"/>
        <v>0</v>
      </c>
      <c r="BZ86" s="5">
        <f t="shared" si="182"/>
        <v>0</v>
      </c>
      <c r="CA86" s="5">
        <f t="shared" si="182"/>
        <v>0</v>
      </c>
      <c r="CB86" s="35"/>
      <c r="CC86" s="5">
        <f t="shared" si="191"/>
        <v>0</v>
      </c>
    </row>
    <row r="87" spans="1:81">
      <c r="A87" s="29" t="s">
        <v>6</v>
      </c>
      <c r="B87" s="35"/>
      <c r="C87" s="35"/>
      <c r="D87" s="35"/>
      <c r="E87" s="35"/>
      <c r="F87" s="35"/>
      <c r="G87" s="35"/>
      <c r="H87" s="35"/>
      <c r="I87" s="5">
        <f t="shared" si="183"/>
        <v>0</v>
      </c>
      <c r="J87" s="6"/>
      <c r="K87" s="35"/>
      <c r="L87" s="35"/>
      <c r="M87" s="67"/>
      <c r="N87" s="35"/>
      <c r="O87" s="35"/>
      <c r="P87" s="35"/>
      <c r="Q87" s="35"/>
      <c r="R87" s="5">
        <f t="shared" si="184"/>
        <v>0</v>
      </c>
      <c r="T87" s="35"/>
      <c r="U87" s="35"/>
      <c r="V87" s="35"/>
      <c r="W87" s="35"/>
      <c r="X87" s="35"/>
      <c r="Y87" s="35"/>
      <c r="Z87" s="35"/>
      <c r="AA87" s="5">
        <f t="shared" si="185"/>
        <v>0</v>
      </c>
      <c r="AC87" s="35"/>
      <c r="AD87" s="35"/>
      <c r="AE87" s="35"/>
      <c r="AF87" s="35"/>
      <c r="AG87" s="35"/>
      <c r="AH87" s="35"/>
      <c r="AI87" s="35"/>
      <c r="AJ87" s="5">
        <f t="shared" si="186"/>
        <v>0</v>
      </c>
      <c r="AL87" s="35"/>
      <c r="AM87" s="35"/>
      <c r="AN87" s="35"/>
      <c r="AO87" s="35"/>
      <c r="AP87" s="35"/>
      <c r="AQ87" s="35"/>
      <c r="AR87" s="35"/>
      <c r="AS87" s="5">
        <f t="shared" si="187"/>
        <v>0</v>
      </c>
      <c r="AU87" s="35"/>
      <c r="AV87" s="35"/>
      <c r="AW87" s="35"/>
      <c r="AX87" s="35"/>
      <c r="AY87" s="35"/>
      <c r="AZ87" s="35"/>
      <c r="BA87" s="35"/>
      <c r="BB87" s="5">
        <f t="shared" si="188"/>
        <v>0</v>
      </c>
      <c r="BD87" s="35"/>
      <c r="BE87" s="35"/>
      <c r="BF87" s="67"/>
      <c r="BG87" s="35"/>
      <c r="BH87" s="35"/>
      <c r="BI87" s="35"/>
      <c r="BJ87" s="35"/>
      <c r="BK87" s="5">
        <f t="shared" si="189"/>
        <v>0</v>
      </c>
      <c r="BM87" s="35"/>
      <c r="BN87" s="35"/>
      <c r="BO87" s="35"/>
      <c r="BP87" s="35"/>
      <c r="BQ87" s="35"/>
      <c r="BR87" s="35"/>
      <c r="BS87" s="35"/>
      <c r="BT87" s="5">
        <f t="shared" si="190"/>
        <v>0</v>
      </c>
      <c r="BV87" s="5">
        <f t="shared" si="182"/>
        <v>0</v>
      </c>
      <c r="BW87" s="5">
        <f t="shared" si="182"/>
        <v>0</v>
      </c>
      <c r="BX87" s="5">
        <f t="shared" si="182"/>
        <v>0</v>
      </c>
      <c r="BY87" s="5">
        <f t="shared" si="182"/>
        <v>0</v>
      </c>
      <c r="BZ87" s="5">
        <f t="shared" si="182"/>
        <v>0</v>
      </c>
      <c r="CA87" s="5">
        <f t="shared" si="182"/>
        <v>0</v>
      </c>
      <c r="CB87" s="35"/>
      <c r="CC87" s="5">
        <f t="shared" si="191"/>
        <v>0</v>
      </c>
    </row>
    <row r="88" spans="1:81">
      <c r="A88" s="29" t="s">
        <v>84</v>
      </c>
      <c r="B88" s="35"/>
      <c r="C88" s="35"/>
      <c r="D88" s="35"/>
      <c r="E88" s="35"/>
      <c r="F88" s="35"/>
      <c r="G88" s="35"/>
      <c r="H88" s="35"/>
      <c r="I88" s="5">
        <f t="shared" si="183"/>
        <v>0</v>
      </c>
      <c r="J88" s="6"/>
      <c r="K88" s="35"/>
      <c r="L88" s="35"/>
      <c r="M88" s="35"/>
      <c r="N88" s="35"/>
      <c r="O88" s="35"/>
      <c r="P88" s="35"/>
      <c r="Q88" s="35"/>
      <c r="R88" s="5">
        <f t="shared" si="184"/>
        <v>0</v>
      </c>
      <c r="T88" s="35"/>
      <c r="U88" s="35"/>
      <c r="V88" s="35"/>
      <c r="W88" s="35"/>
      <c r="X88" s="35"/>
      <c r="Y88" s="35"/>
      <c r="Z88" s="35"/>
      <c r="AA88" s="5">
        <f t="shared" si="185"/>
        <v>0</v>
      </c>
      <c r="AC88" s="35"/>
      <c r="AD88" s="35"/>
      <c r="AE88" s="35"/>
      <c r="AF88" s="35"/>
      <c r="AG88" s="35"/>
      <c r="AH88" s="35"/>
      <c r="AI88" s="35"/>
      <c r="AJ88" s="5">
        <f t="shared" si="186"/>
        <v>0</v>
      </c>
      <c r="AL88" s="35"/>
      <c r="AM88" s="35"/>
      <c r="AN88" s="35"/>
      <c r="AO88" s="35"/>
      <c r="AP88" s="35"/>
      <c r="AQ88" s="35"/>
      <c r="AR88" s="35"/>
      <c r="AS88" s="5">
        <f t="shared" si="187"/>
        <v>0</v>
      </c>
      <c r="AU88" s="35"/>
      <c r="AV88" s="35"/>
      <c r="AW88" s="35"/>
      <c r="AX88" s="35"/>
      <c r="AY88" s="35"/>
      <c r="AZ88" s="35"/>
      <c r="BA88" s="35"/>
      <c r="BB88" s="5">
        <f t="shared" si="188"/>
        <v>0</v>
      </c>
      <c r="BD88" s="35"/>
      <c r="BE88" s="35"/>
      <c r="BF88" s="35"/>
      <c r="BG88" s="35"/>
      <c r="BH88" s="35"/>
      <c r="BI88" s="35"/>
      <c r="BJ88" s="35"/>
      <c r="BK88" s="5">
        <f t="shared" si="189"/>
        <v>0</v>
      </c>
      <c r="BM88" s="35"/>
      <c r="BN88" s="35"/>
      <c r="BO88" s="35"/>
      <c r="BP88" s="35"/>
      <c r="BQ88" s="35"/>
      <c r="BR88" s="35"/>
      <c r="BS88" s="35"/>
      <c r="BT88" s="5">
        <f t="shared" si="190"/>
        <v>0</v>
      </c>
      <c r="BV88" s="5">
        <f t="shared" si="182"/>
        <v>0</v>
      </c>
      <c r="BW88" s="5">
        <f t="shared" si="182"/>
        <v>0</v>
      </c>
      <c r="BX88" s="5">
        <f t="shared" si="182"/>
        <v>0</v>
      </c>
      <c r="BY88" s="5">
        <f t="shared" si="182"/>
        <v>0</v>
      </c>
      <c r="BZ88" s="5">
        <f t="shared" si="182"/>
        <v>0</v>
      </c>
      <c r="CA88" s="5">
        <f t="shared" si="182"/>
        <v>0</v>
      </c>
      <c r="CB88" s="35"/>
      <c r="CC88" s="5">
        <f t="shared" si="191"/>
        <v>0</v>
      </c>
    </row>
    <row r="89" spans="1:81">
      <c r="A89" s="29" t="s">
        <v>85</v>
      </c>
      <c r="B89" s="35"/>
      <c r="C89" s="35"/>
      <c r="D89" s="35"/>
      <c r="E89" s="35"/>
      <c r="F89" s="35"/>
      <c r="G89" s="35"/>
      <c r="H89" s="35"/>
      <c r="I89" s="5"/>
      <c r="J89" s="6"/>
      <c r="K89" s="35"/>
      <c r="L89" s="35"/>
      <c r="M89" s="35"/>
      <c r="N89" s="35"/>
      <c r="O89" s="35"/>
      <c r="P89" s="35"/>
      <c r="Q89" s="35"/>
      <c r="R89" s="5"/>
      <c r="T89" s="35"/>
      <c r="U89" s="35"/>
      <c r="V89" s="35"/>
      <c r="W89" s="35"/>
      <c r="X89" s="35"/>
      <c r="Y89" s="35"/>
      <c r="Z89" s="35"/>
      <c r="AA89" s="5"/>
      <c r="AC89" s="35"/>
      <c r="AD89" s="35"/>
      <c r="AE89" s="35"/>
      <c r="AF89" s="35"/>
      <c r="AG89" s="35"/>
      <c r="AH89" s="35"/>
      <c r="AI89" s="35"/>
      <c r="AJ89" s="5"/>
      <c r="AL89" s="35"/>
      <c r="AM89" s="35"/>
      <c r="AN89" s="35"/>
      <c r="AO89" s="35"/>
      <c r="AP89" s="35"/>
      <c r="AQ89" s="35"/>
      <c r="AR89" s="35"/>
      <c r="AS89" s="5"/>
      <c r="AU89" s="35"/>
      <c r="AV89" s="35"/>
      <c r="AW89" s="35"/>
      <c r="AX89" s="35"/>
      <c r="AY89" s="35"/>
      <c r="AZ89" s="35"/>
      <c r="BA89" s="35"/>
      <c r="BB89" s="5"/>
      <c r="BD89" s="35"/>
      <c r="BE89" s="35"/>
      <c r="BF89" s="35"/>
      <c r="BG89" s="35"/>
      <c r="BH89" s="35"/>
      <c r="BI89" s="35"/>
      <c r="BJ89" s="35"/>
      <c r="BK89" s="5"/>
      <c r="BM89" s="35"/>
      <c r="BN89" s="35"/>
      <c r="BO89" s="35"/>
      <c r="BP89" s="35"/>
      <c r="BQ89" s="35"/>
      <c r="BR89" s="35"/>
      <c r="BS89" s="35"/>
      <c r="BT89" s="5"/>
      <c r="BV89" s="5">
        <f t="shared" si="182"/>
        <v>0</v>
      </c>
      <c r="BW89" s="5">
        <f t="shared" si="182"/>
        <v>0</v>
      </c>
      <c r="BX89" s="5">
        <f t="shared" si="182"/>
        <v>0</v>
      </c>
      <c r="BY89" s="5">
        <f t="shared" si="182"/>
        <v>0</v>
      </c>
      <c r="BZ89" s="5">
        <f t="shared" si="182"/>
        <v>0</v>
      </c>
      <c r="CA89" s="5">
        <f t="shared" si="182"/>
        <v>0</v>
      </c>
      <c r="CB89" s="35"/>
      <c r="CC89" s="5"/>
    </row>
    <row r="90" spans="1:81" ht="15">
      <c r="A90" s="54" t="s">
        <v>86</v>
      </c>
      <c r="B90" s="55">
        <f>SUM(B82:B88)</f>
        <v>0</v>
      </c>
      <c r="C90" s="55">
        <f t="shared" ref="C90:I90" si="192">SUM(C82:C88)</f>
        <v>136776.79558011051</v>
      </c>
      <c r="D90" s="55">
        <f t="shared" si="192"/>
        <v>369669.42</v>
      </c>
      <c r="E90" s="55"/>
      <c r="F90" s="55">
        <f t="shared" si="192"/>
        <v>0</v>
      </c>
      <c r="G90" s="55">
        <f t="shared" si="192"/>
        <v>0</v>
      </c>
      <c r="H90" s="55">
        <f t="shared" si="192"/>
        <v>0</v>
      </c>
      <c r="I90" s="55">
        <f t="shared" si="192"/>
        <v>506446.2155801105</v>
      </c>
      <c r="J90" s="7"/>
      <c r="K90" s="55">
        <f>SUM(K82:K88)</f>
        <v>0</v>
      </c>
      <c r="L90" s="55">
        <f t="shared" ref="L90:R90" si="193">SUM(L82:L88)</f>
        <v>81085.714285714275</v>
      </c>
      <c r="M90" s="55">
        <f t="shared" si="193"/>
        <v>281519.27999999997</v>
      </c>
      <c r="N90" s="55"/>
      <c r="O90" s="55">
        <f t="shared" si="193"/>
        <v>0</v>
      </c>
      <c r="P90" s="55">
        <f t="shared" si="193"/>
        <v>0</v>
      </c>
      <c r="Q90" s="55">
        <f t="shared" si="193"/>
        <v>0</v>
      </c>
      <c r="R90" s="55">
        <f t="shared" si="193"/>
        <v>362604.99428571423</v>
      </c>
      <c r="T90" s="55">
        <f>SUM(T82:T88)</f>
        <v>0</v>
      </c>
      <c r="U90" s="55">
        <f t="shared" ref="U90:AA90" si="194">SUM(U82:U88)</f>
        <v>123978.20620284995</v>
      </c>
      <c r="V90" s="55">
        <f t="shared" si="194"/>
        <v>164960.01</v>
      </c>
      <c r="W90" s="55"/>
      <c r="X90" s="55">
        <f t="shared" si="194"/>
        <v>0</v>
      </c>
      <c r="Y90" s="55">
        <f t="shared" si="194"/>
        <v>0</v>
      </c>
      <c r="Z90" s="55">
        <f t="shared" si="194"/>
        <v>0</v>
      </c>
      <c r="AA90" s="55">
        <f t="shared" si="194"/>
        <v>288938.21620284999</v>
      </c>
      <c r="AC90" s="55">
        <f>SUM(AC82:AC88)</f>
        <v>0</v>
      </c>
      <c r="AD90" s="55">
        <f t="shared" ref="AD90:AJ90" si="195">SUM(AD82:AD88)</f>
        <v>328950.81266039348</v>
      </c>
      <c r="AE90" s="55">
        <f t="shared" si="195"/>
        <v>882085.95</v>
      </c>
      <c r="AF90" s="55">
        <f t="shared" si="195"/>
        <v>0</v>
      </c>
      <c r="AG90" s="55">
        <f t="shared" si="195"/>
        <v>0</v>
      </c>
      <c r="AH90" s="55">
        <f t="shared" si="195"/>
        <v>0</v>
      </c>
      <c r="AI90" s="55">
        <f t="shared" si="195"/>
        <v>0</v>
      </c>
      <c r="AJ90" s="55">
        <f t="shared" si="195"/>
        <v>1211036.7626603935</v>
      </c>
      <c r="AL90" s="55">
        <f>SUM(AL82:AL88)</f>
        <v>0</v>
      </c>
      <c r="AM90" s="55">
        <f t="shared" ref="AM90:AS90" si="196">SUM(AM82:AM88)</f>
        <v>244617.04095112285</v>
      </c>
      <c r="AN90" s="55">
        <f t="shared" si="196"/>
        <v>572866.79399999999</v>
      </c>
      <c r="AO90" s="55"/>
      <c r="AP90" s="55">
        <f t="shared" si="196"/>
        <v>0</v>
      </c>
      <c r="AQ90" s="55">
        <f t="shared" si="196"/>
        <v>0</v>
      </c>
      <c r="AR90" s="55">
        <f t="shared" si="196"/>
        <v>0</v>
      </c>
      <c r="AS90" s="55">
        <f t="shared" si="196"/>
        <v>817483.83495112287</v>
      </c>
      <c r="AU90" s="55">
        <f>SUM(AU82:AU88)</f>
        <v>0</v>
      </c>
      <c r="AV90" s="55">
        <f t="shared" ref="AV90:BB90" si="197">SUM(AV82:AV88)</f>
        <v>20533.333333333336</v>
      </c>
      <c r="AW90" s="55">
        <f t="shared" si="197"/>
        <v>2182.3200000000002</v>
      </c>
      <c r="AX90" s="55"/>
      <c r="AY90" s="55">
        <f t="shared" si="197"/>
        <v>0</v>
      </c>
      <c r="AZ90" s="55">
        <f t="shared" si="197"/>
        <v>0</v>
      </c>
      <c r="BA90" s="55">
        <f t="shared" si="197"/>
        <v>0</v>
      </c>
      <c r="BB90" s="55">
        <f t="shared" si="197"/>
        <v>22715.653333333335</v>
      </c>
      <c r="BD90" s="55">
        <f>SUM(BD82:BD88)</f>
        <v>0</v>
      </c>
      <c r="BE90" s="55">
        <f t="shared" ref="BE90:BK90" si="198">SUM(BE82:BE88)</f>
        <v>29596.616541353382</v>
      </c>
      <c r="BF90" s="55">
        <f t="shared" si="198"/>
        <v>478967.49</v>
      </c>
      <c r="BG90" s="55"/>
      <c r="BH90" s="55">
        <f t="shared" si="198"/>
        <v>0</v>
      </c>
      <c r="BI90" s="55">
        <f t="shared" si="198"/>
        <v>0</v>
      </c>
      <c r="BJ90" s="55">
        <f t="shared" si="198"/>
        <v>0</v>
      </c>
      <c r="BK90" s="55">
        <f t="shared" si="198"/>
        <v>508564.10654135339</v>
      </c>
      <c r="BM90" s="55">
        <f>SUM(BM82:BM88)</f>
        <v>0</v>
      </c>
      <c r="BN90" s="55">
        <f t="shared" ref="BN90:BT90" si="199">SUM(BN82:BN88)</f>
        <v>0</v>
      </c>
      <c r="BO90" s="55">
        <f t="shared" si="199"/>
        <v>0</v>
      </c>
      <c r="BP90" s="55"/>
      <c r="BQ90" s="55">
        <f t="shared" si="199"/>
        <v>0</v>
      </c>
      <c r="BR90" s="55">
        <f t="shared" si="199"/>
        <v>0</v>
      </c>
      <c r="BS90" s="55">
        <f t="shared" si="199"/>
        <v>0</v>
      </c>
      <c r="BT90" s="55">
        <f t="shared" si="199"/>
        <v>0</v>
      </c>
      <c r="BV90" s="55">
        <f>SUM(BV82:BV88)</f>
        <v>0</v>
      </c>
      <c r="BW90" s="55">
        <f t="shared" ref="BW90:BX90" si="200">SUM(BW82:BW88)</f>
        <v>965538.51955487777</v>
      </c>
      <c r="BX90" s="55">
        <f t="shared" si="200"/>
        <v>2752251.264</v>
      </c>
      <c r="BY90" s="55"/>
      <c r="BZ90" s="55">
        <f t="shared" ref="BZ90:CC90" si="201">SUM(BZ82:BZ88)</f>
        <v>0</v>
      </c>
      <c r="CA90" s="55">
        <f t="shared" si="201"/>
        <v>0</v>
      </c>
      <c r="CB90" s="55">
        <f t="shared" si="201"/>
        <v>0</v>
      </c>
      <c r="CC90" s="55">
        <f t="shared" si="201"/>
        <v>3717789.7835548776</v>
      </c>
    </row>
    <row r="91" spans="1:81" ht="15">
      <c r="A91" s="56" t="s">
        <v>87</v>
      </c>
      <c r="B91" s="49"/>
      <c r="C91" s="49"/>
      <c r="D91" s="49"/>
      <c r="E91" s="49"/>
      <c r="F91" s="49"/>
      <c r="G91" s="49"/>
      <c r="H91" s="49"/>
      <c r="I91" s="50"/>
      <c r="J91" s="7"/>
      <c r="K91" s="49"/>
      <c r="L91" s="49"/>
      <c r="M91" s="49"/>
      <c r="N91" s="49"/>
      <c r="O91" s="49"/>
      <c r="P91" s="49"/>
      <c r="Q91" s="49"/>
      <c r="R91" s="50"/>
      <c r="T91" s="49"/>
      <c r="U91" s="49"/>
      <c r="V91" s="49"/>
      <c r="W91" s="49"/>
      <c r="X91" s="49"/>
      <c r="Y91" s="49"/>
      <c r="Z91" s="49"/>
      <c r="AA91" s="50"/>
      <c r="AC91" s="49"/>
      <c r="AD91" s="49"/>
      <c r="AE91" s="49"/>
      <c r="AF91" s="49"/>
      <c r="AG91" s="49"/>
      <c r="AH91" s="49"/>
      <c r="AI91" s="49"/>
      <c r="AJ91" s="50"/>
      <c r="AL91" s="49"/>
      <c r="AM91" s="49"/>
      <c r="AN91" s="49"/>
      <c r="AO91" s="49"/>
      <c r="AP91" s="49"/>
      <c r="AQ91" s="49"/>
      <c r="AR91" s="49"/>
      <c r="AS91" s="50"/>
      <c r="AU91" s="49"/>
      <c r="AV91" s="49"/>
      <c r="AW91" s="49"/>
      <c r="AX91" s="49"/>
      <c r="AY91" s="49"/>
      <c r="AZ91" s="49"/>
      <c r="BA91" s="49"/>
      <c r="BB91" s="50"/>
      <c r="BD91" s="49"/>
      <c r="BE91" s="49"/>
      <c r="BF91" s="49"/>
      <c r="BG91" s="49"/>
      <c r="BH91" s="49"/>
      <c r="BI91" s="49"/>
      <c r="BJ91" s="49"/>
      <c r="BK91" s="50"/>
      <c r="BM91" s="49"/>
      <c r="BN91" s="49"/>
      <c r="BO91" s="49"/>
      <c r="BP91" s="49"/>
      <c r="BQ91" s="49"/>
      <c r="BR91" s="49"/>
      <c r="BS91" s="49"/>
      <c r="BT91" s="50"/>
      <c r="BV91" s="49"/>
      <c r="BW91" s="49"/>
      <c r="BX91" s="49"/>
      <c r="BY91" s="49"/>
      <c r="BZ91" s="49"/>
      <c r="CA91" s="49"/>
      <c r="CB91" s="49"/>
      <c r="CC91" s="50"/>
    </row>
    <row r="92" spans="1:81">
      <c r="A92" s="29" t="s">
        <v>88</v>
      </c>
      <c r="B92" s="5">
        <v>0</v>
      </c>
      <c r="C92" s="5"/>
      <c r="D92" s="5"/>
      <c r="E92" s="5"/>
      <c r="F92" s="5"/>
      <c r="G92" s="5"/>
      <c r="H92" s="5"/>
      <c r="I92" s="5">
        <f t="shared" si="183"/>
        <v>0</v>
      </c>
      <c r="K92" s="5">
        <v>0</v>
      </c>
      <c r="L92" s="5"/>
      <c r="M92" s="5"/>
      <c r="N92" s="5"/>
      <c r="O92" s="5"/>
      <c r="P92" s="5"/>
      <c r="Q92" s="5"/>
      <c r="R92" s="5">
        <f t="shared" si="184"/>
        <v>0</v>
      </c>
      <c r="T92" s="5">
        <v>0</v>
      </c>
      <c r="U92" s="5"/>
      <c r="V92" s="5"/>
      <c r="W92" s="5"/>
      <c r="X92" s="5"/>
      <c r="Y92" s="5"/>
      <c r="Z92" s="5"/>
      <c r="AA92" s="5">
        <f t="shared" si="185"/>
        <v>0</v>
      </c>
      <c r="AC92" s="5">
        <v>0</v>
      </c>
      <c r="AD92" s="5"/>
      <c r="AE92" s="5"/>
      <c r="AF92" s="5"/>
      <c r="AG92" s="5"/>
      <c r="AH92" s="5"/>
      <c r="AI92" s="5"/>
      <c r="AJ92" s="5">
        <f t="shared" si="186"/>
        <v>0</v>
      </c>
      <c r="AL92" s="5">
        <v>0</v>
      </c>
      <c r="AM92" s="5"/>
      <c r="AN92" s="5"/>
      <c r="AO92" s="5"/>
      <c r="AP92" s="5"/>
      <c r="AQ92" s="5"/>
      <c r="AR92" s="5"/>
      <c r="AS92" s="5">
        <f t="shared" si="187"/>
        <v>0</v>
      </c>
      <c r="AU92" s="5">
        <v>0</v>
      </c>
      <c r="AV92" s="5"/>
      <c r="AW92" s="5"/>
      <c r="AX92" s="5"/>
      <c r="AY92" s="5"/>
      <c r="AZ92" s="5"/>
      <c r="BA92" s="5"/>
      <c r="BB92" s="5">
        <f t="shared" si="188"/>
        <v>0</v>
      </c>
      <c r="BD92" s="5">
        <v>0</v>
      </c>
      <c r="BE92" s="5"/>
      <c r="BF92" s="5"/>
      <c r="BG92" s="5"/>
      <c r="BH92" s="5"/>
      <c r="BI92" s="5"/>
      <c r="BJ92" s="5"/>
      <c r="BK92" s="5">
        <f t="shared" si="189"/>
        <v>0</v>
      </c>
      <c r="BM92" s="5">
        <v>0</v>
      </c>
      <c r="BN92" s="5"/>
      <c r="BO92" s="5"/>
      <c r="BP92" s="5"/>
      <c r="BQ92" s="5"/>
      <c r="BR92" s="5"/>
      <c r="BS92" s="5"/>
      <c r="BT92" s="5">
        <f t="shared" si="190"/>
        <v>0</v>
      </c>
      <c r="BV92" s="5">
        <f t="shared" ref="BV92:CA95" si="202">B92+K92+T92+AC92+AL92+AU92+BD92+BM92</f>
        <v>0</v>
      </c>
      <c r="BW92" s="5">
        <f t="shared" si="202"/>
        <v>0</v>
      </c>
      <c r="BX92" s="5">
        <f t="shared" si="202"/>
        <v>0</v>
      </c>
      <c r="BY92" s="5">
        <f t="shared" si="202"/>
        <v>0</v>
      </c>
      <c r="BZ92" s="5">
        <f t="shared" si="202"/>
        <v>0</v>
      </c>
      <c r="CA92" s="5">
        <f t="shared" si="202"/>
        <v>0</v>
      </c>
      <c r="CB92" s="5"/>
      <c r="CC92" s="5">
        <f t="shared" ref="CC92:CC95" si="203">SUM(BV92:CB92)</f>
        <v>0</v>
      </c>
    </row>
    <row r="93" spans="1:81">
      <c r="A93" s="29" t="s">
        <v>89</v>
      </c>
      <c r="B93" s="11"/>
      <c r="C93" s="11"/>
      <c r="D93" s="11"/>
      <c r="E93" s="11"/>
      <c r="F93" s="11">
        <f t="shared" ref="F93:H93" si="204">F161</f>
        <v>0</v>
      </c>
      <c r="G93" s="11">
        <v>275000</v>
      </c>
      <c r="H93" s="11">
        <f t="shared" si="204"/>
        <v>0</v>
      </c>
      <c r="I93" s="5">
        <f t="shared" si="183"/>
        <v>275000</v>
      </c>
      <c r="K93" s="11"/>
      <c r="L93" s="11"/>
      <c r="M93" s="11"/>
      <c r="N93" s="11"/>
      <c r="O93" s="11">
        <f t="shared" ref="O93:Q93" si="205">O161</f>
        <v>0</v>
      </c>
      <c r="P93" s="11">
        <v>800000</v>
      </c>
      <c r="Q93" s="11">
        <f t="shared" si="205"/>
        <v>0</v>
      </c>
      <c r="R93" s="5">
        <f t="shared" si="184"/>
        <v>800000</v>
      </c>
      <c r="T93" s="11"/>
      <c r="U93" s="11"/>
      <c r="V93" s="11"/>
      <c r="W93" s="11"/>
      <c r="X93" s="11">
        <f t="shared" ref="X93:Z93" si="206">X161</f>
        <v>0</v>
      </c>
      <c r="Y93" s="11">
        <v>800000</v>
      </c>
      <c r="Z93" s="11">
        <f t="shared" si="206"/>
        <v>0</v>
      </c>
      <c r="AA93" s="5">
        <f t="shared" si="185"/>
        <v>800000</v>
      </c>
      <c r="AC93" s="11"/>
      <c r="AD93" s="11"/>
      <c r="AE93" s="11"/>
      <c r="AF93" s="11"/>
      <c r="AG93" s="11">
        <f t="shared" ref="AG93:AI93" si="207">AG161</f>
        <v>0</v>
      </c>
      <c r="AH93" s="11">
        <v>1250000</v>
      </c>
      <c r="AI93" s="11">
        <f t="shared" si="207"/>
        <v>0</v>
      </c>
      <c r="AJ93" s="5">
        <f t="shared" si="186"/>
        <v>1250000</v>
      </c>
      <c r="AL93" s="11"/>
      <c r="AM93" s="11"/>
      <c r="AN93" s="11"/>
      <c r="AO93" s="11"/>
      <c r="AP93" s="11">
        <f t="shared" ref="AP93:AR93" si="208">AP161</f>
        <v>0</v>
      </c>
      <c r="AQ93" s="11">
        <v>2000000</v>
      </c>
      <c r="AR93" s="11">
        <f t="shared" si="208"/>
        <v>0</v>
      </c>
      <c r="AS93" s="5">
        <f t="shared" si="187"/>
        <v>2000000</v>
      </c>
      <c r="AU93" s="11"/>
      <c r="AV93" s="11"/>
      <c r="AW93" s="11"/>
      <c r="AX93" s="11"/>
      <c r="AY93" s="11">
        <f t="shared" ref="AY93:BA93" si="209">AY161</f>
        <v>0</v>
      </c>
      <c r="AZ93" s="11">
        <f t="shared" si="209"/>
        <v>0</v>
      </c>
      <c r="BA93" s="11">
        <f t="shared" si="209"/>
        <v>0</v>
      </c>
      <c r="BB93" s="5">
        <f t="shared" si="188"/>
        <v>0</v>
      </c>
      <c r="BD93" s="11"/>
      <c r="BE93" s="11"/>
      <c r="BF93" s="11"/>
      <c r="BG93" s="11"/>
      <c r="BH93" s="11">
        <v>0</v>
      </c>
      <c r="BI93" s="11">
        <v>50000</v>
      </c>
      <c r="BJ93" s="11">
        <f t="shared" ref="BJ93" si="210">BJ161</f>
        <v>0</v>
      </c>
      <c r="BK93" s="5">
        <f t="shared" si="189"/>
        <v>50000</v>
      </c>
      <c r="BM93" s="11"/>
      <c r="BN93" s="11"/>
      <c r="BO93" s="11"/>
      <c r="BP93" s="11"/>
      <c r="BQ93" s="11">
        <f t="shared" ref="BQ93:BS93" si="211">BQ161</f>
        <v>0</v>
      </c>
      <c r="BR93" s="11">
        <f t="shared" si="211"/>
        <v>0</v>
      </c>
      <c r="BS93" s="11">
        <f t="shared" si="211"/>
        <v>0</v>
      </c>
      <c r="BT93" s="5">
        <f t="shared" si="190"/>
        <v>0</v>
      </c>
      <c r="BV93" s="5">
        <f t="shared" si="202"/>
        <v>0</v>
      </c>
      <c r="BW93" s="5">
        <f t="shared" si="202"/>
        <v>0</v>
      </c>
      <c r="BX93" s="5">
        <f t="shared" si="202"/>
        <v>0</v>
      </c>
      <c r="BY93" s="5">
        <f t="shared" si="202"/>
        <v>0</v>
      </c>
      <c r="BZ93" s="5">
        <f t="shared" si="202"/>
        <v>0</v>
      </c>
      <c r="CA93" s="5">
        <f t="shared" si="202"/>
        <v>5175000</v>
      </c>
      <c r="CB93" s="11">
        <f t="shared" ref="CB93" si="212">CB161</f>
        <v>0</v>
      </c>
      <c r="CC93" s="5">
        <f t="shared" si="203"/>
        <v>5175000</v>
      </c>
    </row>
    <row r="94" spans="1:81">
      <c r="A94" s="29" t="s">
        <v>90</v>
      </c>
      <c r="B94" s="35"/>
      <c r="C94" s="35"/>
      <c r="D94" s="35"/>
      <c r="E94" s="35"/>
      <c r="F94" s="35"/>
      <c r="G94" s="35"/>
      <c r="H94" s="35"/>
      <c r="I94" s="35">
        <f t="shared" si="183"/>
        <v>0</v>
      </c>
      <c r="K94" s="35"/>
      <c r="L94" s="35"/>
      <c r="M94" s="35"/>
      <c r="N94" s="35"/>
      <c r="O94" s="35"/>
      <c r="P94" s="35"/>
      <c r="Q94" s="35"/>
      <c r="R94" s="35">
        <f t="shared" si="184"/>
        <v>0</v>
      </c>
      <c r="T94" s="35"/>
      <c r="U94" s="35"/>
      <c r="V94" s="35"/>
      <c r="W94" s="35"/>
      <c r="X94" s="35"/>
      <c r="Y94" s="35"/>
      <c r="Z94" s="35"/>
      <c r="AA94" s="35">
        <f t="shared" si="185"/>
        <v>0</v>
      </c>
      <c r="AC94" s="97">
        <f>'[2]07'!AC159</f>
        <v>0</v>
      </c>
      <c r="AD94" s="35"/>
      <c r="AE94" s="35"/>
      <c r="AF94" s="35"/>
      <c r="AG94" s="35"/>
      <c r="AH94" s="35"/>
      <c r="AI94" s="35"/>
      <c r="AJ94" s="35">
        <f t="shared" si="186"/>
        <v>0</v>
      </c>
      <c r="AL94" s="67"/>
      <c r="AM94" s="35"/>
      <c r="AN94" s="35"/>
      <c r="AO94" s="35"/>
      <c r="AP94" s="35"/>
      <c r="AQ94" s="35"/>
      <c r="AR94" s="35"/>
      <c r="AS94" s="35">
        <f t="shared" si="187"/>
        <v>0</v>
      </c>
      <c r="AU94" s="35"/>
      <c r="AV94" s="35"/>
      <c r="AW94" s="35"/>
      <c r="AX94" s="35"/>
      <c r="AY94" s="35"/>
      <c r="AZ94" s="35"/>
      <c r="BA94" s="35"/>
      <c r="BB94" s="35">
        <f t="shared" si="188"/>
        <v>0</v>
      </c>
      <c r="BD94" s="35"/>
      <c r="BE94" s="35"/>
      <c r="BF94" s="35"/>
      <c r="BG94" s="35"/>
      <c r="BH94" s="35"/>
      <c r="BI94" s="35"/>
      <c r="BJ94" s="35"/>
      <c r="BK94" s="35">
        <f t="shared" si="189"/>
        <v>0</v>
      </c>
      <c r="BM94" s="35"/>
      <c r="BN94" s="35"/>
      <c r="BO94" s="35"/>
      <c r="BP94" s="35"/>
      <c r="BQ94" s="35"/>
      <c r="BR94" s="35"/>
      <c r="BS94" s="35"/>
      <c r="BT94" s="35">
        <f t="shared" si="190"/>
        <v>0</v>
      </c>
      <c r="BV94" s="5">
        <f t="shared" si="202"/>
        <v>0</v>
      </c>
      <c r="BW94" s="5">
        <f t="shared" si="202"/>
        <v>0</v>
      </c>
      <c r="BX94" s="5">
        <f t="shared" si="202"/>
        <v>0</v>
      </c>
      <c r="BY94" s="5">
        <f t="shared" si="202"/>
        <v>0</v>
      </c>
      <c r="BZ94" s="5">
        <f t="shared" si="202"/>
        <v>0</v>
      </c>
      <c r="CA94" s="5">
        <f t="shared" si="202"/>
        <v>0</v>
      </c>
      <c r="CB94" s="35"/>
      <c r="CC94" s="35">
        <f t="shared" si="203"/>
        <v>0</v>
      </c>
    </row>
    <row r="95" spans="1:81">
      <c r="A95" s="29" t="s">
        <v>91</v>
      </c>
      <c r="B95" s="35">
        <v>60000</v>
      </c>
      <c r="C95" s="35"/>
      <c r="D95" s="35"/>
      <c r="E95" s="35"/>
      <c r="F95" s="35"/>
      <c r="G95" s="35"/>
      <c r="H95" s="35"/>
      <c r="I95" s="35">
        <f t="shared" si="183"/>
        <v>60000</v>
      </c>
      <c r="K95" s="35">
        <v>60000</v>
      </c>
      <c r="L95" s="35"/>
      <c r="M95" s="35"/>
      <c r="N95" s="35"/>
      <c r="O95" s="35"/>
      <c r="P95" s="35"/>
      <c r="Q95" s="35"/>
      <c r="R95" s="35">
        <f t="shared" si="184"/>
        <v>60000</v>
      </c>
      <c r="T95" s="35">
        <v>75000</v>
      </c>
      <c r="U95" s="35"/>
      <c r="V95" s="35"/>
      <c r="W95" s="35"/>
      <c r="X95" s="35"/>
      <c r="Y95" s="35"/>
      <c r="Z95" s="35"/>
      <c r="AA95" s="35">
        <f t="shared" si="185"/>
        <v>75000</v>
      </c>
      <c r="AC95" s="35">
        <v>125000</v>
      </c>
      <c r="AD95" s="35"/>
      <c r="AE95" s="35"/>
      <c r="AF95" s="35"/>
      <c r="AG95" s="35"/>
      <c r="AH95" s="35"/>
      <c r="AI95" s="35"/>
      <c r="AJ95" s="35">
        <f t="shared" si="186"/>
        <v>125000</v>
      </c>
      <c r="AL95" s="35">
        <v>150000</v>
      </c>
      <c r="AM95" s="35"/>
      <c r="AN95" s="35"/>
      <c r="AO95" s="35"/>
      <c r="AP95" s="35"/>
      <c r="AQ95" s="35"/>
      <c r="AR95" s="35"/>
      <c r="AS95" s="35">
        <f t="shared" si="187"/>
        <v>150000</v>
      </c>
      <c r="AU95" s="35">
        <v>0</v>
      </c>
      <c r="AV95" s="35"/>
      <c r="AW95" s="35"/>
      <c r="AX95" s="35"/>
      <c r="AY95" s="35"/>
      <c r="AZ95" s="35"/>
      <c r="BA95" s="35"/>
      <c r="BB95" s="35">
        <f t="shared" si="188"/>
        <v>0</v>
      </c>
      <c r="BD95" s="35"/>
      <c r="BE95" s="35"/>
      <c r="BF95" s="35"/>
      <c r="BG95" s="35"/>
      <c r="BH95" s="35"/>
      <c r="BI95" s="35"/>
      <c r="BJ95" s="35"/>
      <c r="BK95" s="35">
        <f t="shared" si="189"/>
        <v>0</v>
      </c>
      <c r="BM95" s="35">
        <v>0</v>
      </c>
      <c r="BN95" s="35"/>
      <c r="BO95" s="35"/>
      <c r="BP95" s="35"/>
      <c r="BQ95" s="35"/>
      <c r="BR95" s="35"/>
      <c r="BS95" s="35"/>
      <c r="BT95" s="35">
        <f t="shared" si="190"/>
        <v>0</v>
      </c>
      <c r="BV95" s="5">
        <f t="shared" si="202"/>
        <v>470000</v>
      </c>
      <c r="BW95" s="5">
        <f t="shared" si="202"/>
        <v>0</v>
      </c>
      <c r="BX95" s="5">
        <f t="shared" si="202"/>
        <v>0</v>
      </c>
      <c r="BY95" s="5">
        <f t="shared" si="202"/>
        <v>0</v>
      </c>
      <c r="BZ95" s="5">
        <f t="shared" si="202"/>
        <v>0</v>
      </c>
      <c r="CA95" s="5">
        <f t="shared" si="202"/>
        <v>0</v>
      </c>
      <c r="CB95" s="35"/>
      <c r="CC95" s="35">
        <f t="shared" si="203"/>
        <v>470000</v>
      </c>
    </row>
    <row r="96" spans="1:81" ht="15">
      <c r="A96" s="54" t="s">
        <v>92</v>
      </c>
      <c r="B96" s="55">
        <f>SUM(B92:B95)</f>
        <v>60000</v>
      </c>
      <c r="C96" s="55">
        <f t="shared" ref="C96:H96" si="213">SUM(C92:C95)</f>
        <v>0</v>
      </c>
      <c r="D96" s="55">
        <f t="shared" si="213"/>
        <v>0</v>
      </c>
      <c r="E96" s="55"/>
      <c r="F96" s="55">
        <f t="shared" si="213"/>
        <v>0</v>
      </c>
      <c r="G96" s="55">
        <f t="shared" si="213"/>
        <v>275000</v>
      </c>
      <c r="H96" s="55">
        <f t="shared" si="213"/>
        <v>0</v>
      </c>
      <c r="I96" s="55">
        <f>SUM(I92:I95)</f>
        <v>335000</v>
      </c>
      <c r="J96" s="7"/>
      <c r="K96" s="55">
        <f>SUM(K92:K95)</f>
        <v>60000</v>
      </c>
      <c r="L96" s="55">
        <f t="shared" ref="L96:Q96" si="214">SUM(L92:L95)</f>
        <v>0</v>
      </c>
      <c r="M96" s="55">
        <f t="shared" si="214"/>
        <v>0</v>
      </c>
      <c r="N96" s="55"/>
      <c r="O96" s="55">
        <f t="shared" si="214"/>
        <v>0</v>
      </c>
      <c r="P96" s="55">
        <f t="shared" si="214"/>
        <v>800000</v>
      </c>
      <c r="Q96" s="55">
        <f t="shared" si="214"/>
        <v>0</v>
      </c>
      <c r="R96" s="55">
        <f>SUM(R92:R95)</f>
        <v>860000</v>
      </c>
      <c r="T96" s="55">
        <f>SUM(T92:T95)</f>
        <v>75000</v>
      </c>
      <c r="U96" s="55">
        <f t="shared" ref="U96:Z96" si="215">SUM(U92:U95)</f>
        <v>0</v>
      </c>
      <c r="V96" s="55">
        <f t="shared" si="215"/>
        <v>0</v>
      </c>
      <c r="W96" s="55"/>
      <c r="X96" s="55">
        <f t="shared" si="215"/>
        <v>0</v>
      </c>
      <c r="Y96" s="55">
        <f t="shared" si="215"/>
        <v>800000</v>
      </c>
      <c r="Z96" s="55">
        <f t="shared" si="215"/>
        <v>0</v>
      </c>
      <c r="AA96" s="55">
        <f>SUM(AA92:AA95)</f>
        <v>875000</v>
      </c>
      <c r="AC96" s="55">
        <f>SUM(AC92:AC95)</f>
        <v>125000</v>
      </c>
      <c r="AD96" s="55">
        <f t="shared" ref="AD96:AI96" si="216">SUM(AD92:AD95)</f>
        <v>0</v>
      </c>
      <c r="AE96" s="55">
        <f t="shared" si="216"/>
        <v>0</v>
      </c>
      <c r="AF96" s="55">
        <f t="shared" si="216"/>
        <v>0</v>
      </c>
      <c r="AG96" s="55">
        <f t="shared" si="216"/>
        <v>0</v>
      </c>
      <c r="AH96" s="55">
        <f t="shared" si="216"/>
        <v>1250000</v>
      </c>
      <c r="AI96" s="55">
        <f t="shared" si="216"/>
        <v>0</v>
      </c>
      <c r="AJ96" s="55">
        <f>SUM(AJ92:AJ95)</f>
        <v>1375000</v>
      </c>
      <c r="AL96" s="55">
        <f>SUM(AL92:AL95)</f>
        <v>150000</v>
      </c>
      <c r="AM96" s="55">
        <f t="shared" ref="AM96:AR96" si="217">SUM(AM92:AM95)</f>
        <v>0</v>
      </c>
      <c r="AN96" s="55">
        <f t="shared" si="217"/>
        <v>0</v>
      </c>
      <c r="AO96" s="55"/>
      <c r="AP96" s="55">
        <f t="shared" si="217"/>
        <v>0</v>
      </c>
      <c r="AQ96" s="55">
        <f t="shared" si="217"/>
        <v>2000000</v>
      </c>
      <c r="AR96" s="55">
        <f t="shared" si="217"/>
        <v>0</v>
      </c>
      <c r="AS96" s="55">
        <f>SUM(AS92:AS95)</f>
        <v>2150000</v>
      </c>
      <c r="AU96" s="55">
        <f>SUM(AU92:AU95)</f>
        <v>0</v>
      </c>
      <c r="AV96" s="55">
        <f t="shared" ref="AV96:BA96" si="218">SUM(AV92:AV95)</f>
        <v>0</v>
      </c>
      <c r="AW96" s="55">
        <f t="shared" si="218"/>
        <v>0</v>
      </c>
      <c r="AX96" s="55"/>
      <c r="AY96" s="55">
        <f t="shared" si="218"/>
        <v>0</v>
      </c>
      <c r="AZ96" s="55">
        <f t="shared" si="218"/>
        <v>0</v>
      </c>
      <c r="BA96" s="55">
        <f t="shared" si="218"/>
        <v>0</v>
      </c>
      <c r="BB96" s="55">
        <f>SUM(BB92:BB95)</f>
        <v>0</v>
      </c>
      <c r="BD96" s="55">
        <f>SUM(BD92:BD95)</f>
        <v>0</v>
      </c>
      <c r="BE96" s="55">
        <f t="shared" ref="BE96:BJ96" si="219">SUM(BE92:BE95)</f>
        <v>0</v>
      </c>
      <c r="BF96" s="55">
        <f t="shared" si="219"/>
        <v>0</v>
      </c>
      <c r="BG96" s="55"/>
      <c r="BH96" s="55">
        <f t="shared" si="219"/>
        <v>0</v>
      </c>
      <c r="BI96" s="55">
        <f t="shared" si="219"/>
        <v>50000</v>
      </c>
      <c r="BJ96" s="55">
        <f t="shared" si="219"/>
        <v>0</v>
      </c>
      <c r="BK96" s="55">
        <f>SUM(BK92:BK95)</f>
        <v>50000</v>
      </c>
      <c r="BM96" s="55">
        <f>SUM(BM92:BM95)</f>
        <v>0</v>
      </c>
      <c r="BN96" s="55">
        <f t="shared" ref="BN96:BS96" si="220">SUM(BN92:BN95)</f>
        <v>0</v>
      </c>
      <c r="BO96" s="55">
        <f t="shared" si="220"/>
        <v>0</v>
      </c>
      <c r="BP96" s="55"/>
      <c r="BQ96" s="55">
        <f t="shared" si="220"/>
        <v>0</v>
      </c>
      <c r="BR96" s="55">
        <f t="shared" si="220"/>
        <v>0</v>
      </c>
      <c r="BS96" s="55">
        <f t="shared" si="220"/>
        <v>0</v>
      </c>
      <c r="BT96" s="55">
        <f>SUM(BT92:BT95)</f>
        <v>0</v>
      </c>
      <c r="BV96" s="55">
        <f>SUM(BV92:BV95)</f>
        <v>470000</v>
      </c>
      <c r="BW96" s="55">
        <f t="shared" ref="BW96:BX96" si="221">SUM(BW92:BW95)</f>
        <v>0</v>
      </c>
      <c r="BX96" s="55">
        <f t="shared" si="221"/>
        <v>0</v>
      </c>
      <c r="BY96" s="55"/>
      <c r="BZ96" s="55">
        <f t="shared" ref="BZ96:CB96" si="222">SUM(BZ92:BZ95)</f>
        <v>0</v>
      </c>
      <c r="CA96" s="55">
        <f t="shared" si="222"/>
        <v>5175000</v>
      </c>
      <c r="CB96" s="55">
        <f t="shared" si="222"/>
        <v>0</v>
      </c>
      <c r="CC96" s="55">
        <f>SUM(CC92:CC95)</f>
        <v>5645000</v>
      </c>
    </row>
    <row r="97" spans="1:81" ht="15">
      <c r="A97" s="58" t="s">
        <v>93</v>
      </c>
      <c r="B97" s="59">
        <f>B80+B90+B96</f>
        <v>9296878.1767955814</v>
      </c>
      <c r="C97" s="59">
        <f t="shared" ref="C97:H97" si="223">C80+C90+C96</f>
        <v>767083.45303867408</v>
      </c>
      <c r="D97" s="59">
        <f t="shared" si="223"/>
        <v>369669.42</v>
      </c>
      <c r="E97" s="59"/>
      <c r="F97" s="59">
        <f t="shared" si="223"/>
        <v>0</v>
      </c>
      <c r="G97" s="59">
        <f t="shared" si="223"/>
        <v>275000</v>
      </c>
      <c r="H97" s="59">
        <f t="shared" si="223"/>
        <v>0</v>
      </c>
      <c r="I97" s="59">
        <f>I80+I90+I96</f>
        <v>10708631.049834257</v>
      </c>
      <c r="J97" s="7"/>
      <c r="K97" s="59">
        <f>K80+K90+K96</f>
        <v>10240887.005870841</v>
      </c>
      <c r="L97" s="59">
        <f t="shared" ref="L97:Q97" si="224">L80+L90+L96</f>
        <v>489609.99999999994</v>
      </c>
      <c r="M97" s="59">
        <f t="shared" si="224"/>
        <v>281519.27999999997</v>
      </c>
      <c r="N97" s="59"/>
      <c r="O97" s="59">
        <f t="shared" si="224"/>
        <v>0</v>
      </c>
      <c r="P97" s="59">
        <f t="shared" si="224"/>
        <v>800000</v>
      </c>
      <c r="Q97" s="59">
        <f t="shared" si="224"/>
        <v>0</v>
      </c>
      <c r="R97" s="59">
        <f>R80+R90+R96</f>
        <v>11812016.285870841</v>
      </c>
      <c r="T97" s="59">
        <f>T80+T90+T96</f>
        <v>12357432.18357083</v>
      </c>
      <c r="U97" s="59">
        <f t="shared" ref="U97:Z97" si="225">U80+U90+U96</f>
        <v>722448.55490360432</v>
      </c>
      <c r="V97" s="59">
        <f t="shared" si="225"/>
        <v>164960.01</v>
      </c>
      <c r="W97" s="59"/>
      <c r="X97" s="59">
        <f t="shared" si="225"/>
        <v>0</v>
      </c>
      <c r="Y97" s="59">
        <f t="shared" si="225"/>
        <v>800000</v>
      </c>
      <c r="Z97" s="59">
        <f t="shared" si="225"/>
        <v>0</v>
      </c>
      <c r="AA97" s="59">
        <f>AA80+AA90+AA96</f>
        <v>14044840.748474434</v>
      </c>
      <c r="AC97" s="59">
        <f>AC80+AC90+AC96</f>
        <v>25290295.151411463</v>
      </c>
      <c r="AD97" s="59">
        <f t="shared" ref="AD97:AI97" si="226">AD80+AD90+AD96</f>
        <v>1915536.3473053891</v>
      </c>
      <c r="AE97" s="59">
        <f t="shared" si="226"/>
        <v>882085.95</v>
      </c>
      <c r="AF97" s="59">
        <f t="shared" si="226"/>
        <v>0</v>
      </c>
      <c r="AG97" s="59">
        <f t="shared" si="226"/>
        <v>0</v>
      </c>
      <c r="AH97" s="59">
        <f t="shared" si="226"/>
        <v>1250000</v>
      </c>
      <c r="AI97" s="59">
        <f t="shared" si="226"/>
        <v>0</v>
      </c>
      <c r="AJ97" s="59">
        <f>AJ80+AJ90+AJ96</f>
        <v>29337917.448716849</v>
      </c>
      <c r="AL97" s="59">
        <f>AL80+AL90+AL96</f>
        <v>23851191.172170851</v>
      </c>
      <c r="AM97" s="59">
        <f t="shared" ref="AM97:AR97" si="227">AM80+AM90+AM96</f>
        <v>1416098.7278731836</v>
      </c>
      <c r="AN97" s="59">
        <f t="shared" si="227"/>
        <v>572866.79399999999</v>
      </c>
      <c r="AO97" s="59"/>
      <c r="AP97" s="59">
        <f t="shared" si="227"/>
        <v>0</v>
      </c>
      <c r="AQ97" s="59">
        <f t="shared" si="227"/>
        <v>2000000</v>
      </c>
      <c r="AR97" s="59">
        <f t="shared" si="227"/>
        <v>0</v>
      </c>
      <c r="AS97" s="59">
        <f>AS80+AS90+AS96</f>
        <v>27840156.694044035</v>
      </c>
      <c r="AU97" s="59">
        <f>AU80+AU90+AU96</f>
        <v>1490858.888888889</v>
      </c>
      <c r="AV97" s="59">
        <f t="shared" ref="AV97:BA97" si="228">AV80+AV90+AV96</f>
        <v>106937.66666666669</v>
      </c>
      <c r="AW97" s="59">
        <f t="shared" si="228"/>
        <v>2182.3200000000002</v>
      </c>
      <c r="AX97" s="59"/>
      <c r="AY97" s="59">
        <f t="shared" si="228"/>
        <v>0</v>
      </c>
      <c r="AZ97" s="59">
        <f t="shared" si="228"/>
        <v>0</v>
      </c>
      <c r="BA97" s="59">
        <f t="shared" si="228"/>
        <v>0</v>
      </c>
      <c r="BB97" s="59">
        <f>BB80+BB90+BB96</f>
        <v>1599978.8755555556</v>
      </c>
      <c r="BD97" s="59">
        <f>BD80+BD90+BD96</f>
        <v>4346485.6090225568</v>
      </c>
      <c r="BE97" s="59">
        <f t="shared" ref="BE97:BJ97" si="229">BE80+BE90+BE96</f>
        <v>131839.47368421053</v>
      </c>
      <c r="BF97" s="59">
        <f t="shared" si="229"/>
        <v>478967.49</v>
      </c>
      <c r="BG97" s="59"/>
      <c r="BH97" s="59">
        <f t="shared" si="229"/>
        <v>0</v>
      </c>
      <c r="BI97" s="59">
        <f t="shared" si="229"/>
        <v>50000</v>
      </c>
      <c r="BJ97" s="59">
        <f t="shared" si="229"/>
        <v>0</v>
      </c>
      <c r="BK97" s="59">
        <f>BK80+BK90+BK96</f>
        <v>5007292.5727067674</v>
      </c>
      <c r="BM97" s="59">
        <f>BM80+BM90+BM96</f>
        <v>0</v>
      </c>
      <c r="BN97" s="59">
        <f t="shared" ref="BN97:BS97" si="230">BN80+BN90+BN96</f>
        <v>0</v>
      </c>
      <c r="BO97" s="59">
        <f t="shared" si="230"/>
        <v>0</v>
      </c>
      <c r="BP97" s="59"/>
      <c r="BQ97" s="59">
        <f t="shared" si="230"/>
        <v>0</v>
      </c>
      <c r="BR97" s="59">
        <f t="shared" si="230"/>
        <v>0</v>
      </c>
      <c r="BS97" s="59">
        <f t="shared" si="230"/>
        <v>0</v>
      </c>
      <c r="BT97" s="59">
        <f>BT80+BT90+BT96</f>
        <v>0</v>
      </c>
      <c r="BV97" s="59">
        <f>BV80+BV90+BV96</f>
        <v>86874028.187731013</v>
      </c>
      <c r="BW97" s="59">
        <f t="shared" ref="BW97:BX97" si="231">BW80+BW90+BW96</f>
        <v>5549554.2234717282</v>
      </c>
      <c r="BX97" s="59">
        <f t="shared" si="231"/>
        <v>2752251.264</v>
      </c>
      <c r="BY97" s="59"/>
      <c r="BZ97" s="59">
        <f t="shared" ref="BZ97:CB97" si="232">BZ80+BZ90+BZ96</f>
        <v>0</v>
      </c>
      <c r="CA97" s="59">
        <f t="shared" si="232"/>
        <v>5175000</v>
      </c>
      <c r="CB97" s="59">
        <f t="shared" si="232"/>
        <v>0</v>
      </c>
      <c r="CC97" s="59">
        <f>CC80+CC90+CC96</f>
        <v>100350833.67520274</v>
      </c>
    </row>
    <row r="98" spans="1:81" ht="15">
      <c r="A98" s="56" t="s">
        <v>94</v>
      </c>
      <c r="B98" s="49"/>
      <c r="C98" s="49"/>
      <c r="D98" s="49"/>
      <c r="E98" s="49"/>
      <c r="F98" s="49"/>
      <c r="G98" s="49"/>
      <c r="H98" s="49"/>
      <c r="I98" s="50"/>
      <c r="J98" s="7"/>
      <c r="K98" s="49"/>
      <c r="L98" s="49"/>
      <c r="M98" s="49"/>
      <c r="N98" s="49"/>
      <c r="O98" s="49"/>
      <c r="P98" s="49"/>
      <c r="Q98" s="49"/>
      <c r="R98" s="50"/>
      <c r="T98" s="49"/>
      <c r="U98" s="49"/>
      <c r="V98" s="49"/>
      <c r="W98" s="49"/>
      <c r="X98" s="49"/>
      <c r="Y98" s="49"/>
      <c r="Z98" s="49"/>
      <c r="AA98" s="50"/>
      <c r="AC98" s="49"/>
      <c r="AD98" s="49"/>
      <c r="AE98" s="49"/>
      <c r="AF98" s="49"/>
      <c r="AG98" s="49"/>
      <c r="AH98" s="49"/>
      <c r="AI98" s="49"/>
      <c r="AJ98" s="50"/>
      <c r="AL98" s="49"/>
      <c r="AM98" s="49"/>
      <c r="AN98" s="49"/>
      <c r="AO98" s="49"/>
      <c r="AP98" s="49"/>
      <c r="AQ98" s="49"/>
      <c r="AR98" s="49"/>
      <c r="AS98" s="50"/>
      <c r="AU98" s="49"/>
      <c r="AV98" s="49"/>
      <c r="AW98" s="49"/>
      <c r="AX98" s="49"/>
      <c r="AY98" s="49"/>
      <c r="AZ98" s="49"/>
      <c r="BA98" s="49"/>
      <c r="BB98" s="50"/>
      <c r="BD98" s="49"/>
      <c r="BE98" s="49"/>
      <c r="BF98" s="49"/>
      <c r="BG98" s="49"/>
      <c r="BH98" s="49"/>
      <c r="BI98" s="49"/>
      <c r="BJ98" s="49"/>
      <c r="BK98" s="50"/>
      <c r="BM98" s="49"/>
      <c r="BN98" s="49"/>
      <c r="BO98" s="49"/>
      <c r="BP98" s="49"/>
      <c r="BQ98" s="49"/>
      <c r="BR98" s="49"/>
      <c r="BS98" s="49"/>
      <c r="BT98" s="50"/>
      <c r="BV98" s="49"/>
      <c r="BW98" s="49"/>
      <c r="BX98" s="49"/>
      <c r="BY98" s="49"/>
      <c r="BZ98" s="49"/>
      <c r="CA98" s="49"/>
      <c r="CB98" s="49"/>
      <c r="CC98" s="50"/>
    </row>
    <row r="99" spans="1:81">
      <c r="A99" s="29" t="s">
        <v>95</v>
      </c>
      <c r="B99" s="5">
        <v>0</v>
      </c>
      <c r="C99" s="5"/>
      <c r="D99" s="5"/>
      <c r="E99" s="5"/>
      <c r="F99" s="5"/>
      <c r="G99" s="5"/>
      <c r="H99" s="5"/>
      <c r="I99" s="5">
        <f>SUM(B99:H99)</f>
        <v>0</v>
      </c>
      <c r="J99" s="7"/>
      <c r="K99" s="5">
        <v>0</v>
      </c>
      <c r="L99" s="5"/>
      <c r="M99" s="5"/>
      <c r="N99" s="5"/>
      <c r="O99" s="5"/>
      <c r="P99" s="5"/>
      <c r="Q99" s="5"/>
      <c r="R99" s="5">
        <f>SUM(K99:Q99)</f>
        <v>0</v>
      </c>
      <c r="T99" s="5">
        <v>0</v>
      </c>
      <c r="U99" s="5"/>
      <c r="V99" s="5"/>
      <c r="W99" s="5"/>
      <c r="X99" s="5"/>
      <c r="Y99" s="5"/>
      <c r="Z99" s="5"/>
      <c r="AA99" s="5">
        <f>SUM(T99:Z99)</f>
        <v>0</v>
      </c>
      <c r="AC99" s="5">
        <v>0</v>
      </c>
      <c r="AD99" s="5"/>
      <c r="AE99" s="5"/>
      <c r="AF99" s="5"/>
      <c r="AG99" s="5"/>
      <c r="AH99" s="5"/>
      <c r="AI99" s="5"/>
      <c r="AJ99" s="5">
        <f>SUM(AC99:AI99)</f>
        <v>0</v>
      </c>
      <c r="AL99" s="5">
        <v>0</v>
      </c>
      <c r="AM99" s="5"/>
      <c r="AN99" s="5"/>
      <c r="AO99" s="5"/>
      <c r="AP99" s="5"/>
      <c r="AQ99" s="5"/>
      <c r="AR99" s="5"/>
      <c r="AS99" s="5">
        <f>SUM(AL99:AR99)</f>
        <v>0</v>
      </c>
      <c r="AU99" s="5">
        <v>0</v>
      </c>
      <c r="AV99" s="5"/>
      <c r="AW99" s="5"/>
      <c r="AX99" s="5"/>
      <c r="AY99" s="5"/>
      <c r="AZ99" s="5"/>
      <c r="BA99" s="5"/>
      <c r="BB99" s="5">
        <f>SUM(AU99:BA99)</f>
        <v>0</v>
      </c>
      <c r="BD99" s="5">
        <v>0</v>
      </c>
      <c r="BE99" s="5"/>
      <c r="BF99" s="5"/>
      <c r="BG99" s="5"/>
      <c r="BH99" s="5"/>
      <c r="BI99" s="5"/>
      <c r="BJ99" s="5"/>
      <c r="BK99" s="5">
        <f>SUM(BD99:BJ99)</f>
        <v>0</v>
      </c>
      <c r="BM99" s="5">
        <v>0</v>
      </c>
      <c r="BN99" s="5"/>
      <c r="BO99" s="5"/>
      <c r="BP99" s="5"/>
      <c r="BQ99" s="5"/>
      <c r="BR99" s="5"/>
      <c r="BS99" s="5"/>
      <c r="BT99" s="5">
        <f>SUM(BM99:BS99)</f>
        <v>0</v>
      </c>
      <c r="BV99" s="5">
        <f t="shared" ref="BV99:CA102" si="233">B99+K99+T99+AC99+AL99+AU99+BD99+BM99</f>
        <v>0</v>
      </c>
      <c r="BW99" s="5">
        <f t="shared" si="233"/>
        <v>0</v>
      </c>
      <c r="BX99" s="5">
        <f t="shared" si="233"/>
        <v>0</v>
      </c>
      <c r="BY99" s="5">
        <f t="shared" si="233"/>
        <v>0</v>
      </c>
      <c r="BZ99" s="5">
        <f t="shared" si="233"/>
        <v>0</v>
      </c>
      <c r="CA99" s="5">
        <f t="shared" si="233"/>
        <v>0</v>
      </c>
      <c r="CB99" s="5"/>
      <c r="CC99" s="5">
        <f>SUM(BV99:CB99)</f>
        <v>0</v>
      </c>
    </row>
    <row r="100" spans="1:81">
      <c r="A100" s="29" t="s">
        <v>96</v>
      </c>
      <c r="B100" s="11">
        <v>0</v>
      </c>
      <c r="C100" s="11">
        <v>0</v>
      </c>
      <c r="D100" s="11">
        <v>0</v>
      </c>
      <c r="E100" s="11"/>
      <c r="F100" s="11">
        <f t="shared" ref="F100:H100" si="234">F168</f>
        <v>0</v>
      </c>
      <c r="G100" s="11">
        <f t="shared" si="234"/>
        <v>0</v>
      </c>
      <c r="H100" s="11">
        <f t="shared" si="234"/>
        <v>0</v>
      </c>
      <c r="I100" s="5">
        <f t="shared" ref="I100:I102" si="235">SUM(B100:H100)</f>
        <v>0</v>
      </c>
      <c r="J100" s="7"/>
      <c r="K100" s="11">
        <v>0</v>
      </c>
      <c r="L100" s="11">
        <v>0</v>
      </c>
      <c r="M100" s="11">
        <v>0</v>
      </c>
      <c r="N100" s="11"/>
      <c r="O100" s="11">
        <f t="shared" ref="O100:Q100" si="236">O168</f>
        <v>0</v>
      </c>
      <c r="P100" s="11">
        <f t="shared" si="236"/>
        <v>0</v>
      </c>
      <c r="Q100" s="11">
        <f t="shared" si="236"/>
        <v>0</v>
      </c>
      <c r="R100" s="5">
        <f t="shared" ref="R100:R102" si="237">SUM(K100:Q100)</f>
        <v>0</v>
      </c>
      <c r="T100" s="11">
        <v>0</v>
      </c>
      <c r="U100" s="11">
        <v>0</v>
      </c>
      <c r="V100" s="11">
        <v>0</v>
      </c>
      <c r="W100" s="11"/>
      <c r="X100" s="11">
        <f t="shared" ref="X100:Z100" si="238">X168</f>
        <v>0</v>
      </c>
      <c r="Y100" s="11">
        <f t="shared" si="238"/>
        <v>0</v>
      </c>
      <c r="Z100" s="11">
        <f t="shared" si="238"/>
        <v>0</v>
      </c>
      <c r="AA100" s="5">
        <f t="shared" ref="AA100:AA102" si="239">SUM(T100:Z100)</f>
        <v>0</v>
      </c>
      <c r="AC100" s="11">
        <v>0</v>
      </c>
      <c r="AD100" s="11">
        <v>0</v>
      </c>
      <c r="AE100" s="11">
        <v>0</v>
      </c>
      <c r="AF100" s="11"/>
      <c r="AG100" s="11">
        <f t="shared" ref="AG100:AI100" si="240">AG168</f>
        <v>0</v>
      </c>
      <c r="AH100" s="11">
        <f t="shared" si="240"/>
        <v>0</v>
      </c>
      <c r="AI100" s="11">
        <f t="shared" si="240"/>
        <v>0</v>
      </c>
      <c r="AJ100" s="5">
        <f t="shared" ref="AJ100:AJ102" si="241">SUM(AC100:AI100)</f>
        <v>0</v>
      </c>
      <c r="AL100" s="11">
        <v>0</v>
      </c>
      <c r="AM100" s="11">
        <v>0</v>
      </c>
      <c r="AN100" s="11">
        <v>0</v>
      </c>
      <c r="AO100" s="11"/>
      <c r="AP100" s="11">
        <f t="shared" ref="AP100:AR100" si="242">AP168</f>
        <v>0</v>
      </c>
      <c r="AQ100" s="11">
        <f t="shared" si="242"/>
        <v>0</v>
      </c>
      <c r="AR100" s="11">
        <f t="shared" si="242"/>
        <v>0</v>
      </c>
      <c r="AS100" s="5">
        <f t="shared" ref="AS100:AS102" si="243">SUM(AL100:AR100)</f>
        <v>0</v>
      </c>
      <c r="AU100" s="11">
        <v>0</v>
      </c>
      <c r="AV100" s="11">
        <v>0</v>
      </c>
      <c r="AW100" s="11">
        <v>0</v>
      </c>
      <c r="AX100" s="11"/>
      <c r="AY100" s="11">
        <f t="shared" ref="AY100:BA100" si="244">AY168</f>
        <v>0</v>
      </c>
      <c r="AZ100" s="11">
        <f t="shared" si="244"/>
        <v>0</v>
      </c>
      <c r="BA100" s="11">
        <f t="shared" si="244"/>
        <v>0</v>
      </c>
      <c r="BB100" s="5">
        <f t="shared" ref="BB100:BB102" si="245">SUM(AU100:BA100)</f>
        <v>0</v>
      </c>
      <c r="BD100" s="11">
        <v>0</v>
      </c>
      <c r="BE100" s="11">
        <v>0</v>
      </c>
      <c r="BF100" s="11">
        <v>0</v>
      </c>
      <c r="BG100" s="11"/>
      <c r="BH100" s="11">
        <f t="shared" ref="BH100:BJ100" si="246">BH168</f>
        <v>0</v>
      </c>
      <c r="BI100" s="11">
        <f t="shared" si="246"/>
        <v>0</v>
      </c>
      <c r="BJ100" s="11">
        <f t="shared" si="246"/>
        <v>0</v>
      </c>
      <c r="BK100" s="5">
        <f t="shared" ref="BK100:BK102" si="247">SUM(BD100:BJ100)</f>
        <v>0</v>
      </c>
      <c r="BM100" s="11">
        <v>0</v>
      </c>
      <c r="BN100" s="11">
        <v>0</v>
      </c>
      <c r="BO100" s="11">
        <v>0</v>
      </c>
      <c r="BP100" s="11"/>
      <c r="BQ100" s="11">
        <f t="shared" ref="BQ100:BS100" si="248">BQ168</f>
        <v>0</v>
      </c>
      <c r="BR100" s="11">
        <f t="shared" si="248"/>
        <v>0</v>
      </c>
      <c r="BS100" s="11">
        <f t="shared" si="248"/>
        <v>0</v>
      </c>
      <c r="BT100" s="5">
        <f t="shared" ref="BT100:BT102" si="249">SUM(BM100:BS100)</f>
        <v>0</v>
      </c>
      <c r="BV100" s="5">
        <f t="shared" si="233"/>
        <v>0</v>
      </c>
      <c r="BW100" s="5">
        <f t="shared" si="233"/>
        <v>0</v>
      </c>
      <c r="BX100" s="5">
        <f t="shared" si="233"/>
        <v>0</v>
      </c>
      <c r="BY100" s="5">
        <f t="shared" si="233"/>
        <v>0</v>
      </c>
      <c r="BZ100" s="5">
        <f t="shared" si="233"/>
        <v>0</v>
      </c>
      <c r="CA100" s="5">
        <f t="shared" si="233"/>
        <v>0</v>
      </c>
      <c r="CB100" s="11">
        <f t="shared" ref="CB100" si="250">CB168</f>
        <v>0</v>
      </c>
      <c r="CC100" s="5">
        <f t="shared" ref="CC100:CC102" si="251">SUM(BV100:CB100)</f>
        <v>0</v>
      </c>
    </row>
    <row r="101" spans="1:81">
      <c r="A101" s="29" t="s">
        <v>264</v>
      </c>
      <c r="B101" s="35"/>
      <c r="C101" s="35"/>
      <c r="D101" s="35"/>
      <c r="E101" s="35"/>
      <c r="F101" s="35"/>
      <c r="G101" s="35"/>
      <c r="H101" s="35"/>
      <c r="I101" s="5">
        <f t="shared" si="235"/>
        <v>0</v>
      </c>
      <c r="J101" s="7"/>
      <c r="K101" s="35"/>
      <c r="L101" s="35"/>
      <c r="M101" s="35"/>
      <c r="N101" s="35"/>
      <c r="O101" s="35"/>
      <c r="P101" s="35"/>
      <c r="Q101" s="35"/>
      <c r="R101" s="5">
        <f t="shared" si="237"/>
        <v>0</v>
      </c>
      <c r="T101" s="35"/>
      <c r="U101" s="35"/>
      <c r="V101" s="35"/>
      <c r="W101" s="35"/>
      <c r="X101" s="35"/>
      <c r="Y101" s="35"/>
      <c r="Z101" s="35"/>
      <c r="AA101" s="5">
        <f t="shared" si="239"/>
        <v>0</v>
      </c>
      <c r="AC101" s="35"/>
      <c r="AD101" s="35"/>
      <c r="AE101" s="35"/>
      <c r="AF101" s="35">
        <v>0</v>
      </c>
      <c r="AG101" s="35"/>
      <c r="AH101" s="35"/>
      <c r="AI101" s="35"/>
      <c r="AJ101" s="5">
        <f t="shared" si="241"/>
        <v>0</v>
      </c>
      <c r="AL101" s="35"/>
      <c r="AM101" s="35"/>
      <c r="AN101" s="35"/>
      <c r="AO101" s="35">
        <v>0</v>
      </c>
      <c r="AP101" s="35"/>
      <c r="AQ101" s="35"/>
      <c r="AR101" s="35"/>
      <c r="AS101" s="5">
        <f t="shared" si="243"/>
        <v>0</v>
      </c>
      <c r="AU101" s="35"/>
      <c r="AV101" s="35"/>
      <c r="AW101" s="35"/>
      <c r="AX101" s="35"/>
      <c r="AY101" s="35"/>
      <c r="AZ101" s="35"/>
      <c r="BA101" s="35"/>
      <c r="BB101" s="5">
        <f t="shared" si="245"/>
        <v>0</v>
      </c>
      <c r="BD101" s="35"/>
      <c r="BE101" s="35"/>
      <c r="BF101" s="35"/>
      <c r="BG101" s="35"/>
      <c r="BH101" s="35"/>
      <c r="BI101" s="35"/>
      <c r="BJ101" s="35"/>
      <c r="BK101" s="5">
        <f t="shared" si="247"/>
        <v>0</v>
      </c>
      <c r="BM101" s="35"/>
      <c r="BN101" s="35"/>
      <c r="BO101" s="35"/>
      <c r="BP101" s="35"/>
      <c r="BQ101" s="35"/>
      <c r="BR101" s="35"/>
      <c r="BS101" s="35"/>
      <c r="BT101" s="5">
        <f t="shared" si="249"/>
        <v>0</v>
      </c>
      <c r="BV101" s="5">
        <f t="shared" si="233"/>
        <v>0</v>
      </c>
      <c r="BW101" s="5">
        <f t="shared" si="233"/>
        <v>0</v>
      </c>
      <c r="BX101" s="5">
        <f t="shared" si="233"/>
        <v>0</v>
      </c>
      <c r="BY101" s="5">
        <f t="shared" si="233"/>
        <v>0</v>
      </c>
      <c r="BZ101" s="5">
        <f t="shared" si="233"/>
        <v>0</v>
      </c>
      <c r="CA101" s="5">
        <f t="shared" si="233"/>
        <v>0</v>
      </c>
      <c r="CB101" s="35"/>
      <c r="CC101" s="5">
        <f t="shared" si="251"/>
        <v>0</v>
      </c>
    </row>
    <row r="102" spans="1:81">
      <c r="A102" s="29"/>
      <c r="B102" s="35"/>
      <c r="C102" s="35"/>
      <c r="D102" s="35"/>
      <c r="E102" s="35"/>
      <c r="F102" s="35"/>
      <c r="G102" s="35"/>
      <c r="H102" s="35"/>
      <c r="I102" s="5">
        <f t="shared" si="235"/>
        <v>0</v>
      </c>
      <c r="J102" s="7"/>
      <c r="K102" s="35"/>
      <c r="L102" s="35"/>
      <c r="M102" s="35"/>
      <c r="N102" s="35"/>
      <c r="O102" s="35"/>
      <c r="P102" s="35"/>
      <c r="Q102" s="35"/>
      <c r="R102" s="5">
        <f t="shared" si="237"/>
        <v>0</v>
      </c>
      <c r="T102" s="35"/>
      <c r="U102" s="35"/>
      <c r="V102" s="35"/>
      <c r="W102" s="35"/>
      <c r="X102" s="35"/>
      <c r="Y102" s="35"/>
      <c r="Z102" s="35"/>
      <c r="AA102" s="5">
        <f t="shared" si="239"/>
        <v>0</v>
      </c>
      <c r="AC102" s="35"/>
      <c r="AD102" s="35"/>
      <c r="AE102" s="35"/>
      <c r="AF102" s="35"/>
      <c r="AG102" s="35"/>
      <c r="AH102" s="35"/>
      <c r="AI102" s="35"/>
      <c r="AJ102" s="5">
        <f t="shared" si="241"/>
        <v>0</v>
      </c>
      <c r="AL102" s="35"/>
      <c r="AM102" s="35"/>
      <c r="AN102" s="35"/>
      <c r="AO102" s="35"/>
      <c r="AP102" s="35"/>
      <c r="AQ102" s="35"/>
      <c r="AR102" s="35"/>
      <c r="AS102" s="5">
        <f t="shared" si="243"/>
        <v>0</v>
      </c>
      <c r="AU102" s="35"/>
      <c r="AV102" s="35"/>
      <c r="AW102" s="35"/>
      <c r="AX102" s="35"/>
      <c r="AY102" s="35"/>
      <c r="AZ102" s="35"/>
      <c r="BA102" s="35"/>
      <c r="BB102" s="5">
        <f t="shared" si="245"/>
        <v>0</v>
      </c>
      <c r="BD102" s="35"/>
      <c r="BE102" s="35"/>
      <c r="BF102" s="35"/>
      <c r="BG102" s="35"/>
      <c r="BH102" s="35"/>
      <c r="BI102" s="35"/>
      <c r="BJ102" s="35"/>
      <c r="BK102" s="5">
        <f t="shared" si="247"/>
        <v>0</v>
      </c>
      <c r="BM102" s="35"/>
      <c r="BN102" s="35"/>
      <c r="BO102" s="35"/>
      <c r="BP102" s="35"/>
      <c r="BQ102" s="35"/>
      <c r="BR102" s="35"/>
      <c r="BS102" s="35"/>
      <c r="BT102" s="5">
        <f t="shared" si="249"/>
        <v>0</v>
      </c>
      <c r="BV102" s="5">
        <f t="shared" si="233"/>
        <v>0</v>
      </c>
      <c r="BW102" s="5">
        <f t="shared" si="233"/>
        <v>0</v>
      </c>
      <c r="BX102" s="5">
        <f t="shared" si="233"/>
        <v>0</v>
      </c>
      <c r="BY102" s="5">
        <f t="shared" si="233"/>
        <v>0</v>
      </c>
      <c r="BZ102" s="5">
        <f t="shared" si="233"/>
        <v>0</v>
      </c>
      <c r="CA102" s="5">
        <f t="shared" si="233"/>
        <v>0</v>
      </c>
      <c r="CB102" s="35"/>
      <c r="CC102" s="5">
        <f t="shared" si="251"/>
        <v>0</v>
      </c>
    </row>
    <row r="103" spans="1:81" ht="15">
      <c r="A103" s="54" t="s">
        <v>97</v>
      </c>
      <c r="B103" s="55">
        <f>SUM(B99:B102)</f>
        <v>0</v>
      </c>
      <c r="C103" s="55">
        <f t="shared" ref="C103:I103" si="252">SUM(C99:C102)</f>
        <v>0</v>
      </c>
      <c r="D103" s="55">
        <f t="shared" si="252"/>
        <v>0</v>
      </c>
      <c r="E103" s="55">
        <f t="shared" si="252"/>
        <v>0</v>
      </c>
      <c r="F103" s="55">
        <f t="shared" si="252"/>
        <v>0</v>
      </c>
      <c r="G103" s="55">
        <f t="shared" si="252"/>
        <v>0</v>
      </c>
      <c r="H103" s="55">
        <f t="shared" si="252"/>
        <v>0</v>
      </c>
      <c r="I103" s="55">
        <f t="shared" si="252"/>
        <v>0</v>
      </c>
      <c r="J103" s="7"/>
      <c r="K103" s="55">
        <f>SUM(K99:K102)</f>
        <v>0</v>
      </c>
      <c r="L103" s="55">
        <f t="shared" ref="L103:R103" si="253">SUM(L99:L102)</f>
        <v>0</v>
      </c>
      <c r="M103" s="55">
        <f t="shared" si="253"/>
        <v>0</v>
      </c>
      <c r="N103" s="55">
        <f t="shared" si="253"/>
        <v>0</v>
      </c>
      <c r="O103" s="55">
        <f t="shared" si="253"/>
        <v>0</v>
      </c>
      <c r="P103" s="55">
        <f t="shared" si="253"/>
        <v>0</v>
      </c>
      <c r="Q103" s="55">
        <f t="shared" si="253"/>
        <v>0</v>
      </c>
      <c r="R103" s="55">
        <f t="shared" si="253"/>
        <v>0</v>
      </c>
      <c r="T103" s="55">
        <f>SUM(T99:T102)</f>
        <v>0</v>
      </c>
      <c r="U103" s="55">
        <f t="shared" ref="U103:AA103" si="254">SUM(U99:U102)</f>
        <v>0</v>
      </c>
      <c r="V103" s="55">
        <f t="shared" si="254"/>
        <v>0</v>
      </c>
      <c r="W103" s="55">
        <f t="shared" si="254"/>
        <v>0</v>
      </c>
      <c r="X103" s="55">
        <f t="shared" si="254"/>
        <v>0</v>
      </c>
      <c r="Y103" s="55">
        <f t="shared" si="254"/>
        <v>0</v>
      </c>
      <c r="Z103" s="55">
        <f t="shared" si="254"/>
        <v>0</v>
      </c>
      <c r="AA103" s="55">
        <f t="shared" si="254"/>
        <v>0</v>
      </c>
      <c r="AC103" s="55">
        <f>SUM(AC99:AC102)</f>
        <v>0</v>
      </c>
      <c r="AD103" s="55">
        <f t="shared" ref="AD103:AJ103" si="255">SUM(AD99:AD102)</f>
        <v>0</v>
      </c>
      <c r="AE103" s="55">
        <f t="shared" si="255"/>
        <v>0</v>
      </c>
      <c r="AF103" s="55">
        <f t="shared" si="255"/>
        <v>0</v>
      </c>
      <c r="AG103" s="55">
        <f t="shared" si="255"/>
        <v>0</v>
      </c>
      <c r="AH103" s="55">
        <f t="shared" si="255"/>
        <v>0</v>
      </c>
      <c r="AI103" s="55">
        <f t="shared" si="255"/>
        <v>0</v>
      </c>
      <c r="AJ103" s="55">
        <f t="shared" si="255"/>
        <v>0</v>
      </c>
      <c r="AL103" s="55">
        <f>SUM(AL99:AL102)</f>
        <v>0</v>
      </c>
      <c r="AM103" s="55">
        <f t="shared" ref="AM103:AS103" si="256">SUM(AM99:AM102)</f>
        <v>0</v>
      </c>
      <c r="AN103" s="55">
        <f t="shared" si="256"/>
        <v>0</v>
      </c>
      <c r="AO103" s="55">
        <f t="shared" si="256"/>
        <v>0</v>
      </c>
      <c r="AP103" s="55">
        <f t="shared" si="256"/>
        <v>0</v>
      </c>
      <c r="AQ103" s="55">
        <f t="shared" si="256"/>
        <v>0</v>
      </c>
      <c r="AR103" s="55">
        <f t="shared" si="256"/>
        <v>0</v>
      </c>
      <c r="AS103" s="55">
        <f t="shared" si="256"/>
        <v>0</v>
      </c>
      <c r="AU103" s="55">
        <f>SUM(AU99:AU102)</f>
        <v>0</v>
      </c>
      <c r="AV103" s="55">
        <f t="shared" ref="AV103:BB103" si="257">SUM(AV99:AV102)</f>
        <v>0</v>
      </c>
      <c r="AW103" s="55">
        <f t="shared" si="257"/>
        <v>0</v>
      </c>
      <c r="AX103" s="55">
        <f t="shared" si="257"/>
        <v>0</v>
      </c>
      <c r="AY103" s="55">
        <f t="shared" si="257"/>
        <v>0</v>
      </c>
      <c r="AZ103" s="55">
        <f t="shared" si="257"/>
        <v>0</v>
      </c>
      <c r="BA103" s="55">
        <f t="shared" si="257"/>
        <v>0</v>
      </c>
      <c r="BB103" s="55">
        <f t="shared" si="257"/>
        <v>0</v>
      </c>
      <c r="BD103" s="55">
        <f>SUM(BD99:BD102)</f>
        <v>0</v>
      </c>
      <c r="BE103" s="55">
        <f t="shared" ref="BE103:BK103" si="258">SUM(BE99:BE102)</f>
        <v>0</v>
      </c>
      <c r="BF103" s="55">
        <f t="shared" si="258"/>
        <v>0</v>
      </c>
      <c r="BG103" s="55">
        <f t="shared" si="258"/>
        <v>0</v>
      </c>
      <c r="BH103" s="55">
        <f t="shared" si="258"/>
        <v>0</v>
      </c>
      <c r="BI103" s="55">
        <f t="shared" si="258"/>
        <v>0</v>
      </c>
      <c r="BJ103" s="55">
        <f t="shared" si="258"/>
        <v>0</v>
      </c>
      <c r="BK103" s="55">
        <f t="shared" si="258"/>
        <v>0</v>
      </c>
      <c r="BM103" s="55">
        <f>SUM(BM99:BM102)</f>
        <v>0</v>
      </c>
      <c r="BN103" s="55">
        <f t="shared" ref="BN103:BT103" si="259">SUM(BN99:BN102)</f>
        <v>0</v>
      </c>
      <c r="BO103" s="55">
        <f t="shared" si="259"/>
        <v>0</v>
      </c>
      <c r="BP103" s="55">
        <f t="shared" si="259"/>
        <v>0</v>
      </c>
      <c r="BQ103" s="55">
        <f t="shared" si="259"/>
        <v>0</v>
      </c>
      <c r="BR103" s="55">
        <f t="shared" si="259"/>
        <v>0</v>
      </c>
      <c r="BS103" s="55">
        <f t="shared" si="259"/>
        <v>0</v>
      </c>
      <c r="BT103" s="55">
        <f t="shared" si="259"/>
        <v>0</v>
      </c>
      <c r="BV103" s="55">
        <f>SUM(BV99:BV102)</f>
        <v>0</v>
      </c>
      <c r="BW103" s="55">
        <f t="shared" ref="BW103:CC103" si="260">SUM(BW99:BW102)</f>
        <v>0</v>
      </c>
      <c r="BX103" s="55">
        <f t="shared" si="260"/>
        <v>0</v>
      </c>
      <c r="BY103" s="55">
        <f t="shared" si="260"/>
        <v>0</v>
      </c>
      <c r="BZ103" s="55">
        <f t="shared" si="260"/>
        <v>0</v>
      </c>
      <c r="CA103" s="55">
        <f t="shared" si="260"/>
        <v>0</v>
      </c>
      <c r="CB103" s="55">
        <f t="shared" si="260"/>
        <v>0</v>
      </c>
      <c r="CC103" s="55">
        <f t="shared" si="260"/>
        <v>0</v>
      </c>
    </row>
    <row r="104" spans="1:81" ht="15" thickBot="1">
      <c r="A104" s="29"/>
      <c r="B104" s="42"/>
      <c r="C104" s="42"/>
      <c r="D104" s="42"/>
      <c r="E104" s="42"/>
      <c r="F104" s="42"/>
      <c r="G104" s="42"/>
      <c r="H104" s="42"/>
      <c r="I104" s="42"/>
      <c r="J104" s="7"/>
      <c r="K104" s="42"/>
      <c r="L104" s="42"/>
      <c r="M104" s="42"/>
      <c r="N104" s="42"/>
      <c r="O104" s="42"/>
      <c r="P104" s="42"/>
      <c r="Q104" s="42"/>
      <c r="R104" s="42"/>
      <c r="T104" s="42"/>
      <c r="U104" s="42"/>
      <c r="V104" s="42"/>
      <c r="W104" s="42"/>
      <c r="X104" s="42"/>
      <c r="Y104" s="42"/>
      <c r="Z104" s="42"/>
      <c r="AA104" s="42"/>
      <c r="AC104" s="42"/>
      <c r="AD104" s="42"/>
      <c r="AE104" s="42"/>
      <c r="AF104" s="42"/>
      <c r="AG104" s="42"/>
      <c r="AH104" s="42"/>
      <c r="AI104" s="42"/>
      <c r="AJ104" s="42"/>
      <c r="AL104" s="42"/>
      <c r="AM104" s="42"/>
      <c r="AN104" s="42"/>
      <c r="AO104" s="42"/>
      <c r="AP104" s="42"/>
      <c r="AQ104" s="42"/>
      <c r="AR104" s="42"/>
      <c r="AS104" s="42"/>
      <c r="AU104" s="42"/>
      <c r="AV104" s="42"/>
      <c r="AW104" s="42"/>
      <c r="AX104" s="42"/>
      <c r="AY104" s="42"/>
      <c r="AZ104" s="42"/>
      <c r="BA104" s="42"/>
      <c r="BB104" s="42"/>
      <c r="BD104" s="42"/>
      <c r="BE104" s="42"/>
      <c r="BF104" s="42"/>
      <c r="BG104" s="42"/>
      <c r="BH104" s="42"/>
      <c r="BI104" s="42"/>
      <c r="BJ104" s="42"/>
      <c r="BK104" s="42"/>
      <c r="BM104" s="42"/>
      <c r="BN104" s="42"/>
      <c r="BO104" s="42"/>
      <c r="BP104" s="42"/>
      <c r="BQ104" s="42"/>
      <c r="BR104" s="42"/>
      <c r="BS104" s="42"/>
      <c r="BT104" s="42"/>
      <c r="BV104" s="42"/>
      <c r="BW104" s="42"/>
      <c r="BX104" s="42"/>
      <c r="BY104" s="42"/>
      <c r="BZ104" s="42"/>
      <c r="CA104" s="42"/>
      <c r="CB104" s="42"/>
      <c r="CC104" s="42"/>
    </row>
    <row r="105" spans="1:81" ht="15.75" thickBot="1">
      <c r="A105" s="60" t="s">
        <v>98</v>
      </c>
      <c r="B105" s="61" t="str">
        <f t="shared" ref="B105:I105" si="261">B1</f>
        <v>Operating</v>
      </c>
      <c r="C105" s="61" t="str">
        <f t="shared" si="261"/>
        <v>SPED</v>
      </c>
      <c r="D105" s="61" t="str">
        <f t="shared" si="261"/>
        <v>NSLP</v>
      </c>
      <c r="E105" s="61" t="str">
        <f t="shared" si="261"/>
        <v>Other</v>
      </c>
      <c r="F105" s="61" t="str">
        <f t="shared" si="261"/>
        <v>Title I</v>
      </c>
      <c r="G105" s="61" t="str">
        <f t="shared" si="261"/>
        <v>SGF</v>
      </c>
      <c r="H105" s="61" t="str">
        <f t="shared" si="261"/>
        <v>Title III</v>
      </c>
      <c r="I105" s="61" t="str">
        <f t="shared" si="261"/>
        <v>Horizon</v>
      </c>
      <c r="J105" s="7"/>
      <c r="K105" s="61" t="str">
        <f t="shared" ref="K105:R105" si="262">K1</f>
        <v>Operating</v>
      </c>
      <c r="L105" s="61" t="str">
        <f t="shared" si="262"/>
        <v>SPED</v>
      </c>
      <c r="M105" s="61" t="str">
        <f t="shared" si="262"/>
        <v>NSLP</v>
      </c>
      <c r="N105" s="61" t="str">
        <f t="shared" si="262"/>
        <v>Other</v>
      </c>
      <c r="O105" s="61" t="str">
        <f t="shared" si="262"/>
        <v>Title I</v>
      </c>
      <c r="P105" s="61" t="str">
        <f t="shared" si="262"/>
        <v>SGF</v>
      </c>
      <c r="Q105" s="61" t="str">
        <f t="shared" si="262"/>
        <v>Title III</v>
      </c>
      <c r="R105" s="61" t="str">
        <f t="shared" si="262"/>
        <v>St. Rose</v>
      </c>
      <c r="T105" s="61" t="str">
        <f t="shared" ref="T105:AA105" si="263">T1</f>
        <v>Operating</v>
      </c>
      <c r="U105" s="61" t="str">
        <f t="shared" si="263"/>
        <v>SPED</v>
      </c>
      <c r="V105" s="61" t="str">
        <f t="shared" si="263"/>
        <v>NSLP</v>
      </c>
      <c r="W105" s="61" t="str">
        <f t="shared" si="263"/>
        <v>Other</v>
      </c>
      <c r="X105" s="61" t="str">
        <f t="shared" si="263"/>
        <v>Title I</v>
      </c>
      <c r="Y105" s="61" t="str">
        <f t="shared" si="263"/>
        <v>SGF</v>
      </c>
      <c r="Z105" s="61" t="str">
        <f t="shared" si="263"/>
        <v>Title III</v>
      </c>
      <c r="AA105" s="61" t="str">
        <f t="shared" si="263"/>
        <v>Inspirada</v>
      </c>
      <c r="AC105" s="61" t="str">
        <f t="shared" ref="AC105:AJ105" si="264">AC1</f>
        <v>Operating</v>
      </c>
      <c r="AD105" s="61" t="str">
        <f t="shared" si="264"/>
        <v>SPED</v>
      </c>
      <c r="AE105" s="61" t="str">
        <f t="shared" si="264"/>
        <v>NSLP</v>
      </c>
      <c r="AF105" s="61" t="str">
        <f t="shared" si="264"/>
        <v>Other</v>
      </c>
      <c r="AG105" s="61" t="str">
        <f t="shared" si="264"/>
        <v>Title I</v>
      </c>
      <c r="AH105" s="61" t="str">
        <f t="shared" si="264"/>
        <v>SGF</v>
      </c>
      <c r="AI105" s="61" t="str">
        <f t="shared" si="264"/>
        <v>Title III</v>
      </c>
      <c r="AJ105" s="61" t="str">
        <f t="shared" si="264"/>
        <v>Cadence</v>
      </c>
      <c r="AL105" s="61" t="str">
        <f t="shared" ref="AL105:AS105" si="265">AL1</f>
        <v>Operating</v>
      </c>
      <c r="AM105" s="61" t="str">
        <f t="shared" si="265"/>
        <v>SPED</v>
      </c>
      <c r="AN105" s="61" t="str">
        <f t="shared" si="265"/>
        <v>NSLP</v>
      </c>
      <c r="AO105" s="61" t="str">
        <f t="shared" si="265"/>
        <v>Other</v>
      </c>
      <c r="AP105" s="61" t="str">
        <f t="shared" si="265"/>
        <v>Title I</v>
      </c>
      <c r="AQ105" s="61" t="str">
        <f t="shared" si="265"/>
        <v>SGF</v>
      </c>
      <c r="AR105" s="61" t="str">
        <f t="shared" si="265"/>
        <v>Title III</v>
      </c>
      <c r="AS105" s="61" t="str">
        <f t="shared" si="265"/>
        <v>Sloan</v>
      </c>
      <c r="AU105" s="61" t="str">
        <f t="shared" ref="AU105:BB105" si="266">AU1</f>
        <v>Operating</v>
      </c>
      <c r="AV105" s="61" t="str">
        <f t="shared" si="266"/>
        <v>SPED</v>
      </c>
      <c r="AW105" s="61" t="str">
        <f t="shared" si="266"/>
        <v>NSLP</v>
      </c>
      <c r="AX105" s="61" t="str">
        <f t="shared" si="266"/>
        <v>Other</v>
      </c>
      <c r="AY105" s="61" t="str">
        <f t="shared" si="266"/>
        <v>Title I</v>
      </c>
      <c r="AZ105" s="61" t="str">
        <f t="shared" si="266"/>
        <v>SGF</v>
      </c>
      <c r="BA105" s="61" t="str">
        <f t="shared" si="266"/>
        <v>Title III</v>
      </c>
      <c r="BB105" s="61" t="str">
        <f t="shared" si="266"/>
        <v>Virtual</v>
      </c>
      <c r="BD105" s="61" t="str">
        <f t="shared" ref="BD105:BK105" si="267">BD1</f>
        <v>Operating</v>
      </c>
      <c r="BE105" s="61" t="str">
        <f t="shared" si="267"/>
        <v>SPED</v>
      </c>
      <c r="BF105" s="61" t="str">
        <f t="shared" si="267"/>
        <v>NSLP</v>
      </c>
      <c r="BG105" s="61" t="str">
        <f t="shared" si="267"/>
        <v>Other</v>
      </c>
      <c r="BH105" s="61" t="str">
        <f t="shared" si="267"/>
        <v>Title I</v>
      </c>
      <c r="BI105" s="61" t="str">
        <f t="shared" si="267"/>
        <v>SGF</v>
      </c>
      <c r="BJ105" s="61" t="str">
        <f t="shared" si="267"/>
        <v>Title III</v>
      </c>
      <c r="BK105" s="61" t="str">
        <f t="shared" si="267"/>
        <v>Springs</v>
      </c>
      <c r="BM105" s="61" t="str">
        <f t="shared" ref="BM105:BT105" si="268">BM1</f>
        <v>Operating</v>
      </c>
      <c r="BN105" s="61" t="str">
        <f t="shared" si="268"/>
        <v>SPED</v>
      </c>
      <c r="BO105" s="61" t="str">
        <f t="shared" si="268"/>
        <v>NSLP</v>
      </c>
      <c r="BP105" s="61" t="str">
        <f t="shared" si="268"/>
        <v>Other</v>
      </c>
      <c r="BQ105" s="61" t="str">
        <f t="shared" si="268"/>
        <v>Title I</v>
      </c>
      <c r="BR105" s="61" t="str">
        <f t="shared" si="268"/>
        <v>SGF</v>
      </c>
      <c r="BS105" s="61" t="str">
        <f t="shared" si="268"/>
        <v>Title III</v>
      </c>
      <c r="BT105" s="61" t="str">
        <f t="shared" si="268"/>
        <v>Exec. Office</v>
      </c>
      <c r="BV105" s="61" t="str">
        <f t="shared" ref="BV105:CC105" si="269">BV1</f>
        <v>Operating</v>
      </c>
      <c r="BW105" s="61" t="str">
        <f t="shared" si="269"/>
        <v>SPED</v>
      </c>
      <c r="BX105" s="61" t="str">
        <f t="shared" si="269"/>
        <v>NSLP</v>
      </c>
      <c r="BY105" s="61" t="str">
        <f t="shared" si="269"/>
        <v>Other</v>
      </c>
      <c r="BZ105" s="61" t="str">
        <f t="shared" si="269"/>
        <v>Title I</v>
      </c>
      <c r="CA105" s="61" t="str">
        <f t="shared" si="269"/>
        <v>SGF</v>
      </c>
      <c r="CB105" s="61" t="str">
        <f t="shared" si="269"/>
        <v>Title III</v>
      </c>
      <c r="CC105" s="61" t="str">
        <f t="shared" si="269"/>
        <v>Systemwide</v>
      </c>
    </row>
    <row r="106" spans="1:81" ht="15">
      <c r="A106" s="48" t="s">
        <v>99</v>
      </c>
      <c r="B106" s="49"/>
      <c r="C106" s="49"/>
      <c r="D106" s="49"/>
      <c r="E106" s="49"/>
      <c r="F106" s="49"/>
      <c r="G106" s="49"/>
      <c r="H106" s="49"/>
      <c r="I106" s="50"/>
      <c r="J106" s="7"/>
      <c r="K106" s="49"/>
      <c r="L106" s="49"/>
      <c r="M106" s="49"/>
      <c r="N106" s="49"/>
      <c r="O106" s="49"/>
      <c r="P106" s="49"/>
      <c r="Q106" s="49"/>
      <c r="R106" s="50"/>
      <c r="T106" s="49"/>
      <c r="U106" s="49"/>
      <c r="V106" s="49"/>
      <c r="W106" s="49"/>
      <c r="X106" s="49"/>
      <c r="Y106" s="49"/>
      <c r="Z106" s="49"/>
      <c r="AA106" s="50"/>
      <c r="AC106" s="49"/>
      <c r="AD106" s="49"/>
      <c r="AE106" s="49"/>
      <c r="AF106" s="49"/>
      <c r="AG106" s="49"/>
      <c r="AH106" s="49"/>
      <c r="AI106" s="49"/>
      <c r="AJ106" s="50"/>
      <c r="AL106" s="49"/>
      <c r="AM106" s="49"/>
      <c r="AN106" s="49"/>
      <c r="AO106" s="49"/>
      <c r="AP106" s="49"/>
      <c r="AQ106" s="49"/>
      <c r="AR106" s="49"/>
      <c r="AS106" s="50"/>
      <c r="AU106" s="49"/>
      <c r="AV106" s="49"/>
      <c r="AW106" s="49"/>
      <c r="AX106" s="49"/>
      <c r="AY106" s="49"/>
      <c r="AZ106" s="49"/>
      <c r="BA106" s="49"/>
      <c r="BB106" s="50"/>
      <c r="BD106" s="49"/>
      <c r="BE106" s="49"/>
      <c r="BF106" s="49"/>
      <c r="BG106" s="49"/>
      <c r="BH106" s="49"/>
      <c r="BI106" s="49"/>
      <c r="BJ106" s="49"/>
      <c r="BK106" s="50"/>
      <c r="BM106" s="49"/>
      <c r="BN106" s="49"/>
      <c r="BO106" s="49"/>
      <c r="BP106" s="49"/>
      <c r="BQ106" s="49"/>
      <c r="BR106" s="49"/>
      <c r="BS106" s="49"/>
      <c r="BT106" s="50"/>
      <c r="BV106" s="49"/>
      <c r="BW106" s="49"/>
      <c r="BX106" s="49"/>
      <c r="BY106" s="49"/>
      <c r="BZ106" s="49"/>
      <c r="CA106" s="49"/>
      <c r="CB106" s="49"/>
      <c r="CC106" s="50"/>
    </row>
    <row r="107" spans="1:81">
      <c r="A107" s="29" t="s">
        <v>40</v>
      </c>
      <c r="B107" s="62">
        <f>'25-26'!B107*1.015</f>
        <v>160884.55140799997</v>
      </c>
      <c r="C107" s="11"/>
      <c r="D107" s="5"/>
      <c r="E107" s="5"/>
      <c r="F107" s="5"/>
      <c r="G107" s="5"/>
      <c r="H107" s="5"/>
      <c r="I107" s="5">
        <f t="shared" ref="I107:I120" si="270">SUM(B107:H107)</f>
        <v>160884.55140799997</v>
      </c>
      <c r="K107" s="62">
        <f>'25-26'!K107*1.015</f>
        <v>156687.77533675</v>
      </c>
      <c r="L107" s="11"/>
      <c r="M107" s="5"/>
      <c r="N107" s="5"/>
      <c r="O107" s="5"/>
      <c r="P107" s="5"/>
      <c r="Q107" s="5"/>
      <c r="R107" s="5">
        <f t="shared" ref="R107:R120" si="271">SUM(K107:Q107)</f>
        <v>156687.77533675</v>
      </c>
      <c r="T107" s="62">
        <f>'25-26'!T107*1.015</f>
        <v>219548.15907499997</v>
      </c>
      <c r="U107" s="5"/>
      <c r="V107" s="5"/>
      <c r="W107" s="5"/>
      <c r="X107" s="5"/>
      <c r="Y107" s="5"/>
      <c r="Z107" s="5"/>
      <c r="AA107" s="5">
        <f t="shared" ref="AA107:AA120" si="272">SUM(T107:Z107)</f>
        <v>219548.15907499997</v>
      </c>
      <c r="AC107" s="62">
        <f>'25-26'!AC107*1.015</f>
        <v>168719.94824999996</v>
      </c>
      <c r="AD107" s="11"/>
      <c r="AE107" s="5"/>
      <c r="AF107" s="5"/>
      <c r="AG107" s="5"/>
      <c r="AH107" s="5"/>
      <c r="AI107" s="5"/>
      <c r="AJ107" s="5">
        <f t="shared" ref="AJ107:AJ120" si="273">SUM(AC107:AI107)</f>
        <v>168719.94824999996</v>
      </c>
      <c r="AL107" s="62">
        <f>'25-26'!AL107*1.015</f>
        <v>177127.29510524997</v>
      </c>
      <c r="AM107" s="11"/>
      <c r="AN107" s="5"/>
      <c r="AO107" s="5"/>
      <c r="AP107" s="5"/>
      <c r="AQ107" s="5"/>
      <c r="AR107" s="5"/>
      <c r="AS107" s="5">
        <f t="shared" ref="AS107:AS120" si="274">SUM(AL107:AR107)</f>
        <v>177127.29510524997</v>
      </c>
      <c r="AU107" s="62">
        <f>'25-26'!AU107*1.015</f>
        <v>0</v>
      </c>
      <c r="AV107" s="11"/>
      <c r="AW107" s="5"/>
      <c r="AX107" s="5"/>
      <c r="AY107" s="5"/>
      <c r="AZ107" s="5"/>
      <c r="BA107" s="5"/>
      <c r="BB107" s="5">
        <f t="shared" ref="BB107:BB120" si="275">SUM(AU107:BA107)</f>
        <v>0</v>
      </c>
      <c r="BD107" s="62">
        <f>'25-26'!BD107*1.015</f>
        <v>0</v>
      </c>
      <c r="BE107" s="11"/>
      <c r="BF107" s="5"/>
      <c r="BG107" s="5"/>
      <c r="BH107" s="5"/>
      <c r="BI107" s="5"/>
      <c r="BJ107" s="5"/>
      <c r="BK107" s="5">
        <f t="shared" ref="BK107:BK120" si="276">SUM(BD107:BJ107)</f>
        <v>0</v>
      </c>
      <c r="BM107" s="62">
        <f>'25-26'!BM107*1.015</f>
        <v>0</v>
      </c>
      <c r="BN107" s="11"/>
      <c r="BO107" s="5"/>
      <c r="BP107" s="5"/>
      <c r="BQ107" s="5"/>
      <c r="BR107" s="5"/>
      <c r="BS107" s="5"/>
      <c r="BT107" s="5">
        <f t="shared" ref="BT107:BT120" si="277">SUM(BM107:BS107)</f>
        <v>0</v>
      </c>
      <c r="BV107" s="5">
        <f t="shared" ref="BV107:CA120" si="278">B107+K107+T107+AC107+AL107+AU107+BD107+BM107</f>
        <v>882967.72917499987</v>
      </c>
      <c r="BW107" s="5">
        <f t="shared" si="278"/>
        <v>0</v>
      </c>
      <c r="BX107" s="5">
        <f t="shared" si="278"/>
        <v>0</v>
      </c>
      <c r="BY107" s="5">
        <f t="shared" si="278"/>
        <v>0</v>
      </c>
      <c r="BZ107" s="5">
        <f t="shared" si="278"/>
        <v>0</v>
      </c>
      <c r="CA107" s="5">
        <f t="shared" si="278"/>
        <v>0</v>
      </c>
      <c r="CB107" s="5"/>
      <c r="CC107" s="5">
        <f t="shared" ref="CC107:CC120" si="279">SUM(BV107:CB107)</f>
        <v>882967.72917499987</v>
      </c>
    </row>
    <row r="108" spans="1:81">
      <c r="A108" s="29" t="s">
        <v>100</v>
      </c>
      <c r="B108" s="62">
        <f>'25-26'!B108*1.015</f>
        <v>331709.78504999995</v>
      </c>
      <c r="C108" s="11"/>
      <c r="D108" s="5"/>
      <c r="E108" s="5"/>
      <c r="F108" s="5"/>
      <c r="G108" s="5"/>
      <c r="H108" s="5"/>
      <c r="I108" s="5">
        <f t="shared" si="270"/>
        <v>331709.78504999995</v>
      </c>
      <c r="K108" s="62">
        <f>'25-26'!K108*1.015</f>
        <v>343806.68699999998</v>
      </c>
      <c r="L108" s="11"/>
      <c r="M108" s="5"/>
      <c r="N108" s="5"/>
      <c r="O108" s="5"/>
      <c r="P108" s="5"/>
      <c r="Q108" s="5"/>
      <c r="R108" s="5">
        <f t="shared" si="271"/>
        <v>343806.68699999998</v>
      </c>
      <c r="T108" s="62">
        <f>'25-26'!T108*1.015</f>
        <v>362907.05849999993</v>
      </c>
      <c r="U108" s="5"/>
      <c r="V108" s="5"/>
      <c r="W108" s="5"/>
      <c r="X108" s="5"/>
      <c r="Y108" s="5"/>
      <c r="Z108" s="5"/>
      <c r="AA108" s="5">
        <f t="shared" si="272"/>
        <v>362907.05849999993</v>
      </c>
      <c r="AC108" s="62">
        <f>'25-26'!AC108*1.015</f>
        <v>590838.15839999984</v>
      </c>
      <c r="AD108" s="11"/>
      <c r="AE108" s="5"/>
      <c r="AF108" s="5"/>
      <c r="AG108" s="5"/>
      <c r="AH108" s="5"/>
      <c r="AI108" s="5"/>
      <c r="AJ108" s="5">
        <f t="shared" si="273"/>
        <v>590838.15839999984</v>
      </c>
      <c r="AL108" s="62">
        <f>'25-26'!AL108*1.015</f>
        <v>490879.5475499999</v>
      </c>
      <c r="AM108" s="11"/>
      <c r="AN108" s="5"/>
      <c r="AO108" s="5"/>
      <c r="AP108" s="5"/>
      <c r="AQ108" s="5"/>
      <c r="AR108" s="5"/>
      <c r="AS108" s="5">
        <f t="shared" si="274"/>
        <v>490879.5475499999</v>
      </c>
      <c r="AU108" s="62">
        <f>'25-26'!AU108*1.015</f>
        <v>0</v>
      </c>
      <c r="AV108" s="11"/>
      <c r="AW108" s="5"/>
      <c r="AX108" s="5"/>
      <c r="AY108" s="5"/>
      <c r="AZ108" s="5"/>
      <c r="BA108" s="5"/>
      <c r="BB108" s="5">
        <f t="shared" si="275"/>
        <v>0</v>
      </c>
      <c r="BD108" s="62">
        <f>'25-26'!BD108*1.015</f>
        <v>122030.15124999997</v>
      </c>
      <c r="BE108" s="11"/>
      <c r="BF108" s="5"/>
      <c r="BG108" s="5"/>
      <c r="BH108" s="5"/>
      <c r="BI108" s="5"/>
      <c r="BJ108" s="5"/>
      <c r="BK108" s="5">
        <f t="shared" si="276"/>
        <v>122030.15124999997</v>
      </c>
      <c r="BM108" s="62">
        <f>'25-26'!BM108*1.015</f>
        <v>0</v>
      </c>
      <c r="BN108" s="11"/>
      <c r="BO108" s="5"/>
      <c r="BP108" s="5"/>
      <c r="BQ108" s="5"/>
      <c r="BR108" s="5"/>
      <c r="BS108" s="5"/>
      <c r="BT108" s="5">
        <f t="shared" si="277"/>
        <v>0</v>
      </c>
      <c r="BV108" s="5">
        <f t="shared" si="278"/>
        <v>2242171.3877499998</v>
      </c>
      <c r="BW108" s="5">
        <f t="shared" si="278"/>
        <v>0</v>
      </c>
      <c r="BX108" s="5">
        <f t="shared" si="278"/>
        <v>0</v>
      </c>
      <c r="BY108" s="5">
        <f t="shared" si="278"/>
        <v>0</v>
      </c>
      <c r="BZ108" s="5">
        <f t="shared" si="278"/>
        <v>0</v>
      </c>
      <c r="CA108" s="5">
        <f t="shared" si="278"/>
        <v>0</v>
      </c>
      <c r="CB108" s="5"/>
      <c r="CC108" s="5">
        <f t="shared" si="279"/>
        <v>2242171.3877499998</v>
      </c>
    </row>
    <row r="109" spans="1:81">
      <c r="A109" s="29" t="s">
        <v>42</v>
      </c>
      <c r="B109" s="62">
        <f>'25-26'!B109*1.015</f>
        <v>0</v>
      </c>
      <c r="C109" s="11"/>
      <c r="D109" s="5"/>
      <c r="E109" s="5"/>
      <c r="F109" s="5"/>
      <c r="G109" s="5"/>
      <c r="H109" s="5"/>
      <c r="I109" s="5">
        <f t="shared" si="270"/>
        <v>0</v>
      </c>
      <c r="K109" s="62">
        <f>'25-26'!K109*1.015</f>
        <v>0</v>
      </c>
      <c r="L109" s="11"/>
      <c r="M109" s="5"/>
      <c r="N109" s="5"/>
      <c r="O109" s="5"/>
      <c r="P109" s="5"/>
      <c r="Q109" s="5"/>
      <c r="R109" s="5">
        <f t="shared" si="271"/>
        <v>0</v>
      </c>
      <c r="T109" s="62">
        <f>'25-26'!T109*1.015</f>
        <v>0</v>
      </c>
      <c r="U109" s="5"/>
      <c r="V109" s="5"/>
      <c r="W109" s="5"/>
      <c r="X109" s="5"/>
      <c r="Y109" s="5"/>
      <c r="Z109" s="5"/>
      <c r="AA109" s="5">
        <f t="shared" si="272"/>
        <v>0</v>
      </c>
      <c r="AC109" s="62">
        <f>'25-26'!AC109*1.015</f>
        <v>0</v>
      </c>
      <c r="AD109" s="11"/>
      <c r="AE109" s="5"/>
      <c r="AF109" s="5"/>
      <c r="AG109" s="5"/>
      <c r="AH109" s="5"/>
      <c r="AI109" s="5"/>
      <c r="AJ109" s="5">
        <f t="shared" si="273"/>
        <v>0</v>
      </c>
      <c r="AL109" s="62">
        <f>'25-26'!AL109*1.015</f>
        <v>0</v>
      </c>
      <c r="AM109" s="11"/>
      <c r="AN109" s="5"/>
      <c r="AO109" s="5"/>
      <c r="AP109" s="5"/>
      <c r="AQ109" s="5"/>
      <c r="AR109" s="5"/>
      <c r="AS109" s="5">
        <f t="shared" si="274"/>
        <v>0</v>
      </c>
      <c r="AU109" s="62">
        <f>'25-26'!AU109*1.015</f>
        <v>0</v>
      </c>
      <c r="AV109" s="11"/>
      <c r="AW109" s="5"/>
      <c r="AX109" s="5"/>
      <c r="AY109" s="5"/>
      <c r="AZ109" s="5"/>
      <c r="BA109" s="5"/>
      <c r="BB109" s="5">
        <f t="shared" si="275"/>
        <v>0</v>
      </c>
      <c r="BD109" s="62">
        <f>'25-26'!BD109*1.015</f>
        <v>74279.222499999989</v>
      </c>
      <c r="BE109" s="11"/>
      <c r="BF109" s="5"/>
      <c r="BG109" s="5">
        <v>0</v>
      </c>
      <c r="BH109" s="5"/>
      <c r="BI109" s="5"/>
      <c r="BJ109" s="5"/>
      <c r="BK109" s="5">
        <f t="shared" si="276"/>
        <v>74279.222499999989</v>
      </c>
      <c r="BM109" s="62">
        <f>'25-26'!BM109*1.015</f>
        <v>0</v>
      </c>
      <c r="BN109" s="11"/>
      <c r="BO109" s="5"/>
      <c r="BP109" s="5"/>
      <c r="BQ109" s="5"/>
      <c r="BR109" s="5"/>
      <c r="BS109" s="5"/>
      <c r="BT109" s="5">
        <f t="shared" si="277"/>
        <v>0</v>
      </c>
      <c r="BV109" s="5">
        <f t="shared" si="278"/>
        <v>74279.222499999989</v>
      </c>
      <c r="BW109" s="5">
        <f t="shared" si="278"/>
        <v>0</v>
      </c>
      <c r="BX109" s="5">
        <f t="shared" si="278"/>
        <v>0</v>
      </c>
      <c r="BY109" s="5">
        <f t="shared" si="278"/>
        <v>0</v>
      </c>
      <c r="BZ109" s="5">
        <f t="shared" si="278"/>
        <v>0</v>
      </c>
      <c r="CA109" s="5">
        <f t="shared" si="278"/>
        <v>0</v>
      </c>
      <c r="CB109" s="5"/>
      <c r="CC109" s="5">
        <f t="shared" si="279"/>
        <v>74279.222499999989</v>
      </c>
    </row>
    <row r="110" spans="1:81">
      <c r="A110" s="32" t="s">
        <v>43</v>
      </c>
      <c r="B110" s="62">
        <f>'25-26'!B110*1.015</f>
        <v>0</v>
      </c>
      <c r="C110" s="11"/>
      <c r="D110" s="5"/>
      <c r="E110" s="5"/>
      <c r="F110" s="11"/>
      <c r="G110" s="5"/>
      <c r="H110" s="5"/>
      <c r="I110" s="5">
        <f t="shared" si="270"/>
        <v>0</v>
      </c>
      <c r="K110" s="62">
        <f>'25-26'!K110*1.015</f>
        <v>0</v>
      </c>
      <c r="L110" s="11"/>
      <c r="M110" s="5"/>
      <c r="N110" s="5"/>
      <c r="O110" s="5"/>
      <c r="P110" s="5"/>
      <c r="Q110" s="5"/>
      <c r="R110" s="5">
        <f t="shared" si="271"/>
        <v>0</v>
      </c>
      <c r="T110" s="62">
        <f>'25-26'!T110*1.015</f>
        <v>0</v>
      </c>
      <c r="U110" s="5"/>
      <c r="V110" s="5"/>
      <c r="W110" s="5"/>
      <c r="X110" s="5"/>
      <c r="Y110" s="5"/>
      <c r="Z110" s="5"/>
      <c r="AA110" s="5">
        <f t="shared" si="272"/>
        <v>0</v>
      </c>
      <c r="AC110" s="62">
        <f>'25-26'!AC110*1.015</f>
        <v>248304.82949999996</v>
      </c>
      <c r="AD110" s="11"/>
      <c r="AE110" s="5"/>
      <c r="AF110" s="5"/>
      <c r="AG110" s="5"/>
      <c r="AH110" s="5"/>
      <c r="AI110" s="5"/>
      <c r="AJ110" s="5">
        <f t="shared" si="273"/>
        <v>248304.82949999996</v>
      </c>
      <c r="AL110" s="62">
        <f>'25-26'!AL110*1.015</f>
        <v>229204.45799999996</v>
      </c>
      <c r="AM110" s="11"/>
      <c r="AN110" s="5"/>
      <c r="AO110" s="5"/>
      <c r="AP110" s="5"/>
      <c r="AQ110" s="5"/>
      <c r="AR110" s="5"/>
      <c r="AS110" s="5">
        <f t="shared" si="274"/>
        <v>229204.45799999996</v>
      </c>
      <c r="AU110" s="62">
        <f>'25-26'!AU110*1.015</f>
        <v>0</v>
      </c>
      <c r="AV110" s="11"/>
      <c r="AW110" s="5"/>
      <c r="AX110" s="5"/>
      <c r="AY110" s="5"/>
      <c r="AZ110" s="5"/>
      <c r="BA110" s="5"/>
      <c r="BB110" s="5">
        <f t="shared" si="275"/>
        <v>0</v>
      </c>
      <c r="BD110" s="62">
        <f>'25-26'!BD110*1.015</f>
        <v>0</v>
      </c>
      <c r="BE110" s="11"/>
      <c r="BF110" s="5"/>
      <c r="BG110" s="5"/>
      <c r="BH110" s="5"/>
      <c r="BI110" s="5"/>
      <c r="BJ110" s="5"/>
      <c r="BK110" s="5">
        <f t="shared" si="276"/>
        <v>0</v>
      </c>
      <c r="BM110" s="62">
        <f>'25-26'!BM110*1.015</f>
        <v>0</v>
      </c>
      <c r="BN110" s="11"/>
      <c r="BO110" s="5"/>
      <c r="BP110" s="5"/>
      <c r="BQ110" s="5"/>
      <c r="BR110" s="5"/>
      <c r="BS110" s="5"/>
      <c r="BT110" s="5">
        <f t="shared" si="277"/>
        <v>0</v>
      </c>
      <c r="BV110" s="5">
        <f t="shared" si="278"/>
        <v>477509.28749999992</v>
      </c>
      <c r="BW110" s="5">
        <f t="shared" si="278"/>
        <v>0</v>
      </c>
      <c r="BX110" s="5">
        <f t="shared" si="278"/>
        <v>0</v>
      </c>
      <c r="BY110" s="5">
        <f t="shared" si="278"/>
        <v>0</v>
      </c>
      <c r="BZ110" s="5">
        <f t="shared" si="278"/>
        <v>0</v>
      </c>
      <c r="CA110" s="5">
        <f t="shared" si="278"/>
        <v>0</v>
      </c>
      <c r="CB110" s="5"/>
      <c r="CC110" s="5">
        <f t="shared" si="279"/>
        <v>477509.28749999992</v>
      </c>
    </row>
    <row r="111" spans="1:81">
      <c r="A111" s="32" t="s">
        <v>44</v>
      </c>
      <c r="B111" s="62">
        <f>'25-26'!B111*1.015</f>
        <v>85421.105874999979</v>
      </c>
      <c r="C111" s="11"/>
      <c r="D111" s="5"/>
      <c r="E111" s="5"/>
      <c r="F111" s="11"/>
      <c r="G111" s="5"/>
      <c r="H111" s="5"/>
      <c r="I111" s="5">
        <f t="shared" si="270"/>
        <v>85421.105874999979</v>
      </c>
      <c r="K111" s="62">
        <f>'25-26'!K111*1.015</f>
        <v>84890.539999999979</v>
      </c>
      <c r="L111" s="11"/>
      <c r="M111" s="5"/>
      <c r="N111" s="5"/>
      <c r="O111" s="5"/>
      <c r="P111" s="5"/>
      <c r="Q111" s="5"/>
      <c r="R111" s="5">
        <f t="shared" si="271"/>
        <v>84890.539999999979</v>
      </c>
      <c r="T111" s="62">
        <f>'25-26'!T111*1.015</f>
        <v>84890.539999999979</v>
      </c>
      <c r="U111" s="5"/>
      <c r="V111" s="5"/>
      <c r="W111" s="5"/>
      <c r="X111" s="5"/>
      <c r="Y111" s="5"/>
      <c r="Z111" s="5"/>
      <c r="AA111" s="5">
        <f t="shared" si="272"/>
        <v>84890.539999999979</v>
      </c>
      <c r="AC111" s="62">
        <f>'25-26'!AC111*1.015</f>
        <v>165536.55299999996</v>
      </c>
      <c r="AD111" s="11"/>
      <c r="AE111" s="5"/>
      <c r="AF111" s="5"/>
      <c r="AG111" s="5"/>
      <c r="AH111" s="5"/>
      <c r="AI111" s="5"/>
      <c r="AJ111" s="5">
        <f t="shared" si="273"/>
        <v>165536.55299999996</v>
      </c>
      <c r="AL111" s="62">
        <f>'25-26'!AL111*1.015</f>
        <v>173176.70159999994</v>
      </c>
      <c r="AM111" s="11"/>
      <c r="AN111" s="5"/>
      <c r="AO111" s="5"/>
      <c r="AP111" s="5"/>
      <c r="AQ111" s="5"/>
      <c r="AR111" s="5"/>
      <c r="AS111" s="5">
        <f t="shared" si="274"/>
        <v>173176.70159999994</v>
      </c>
      <c r="AU111" s="62">
        <f>'25-26'!AU111*1.015</f>
        <v>90196.198749999981</v>
      </c>
      <c r="AV111" s="11"/>
      <c r="AW111" s="5"/>
      <c r="AX111" s="5"/>
      <c r="AY111" s="5"/>
      <c r="AZ111" s="5"/>
      <c r="BA111" s="5"/>
      <c r="BB111" s="5">
        <f t="shared" si="275"/>
        <v>90196.198749999981</v>
      </c>
      <c r="BD111" s="62">
        <f>'25-26'!BD111*1.015</f>
        <v>0</v>
      </c>
      <c r="BE111" s="11"/>
      <c r="BF111" s="5"/>
      <c r="BG111" s="5"/>
      <c r="BH111" s="5"/>
      <c r="BI111" s="5"/>
      <c r="BJ111" s="5"/>
      <c r="BK111" s="5">
        <f t="shared" si="276"/>
        <v>0</v>
      </c>
      <c r="BM111" s="62">
        <f>'25-26'!BM111*1.015</f>
        <v>95501.857499999969</v>
      </c>
      <c r="BN111" s="11"/>
      <c r="BO111" s="5"/>
      <c r="BP111" s="5"/>
      <c r="BQ111" s="5"/>
      <c r="BR111" s="5"/>
      <c r="BS111" s="5"/>
      <c r="BT111" s="5">
        <f t="shared" si="277"/>
        <v>95501.857499999969</v>
      </c>
      <c r="BV111" s="5">
        <f t="shared" si="278"/>
        <v>779613.49672499974</v>
      </c>
      <c r="BW111" s="5">
        <f t="shared" si="278"/>
        <v>0</v>
      </c>
      <c r="BX111" s="5">
        <f t="shared" si="278"/>
        <v>0</v>
      </c>
      <c r="BY111" s="5">
        <f t="shared" si="278"/>
        <v>0</v>
      </c>
      <c r="BZ111" s="5">
        <f t="shared" si="278"/>
        <v>0</v>
      </c>
      <c r="CA111" s="5">
        <f t="shared" si="278"/>
        <v>0</v>
      </c>
      <c r="CB111" s="5"/>
      <c r="CC111" s="5">
        <f t="shared" si="279"/>
        <v>779613.49672499974</v>
      </c>
    </row>
    <row r="112" spans="1:81">
      <c r="A112" s="29" t="s">
        <v>101</v>
      </c>
      <c r="B112" s="62">
        <f>'25-26'!B112*1.015</f>
        <v>0</v>
      </c>
      <c r="C112" s="11"/>
      <c r="D112" s="5"/>
      <c r="E112" s="5"/>
      <c r="F112" s="11"/>
      <c r="G112" s="5"/>
      <c r="H112" s="5"/>
      <c r="I112" s="5">
        <f t="shared" si="270"/>
        <v>0</v>
      </c>
      <c r="K112" s="62">
        <f>'25-26'!K112*1.015</f>
        <v>84890.539999999979</v>
      </c>
      <c r="L112" s="11"/>
      <c r="M112" s="5"/>
      <c r="N112" s="5"/>
      <c r="O112" s="5"/>
      <c r="P112" s="5"/>
      <c r="Q112" s="5"/>
      <c r="R112" s="5">
        <f t="shared" si="271"/>
        <v>84890.539999999979</v>
      </c>
      <c r="T112" s="62">
        <f>'25-26'!T112*1.015</f>
        <v>84890.539999999979</v>
      </c>
      <c r="U112" s="5"/>
      <c r="V112" s="5"/>
      <c r="W112" s="5"/>
      <c r="X112" s="5"/>
      <c r="Y112" s="5"/>
      <c r="Z112" s="5"/>
      <c r="AA112" s="5">
        <f t="shared" si="272"/>
        <v>84890.539999999979</v>
      </c>
      <c r="AC112" s="62">
        <f>'25-26'!AC112*1.015</f>
        <v>331073.10599999991</v>
      </c>
      <c r="AD112" s="11"/>
      <c r="AE112" s="5"/>
      <c r="AF112" s="5"/>
      <c r="AG112" s="5"/>
      <c r="AH112" s="5"/>
      <c r="AI112" s="5"/>
      <c r="AJ112" s="5">
        <f t="shared" si="273"/>
        <v>331073.10599999991</v>
      </c>
      <c r="AL112" s="62">
        <f>'25-26'!AL112*1.015</f>
        <v>244484.75519999993</v>
      </c>
      <c r="AM112" s="11"/>
      <c r="AN112" s="5"/>
      <c r="AO112" s="5"/>
      <c r="AP112" s="5"/>
      <c r="AQ112" s="5"/>
      <c r="AR112" s="5"/>
      <c r="AS112" s="5">
        <f t="shared" si="274"/>
        <v>244484.75519999993</v>
      </c>
      <c r="AU112" s="62">
        <f>'25-26'!AU112*1.015</f>
        <v>0</v>
      </c>
      <c r="AV112" s="11"/>
      <c r="AW112" s="5"/>
      <c r="AX112" s="5"/>
      <c r="AY112" s="5"/>
      <c r="AZ112" s="5"/>
      <c r="BA112" s="5"/>
      <c r="BB112" s="5">
        <f t="shared" si="275"/>
        <v>0</v>
      </c>
      <c r="BD112" s="62">
        <f>'25-26'!BD112*1.015</f>
        <v>0</v>
      </c>
      <c r="BE112" s="11"/>
      <c r="BF112" s="5"/>
      <c r="BG112" s="5"/>
      <c r="BH112" s="5"/>
      <c r="BI112" s="5"/>
      <c r="BJ112" s="5"/>
      <c r="BK112" s="5">
        <f t="shared" si="276"/>
        <v>0</v>
      </c>
      <c r="BM112" s="62">
        <f>'25-26'!BM112*1.015</f>
        <v>0</v>
      </c>
      <c r="BN112" s="11"/>
      <c r="BO112" s="5"/>
      <c r="BP112" s="5"/>
      <c r="BQ112" s="5"/>
      <c r="BR112" s="5"/>
      <c r="BS112" s="5"/>
      <c r="BT112" s="5">
        <f t="shared" si="277"/>
        <v>0</v>
      </c>
      <c r="BV112" s="5">
        <f t="shared" si="278"/>
        <v>745338.94119999977</v>
      </c>
      <c r="BW112" s="5">
        <f t="shared" si="278"/>
        <v>0</v>
      </c>
      <c r="BX112" s="5">
        <f t="shared" si="278"/>
        <v>0</v>
      </c>
      <c r="BY112" s="5">
        <f t="shared" si="278"/>
        <v>0</v>
      </c>
      <c r="BZ112" s="5">
        <f t="shared" si="278"/>
        <v>0</v>
      </c>
      <c r="CA112" s="5">
        <f t="shared" si="278"/>
        <v>0</v>
      </c>
      <c r="CB112" s="5"/>
      <c r="CC112" s="5">
        <f t="shared" si="279"/>
        <v>745338.94119999977</v>
      </c>
    </row>
    <row r="113" spans="1:81">
      <c r="A113" s="29" t="s">
        <v>102</v>
      </c>
      <c r="B113" s="62">
        <f>'25-26'!B113*1.015</f>
        <v>0</v>
      </c>
      <c r="C113" s="11"/>
      <c r="D113" s="5"/>
      <c r="E113" s="5"/>
      <c r="F113" s="5"/>
      <c r="G113" s="5"/>
      <c r="H113" s="5"/>
      <c r="I113" s="5">
        <f t="shared" si="270"/>
        <v>0</v>
      </c>
      <c r="K113" s="62">
        <f>'25-26'!K113*1.015</f>
        <v>0</v>
      </c>
      <c r="L113" s="11"/>
      <c r="M113" s="5"/>
      <c r="N113" s="5"/>
      <c r="O113" s="5"/>
      <c r="P113" s="5"/>
      <c r="Q113" s="5"/>
      <c r="R113" s="5">
        <f t="shared" si="271"/>
        <v>0</v>
      </c>
      <c r="T113" s="62">
        <f>'25-26'!T113*1.015</f>
        <v>0</v>
      </c>
      <c r="U113" s="5"/>
      <c r="V113" s="5"/>
      <c r="W113" s="5"/>
      <c r="X113" s="5"/>
      <c r="Y113" s="5"/>
      <c r="Z113" s="5"/>
      <c r="AA113" s="5">
        <f t="shared" si="272"/>
        <v>0</v>
      </c>
      <c r="AC113" s="62">
        <f>'25-26'!AC113*1.015</f>
        <v>70034.695499999987</v>
      </c>
      <c r="AD113" s="11"/>
      <c r="AE113" s="5"/>
      <c r="AF113" s="5"/>
      <c r="AG113" s="5"/>
      <c r="AH113" s="5"/>
      <c r="AI113" s="5"/>
      <c r="AJ113" s="5">
        <f t="shared" si="273"/>
        <v>70034.695499999987</v>
      </c>
      <c r="AL113" s="62">
        <f>'25-26'!AL113*1.015</f>
        <v>0</v>
      </c>
      <c r="AM113" s="11"/>
      <c r="AN113" s="5"/>
      <c r="AO113" s="5"/>
      <c r="AP113" s="5"/>
      <c r="AQ113" s="5"/>
      <c r="AR113" s="5"/>
      <c r="AS113" s="5">
        <f t="shared" si="274"/>
        <v>0</v>
      </c>
      <c r="AU113" s="62">
        <f>'25-26'!AU113*1.015</f>
        <v>0</v>
      </c>
      <c r="AV113" s="11"/>
      <c r="AW113" s="5"/>
      <c r="AX113" s="5"/>
      <c r="AY113" s="5"/>
      <c r="AZ113" s="5"/>
      <c r="BA113" s="5"/>
      <c r="BB113" s="5">
        <f t="shared" si="275"/>
        <v>0</v>
      </c>
      <c r="BD113" s="62">
        <f>'25-26'!BD113*1.015</f>
        <v>0</v>
      </c>
      <c r="BE113" s="11"/>
      <c r="BF113" s="5"/>
      <c r="BG113" s="5"/>
      <c r="BH113" s="5"/>
      <c r="BI113" s="5"/>
      <c r="BJ113" s="5"/>
      <c r="BK113" s="5">
        <f t="shared" si="276"/>
        <v>0</v>
      </c>
      <c r="BM113" s="62">
        <f>'25-26'!BM113*1.015</f>
        <v>0</v>
      </c>
      <c r="BN113" s="11"/>
      <c r="BO113" s="5"/>
      <c r="BP113" s="5"/>
      <c r="BQ113" s="5"/>
      <c r="BR113" s="5"/>
      <c r="BS113" s="5"/>
      <c r="BT113" s="5">
        <f t="shared" si="277"/>
        <v>0</v>
      </c>
      <c r="BV113" s="5">
        <f t="shared" si="278"/>
        <v>70034.695499999987</v>
      </c>
      <c r="BW113" s="5">
        <f t="shared" si="278"/>
        <v>0</v>
      </c>
      <c r="BX113" s="5">
        <f t="shared" si="278"/>
        <v>0</v>
      </c>
      <c r="BY113" s="5">
        <f t="shared" si="278"/>
        <v>0</v>
      </c>
      <c r="BZ113" s="5">
        <f t="shared" si="278"/>
        <v>0</v>
      </c>
      <c r="CA113" s="5">
        <f t="shared" si="278"/>
        <v>0</v>
      </c>
      <c r="CB113" s="5"/>
      <c r="CC113" s="5">
        <f t="shared" si="279"/>
        <v>70034.695499999987</v>
      </c>
    </row>
    <row r="114" spans="1:81">
      <c r="A114" s="29" t="s">
        <v>103</v>
      </c>
      <c r="B114" s="11">
        <f>62000*(B36-B35)</f>
        <v>2604000</v>
      </c>
      <c r="C114" s="11"/>
      <c r="D114" s="5"/>
      <c r="E114" s="5"/>
      <c r="F114" s="5"/>
      <c r="G114" s="5"/>
      <c r="H114" s="5"/>
      <c r="I114" s="5">
        <f t="shared" si="270"/>
        <v>2604000</v>
      </c>
      <c r="J114" s="14">
        <f>60050*1.03</f>
        <v>61851.5</v>
      </c>
      <c r="K114" s="11">
        <f>62000*(K36-K35)</f>
        <v>2666000</v>
      </c>
      <c r="L114" s="11"/>
      <c r="M114" s="5"/>
      <c r="N114" s="5"/>
      <c r="O114" s="5"/>
      <c r="P114" s="5"/>
      <c r="Q114" s="5"/>
      <c r="R114" s="5">
        <f t="shared" si="271"/>
        <v>2666000</v>
      </c>
      <c r="T114" s="5">
        <f>62000*(T36-T35)</f>
        <v>3348000</v>
      </c>
      <c r="U114" s="5"/>
      <c r="V114" s="5"/>
      <c r="W114" s="5"/>
      <c r="X114" s="5"/>
      <c r="Y114" s="5"/>
      <c r="Z114" s="5"/>
      <c r="AA114" s="5">
        <f t="shared" si="272"/>
        <v>3348000</v>
      </c>
      <c r="AC114" s="11">
        <f>65500*(AC36-AC35)</f>
        <v>6550000</v>
      </c>
      <c r="AD114" s="11"/>
      <c r="AE114" s="5"/>
      <c r="AF114" s="5"/>
      <c r="AG114" s="5"/>
      <c r="AH114" s="5"/>
      <c r="AI114" s="5"/>
      <c r="AJ114" s="5">
        <f t="shared" si="273"/>
        <v>6550000</v>
      </c>
      <c r="AK114" s="7">
        <f>63500*1.015</f>
        <v>64452.499999999993</v>
      </c>
      <c r="AL114" s="11">
        <f>64000*(AL36-AL35)</f>
        <v>6080000</v>
      </c>
      <c r="AM114" s="11"/>
      <c r="AN114" s="5"/>
      <c r="AO114" s="5"/>
      <c r="AP114" s="5"/>
      <c r="AQ114" s="5"/>
      <c r="AR114" s="5"/>
      <c r="AS114" s="5">
        <f t="shared" si="274"/>
        <v>6080000</v>
      </c>
      <c r="AU114" s="11">
        <f>60000*(AU36-AU35)</f>
        <v>0</v>
      </c>
      <c r="AV114" s="11"/>
      <c r="AW114" s="5"/>
      <c r="AX114" s="5"/>
      <c r="AY114" s="5"/>
      <c r="AZ114" s="5"/>
      <c r="BA114" s="5"/>
      <c r="BB114" s="5">
        <f t="shared" si="275"/>
        <v>0</v>
      </c>
      <c r="BD114" s="11">
        <f>64000*(BD36-BD35)</f>
        <v>1280000</v>
      </c>
      <c r="BE114" s="11"/>
      <c r="BF114" s="5"/>
      <c r="BG114" s="5"/>
      <c r="BH114" s="5"/>
      <c r="BI114" s="5"/>
      <c r="BJ114" s="5"/>
      <c r="BK114" s="5">
        <f t="shared" si="276"/>
        <v>1280000</v>
      </c>
      <c r="BM114" s="62">
        <f>'25-26'!BM114*1.015</f>
        <v>82933.112499999974</v>
      </c>
      <c r="BN114" s="11"/>
      <c r="BO114" s="5"/>
      <c r="BP114" s="5"/>
      <c r="BQ114" s="5"/>
      <c r="BR114" s="5"/>
      <c r="BS114" s="5"/>
      <c r="BT114" s="5">
        <f t="shared" si="277"/>
        <v>82933.112499999974</v>
      </c>
      <c r="BV114" s="5">
        <f t="shared" si="278"/>
        <v>22610933.112500001</v>
      </c>
      <c r="BW114" s="5">
        <f t="shared" si="278"/>
        <v>0</v>
      </c>
      <c r="BX114" s="5">
        <f t="shared" si="278"/>
        <v>0</v>
      </c>
      <c r="BY114" s="5">
        <f t="shared" si="278"/>
        <v>0</v>
      </c>
      <c r="BZ114" s="5">
        <f t="shared" si="278"/>
        <v>0</v>
      </c>
      <c r="CA114" s="5">
        <f t="shared" si="278"/>
        <v>0</v>
      </c>
      <c r="CB114" s="5"/>
      <c r="CC114" s="5">
        <f t="shared" si="279"/>
        <v>22610933.112500001</v>
      </c>
    </row>
    <row r="115" spans="1:81">
      <c r="A115" s="29" t="s">
        <v>30</v>
      </c>
      <c r="B115" s="11"/>
      <c r="C115" s="11">
        <f>62000*C36</f>
        <v>310000</v>
      </c>
      <c r="D115" s="11"/>
      <c r="E115" s="5"/>
      <c r="F115" s="5"/>
      <c r="G115" s="5"/>
      <c r="H115" s="5"/>
      <c r="I115" s="5">
        <f t="shared" si="270"/>
        <v>310000</v>
      </c>
      <c r="K115" s="11"/>
      <c r="L115" s="11">
        <f>62000*L36</f>
        <v>248000</v>
      </c>
      <c r="M115" s="5"/>
      <c r="N115" s="5"/>
      <c r="O115" s="5"/>
      <c r="P115" s="5"/>
      <c r="Q115" s="5"/>
      <c r="R115" s="5">
        <f t="shared" si="271"/>
        <v>248000</v>
      </c>
      <c r="T115" s="5"/>
      <c r="U115" s="5">
        <f>62000*U36</f>
        <v>310000</v>
      </c>
      <c r="V115" s="5"/>
      <c r="W115" s="5"/>
      <c r="X115" s="5"/>
      <c r="Y115" s="5"/>
      <c r="Z115" s="5"/>
      <c r="AA115" s="5">
        <f t="shared" si="272"/>
        <v>310000</v>
      </c>
      <c r="AC115" s="11"/>
      <c r="AD115" s="11">
        <f>65500*AD36</f>
        <v>851500</v>
      </c>
      <c r="AE115" s="5"/>
      <c r="AF115" s="5"/>
      <c r="AG115" s="5"/>
      <c r="AH115" s="5"/>
      <c r="AI115" s="5"/>
      <c r="AJ115" s="5">
        <f t="shared" si="273"/>
        <v>851500</v>
      </c>
      <c r="AL115" s="11"/>
      <c r="AM115" s="11">
        <f>64000*AM36</f>
        <v>768000</v>
      </c>
      <c r="AN115" s="5"/>
      <c r="AO115" s="5"/>
      <c r="AP115" s="5"/>
      <c r="AQ115" s="5"/>
      <c r="AR115" s="5"/>
      <c r="AS115" s="5">
        <f t="shared" si="274"/>
        <v>768000</v>
      </c>
      <c r="AU115" s="11"/>
      <c r="AV115" s="62">
        <f>'25-26'!AV115*1.015</f>
        <v>83219.257493749988</v>
      </c>
      <c r="AW115" s="5"/>
      <c r="AX115" s="5"/>
      <c r="AY115" s="5"/>
      <c r="AZ115" s="5"/>
      <c r="BA115" s="5"/>
      <c r="BB115" s="5">
        <f t="shared" si="275"/>
        <v>83219.257493749988</v>
      </c>
      <c r="BD115" s="11"/>
      <c r="BE115" s="11">
        <f>64000*BE36</f>
        <v>64000</v>
      </c>
      <c r="BF115" s="5"/>
      <c r="BG115" s="5"/>
      <c r="BH115" s="5"/>
      <c r="BI115" s="5"/>
      <c r="BJ115" s="5"/>
      <c r="BK115" s="5">
        <f t="shared" si="276"/>
        <v>64000</v>
      </c>
      <c r="BM115" s="11"/>
      <c r="BN115" s="11">
        <f>60000*BN36</f>
        <v>0</v>
      </c>
      <c r="BO115" s="5"/>
      <c r="BP115" s="5"/>
      <c r="BQ115" s="5"/>
      <c r="BR115" s="5"/>
      <c r="BS115" s="5"/>
      <c r="BT115" s="5">
        <f t="shared" si="277"/>
        <v>0</v>
      </c>
      <c r="BV115" s="5">
        <f t="shared" si="278"/>
        <v>0</v>
      </c>
      <c r="BW115" s="5">
        <f t="shared" si="278"/>
        <v>2634719.2574937502</v>
      </c>
      <c r="BX115" s="5">
        <f t="shared" si="278"/>
        <v>0</v>
      </c>
      <c r="BY115" s="5">
        <f t="shared" si="278"/>
        <v>0</v>
      </c>
      <c r="BZ115" s="5">
        <f t="shared" si="278"/>
        <v>0</v>
      </c>
      <c r="CA115" s="5">
        <f t="shared" si="278"/>
        <v>0</v>
      </c>
      <c r="CB115" s="5"/>
      <c r="CC115" s="5">
        <f t="shared" si="279"/>
        <v>2634719.2574937502</v>
      </c>
    </row>
    <row r="116" spans="1:81">
      <c r="A116" s="29" t="s">
        <v>104</v>
      </c>
      <c r="B116" s="62">
        <f>'25-26'!B116*1.015</f>
        <v>151307.08529999998</v>
      </c>
      <c r="D116" s="5"/>
      <c r="E116" s="5"/>
      <c r="F116" s="5"/>
      <c r="G116" s="5"/>
      <c r="H116" s="5"/>
      <c r="I116" s="5">
        <f t="shared" si="270"/>
        <v>151307.08529999998</v>
      </c>
      <c r="K116" s="62">
        <f>'25-26'!K116*1.015</f>
        <v>132429.24239999999</v>
      </c>
      <c r="L116" s="11"/>
      <c r="M116" s="5"/>
      <c r="N116" s="5"/>
      <c r="O116" s="5"/>
      <c r="P116" s="5"/>
      <c r="Q116" s="5"/>
      <c r="R116" s="5">
        <f t="shared" si="271"/>
        <v>132429.24239999999</v>
      </c>
      <c r="T116" s="62">
        <f>'25-26'!T116*1.015</f>
        <v>118307.70107099997</v>
      </c>
      <c r="U116" s="5"/>
      <c r="V116" s="5"/>
      <c r="W116" s="5"/>
      <c r="X116" s="5"/>
      <c r="Y116" s="5"/>
      <c r="Z116" s="5"/>
      <c r="AA116" s="5">
        <f t="shared" si="272"/>
        <v>118307.70107099997</v>
      </c>
      <c r="AC116" s="62">
        <f>'25-26'!AC116*1.015</f>
        <v>254671.61999999994</v>
      </c>
      <c r="AD116" s="11"/>
      <c r="AE116" s="5"/>
      <c r="AF116" s="5"/>
      <c r="AG116" s="5"/>
      <c r="AH116" s="5"/>
      <c r="AI116" s="5"/>
      <c r="AJ116" s="5">
        <f t="shared" si="273"/>
        <v>254671.61999999994</v>
      </c>
      <c r="AL116" s="62">
        <f>'25-26'!AL116*1.015</f>
        <v>222718.16139999995</v>
      </c>
      <c r="AM116" s="11"/>
      <c r="AN116" s="5"/>
      <c r="AO116" s="5"/>
      <c r="AP116" s="5"/>
      <c r="AQ116" s="5"/>
      <c r="AR116" s="5"/>
      <c r="AS116" s="5">
        <f t="shared" si="274"/>
        <v>222718.16139999995</v>
      </c>
      <c r="AU116" s="11">
        <v>0</v>
      </c>
      <c r="AV116" s="11"/>
      <c r="AW116" s="5"/>
      <c r="AX116" s="5"/>
      <c r="AY116" s="5"/>
      <c r="AZ116" s="5"/>
      <c r="BA116" s="5"/>
      <c r="BB116" s="5">
        <f t="shared" si="275"/>
        <v>0</v>
      </c>
      <c r="BD116" s="62">
        <f>'25-26'!BD116*1.015</f>
        <v>53056.587499999987</v>
      </c>
      <c r="BE116" s="11"/>
      <c r="BF116" s="5"/>
      <c r="BG116" s="5"/>
      <c r="BH116" s="5"/>
      <c r="BI116" s="5"/>
      <c r="BJ116" s="5"/>
      <c r="BK116" s="5">
        <f t="shared" si="276"/>
        <v>53056.587499999987</v>
      </c>
      <c r="BM116" s="62">
        <f>'25-26'!BM116*1.015</f>
        <v>95501.857499999969</v>
      </c>
      <c r="BN116" s="11"/>
      <c r="BO116" s="5"/>
      <c r="BP116" s="5"/>
      <c r="BQ116" s="5"/>
      <c r="BR116" s="5"/>
      <c r="BS116" s="5"/>
      <c r="BT116" s="5">
        <f t="shared" si="277"/>
        <v>95501.857499999969</v>
      </c>
      <c r="BV116" s="5">
        <f t="shared" si="278"/>
        <v>1027992.2551709998</v>
      </c>
      <c r="BW116" s="5">
        <f>D115+L116+U116+AD116+AM116+AV116+BE116+BN116</f>
        <v>0</v>
      </c>
      <c r="BX116" s="5">
        <f t="shared" si="278"/>
        <v>0</v>
      </c>
      <c r="BY116" s="5">
        <f t="shared" si="278"/>
        <v>0</v>
      </c>
      <c r="BZ116" s="5">
        <f t="shared" si="278"/>
        <v>0</v>
      </c>
      <c r="CA116" s="5">
        <f t="shared" si="278"/>
        <v>0</v>
      </c>
      <c r="CB116" s="5"/>
      <c r="CC116" s="5">
        <f t="shared" si="279"/>
        <v>1027992.2551709998</v>
      </c>
    </row>
    <row r="117" spans="1:81">
      <c r="A117" s="29" t="s">
        <v>105</v>
      </c>
      <c r="B117" s="11">
        <f>(20.5*8*190)*(B48+B49)</f>
        <v>93480</v>
      </c>
      <c r="C117" s="11"/>
      <c r="D117" s="5"/>
      <c r="E117" s="5"/>
      <c r="F117" s="5"/>
      <c r="G117" s="5"/>
      <c r="H117" s="5"/>
      <c r="I117" s="5">
        <f t="shared" si="270"/>
        <v>93480</v>
      </c>
      <c r="K117" s="11">
        <f>(20.5*8*190)*(K48+K49)</f>
        <v>93480</v>
      </c>
      <c r="L117" s="11"/>
      <c r="M117" s="5"/>
      <c r="N117" s="5"/>
      <c r="O117" s="5"/>
      <c r="P117" s="5"/>
      <c r="Q117" s="5"/>
      <c r="R117" s="5">
        <f t="shared" si="271"/>
        <v>93480</v>
      </c>
      <c r="T117" s="11">
        <f>(20.5*8*185)*(T48+T49)</f>
        <v>91020</v>
      </c>
      <c r="U117" s="5"/>
      <c r="V117" s="5"/>
      <c r="W117" s="5"/>
      <c r="X117" s="5"/>
      <c r="Y117" s="5"/>
      <c r="Z117" s="5"/>
      <c r="AA117" s="5">
        <f t="shared" si="272"/>
        <v>91020</v>
      </c>
      <c r="AC117" s="11">
        <f>(21.5*8*190)*(AC48+AC49)</f>
        <v>261440</v>
      </c>
      <c r="AD117" s="11"/>
      <c r="AE117" s="5"/>
      <c r="AF117" s="5"/>
      <c r="AG117" s="5"/>
      <c r="AH117" s="5"/>
      <c r="AI117" s="5"/>
      <c r="AJ117" s="5">
        <f t="shared" si="273"/>
        <v>261440</v>
      </c>
      <c r="AL117" s="11">
        <f>(20.5*8*190)*(AL48+AL49)</f>
        <v>186960</v>
      </c>
      <c r="AM117" s="11"/>
      <c r="AN117" s="5"/>
      <c r="AO117" s="5"/>
      <c r="AP117" s="5"/>
      <c r="AQ117" s="5"/>
      <c r="AR117" s="5"/>
      <c r="AS117" s="5">
        <f t="shared" si="274"/>
        <v>186960</v>
      </c>
      <c r="AU117" s="11">
        <f>(23*8*190)*(AU48+AU49)</f>
        <v>0</v>
      </c>
      <c r="AV117" s="11"/>
      <c r="AW117" s="5"/>
      <c r="AX117" s="5"/>
      <c r="AY117" s="5"/>
      <c r="AZ117" s="5"/>
      <c r="BA117" s="5"/>
      <c r="BB117" s="5">
        <f t="shared" si="275"/>
        <v>0</v>
      </c>
      <c r="BD117" s="11">
        <f>(21.5*8*190)*(BD48+BD49)</f>
        <v>32680</v>
      </c>
      <c r="BE117" s="11"/>
      <c r="BF117" s="5"/>
      <c r="BG117" s="5"/>
      <c r="BH117" s="5"/>
      <c r="BI117" s="5"/>
      <c r="BJ117" s="5"/>
      <c r="BK117" s="5">
        <f t="shared" si="276"/>
        <v>32680</v>
      </c>
      <c r="BM117" s="11">
        <f>(23*8*190)*(BM48+BM49)</f>
        <v>0</v>
      </c>
      <c r="BN117" s="11"/>
      <c r="BO117" s="5"/>
      <c r="BP117" s="5"/>
      <c r="BQ117" s="5"/>
      <c r="BR117" s="5"/>
      <c r="BS117" s="5"/>
      <c r="BT117" s="5">
        <f t="shared" si="277"/>
        <v>0</v>
      </c>
      <c r="BV117" s="5">
        <f t="shared" si="278"/>
        <v>759060</v>
      </c>
      <c r="BW117" s="5">
        <f t="shared" si="278"/>
        <v>0</v>
      </c>
      <c r="BX117" s="5">
        <f t="shared" si="278"/>
        <v>0</v>
      </c>
      <c r="BY117" s="5">
        <f t="shared" si="278"/>
        <v>0</v>
      </c>
      <c r="BZ117" s="5">
        <f t="shared" si="278"/>
        <v>0</v>
      </c>
      <c r="CA117" s="5">
        <f t="shared" si="278"/>
        <v>0</v>
      </c>
      <c r="CB117" s="5"/>
      <c r="CC117" s="5">
        <f t="shared" si="279"/>
        <v>759060</v>
      </c>
    </row>
    <row r="118" spans="1:81">
      <c r="A118" s="29" t="s">
        <v>106</v>
      </c>
      <c r="B118" s="11">
        <f>(20.5*7.55*180)*B50</f>
        <v>111438</v>
      </c>
      <c r="C118" s="11">
        <f>(20.5*8*180)*C50</f>
        <v>118080</v>
      </c>
      <c r="D118" s="11">
        <f>(20.25*8*180)*D50</f>
        <v>29160</v>
      </c>
      <c r="E118" s="11">
        <f t="shared" ref="E118" si="280">(19*8*180)*E50</f>
        <v>0</v>
      </c>
      <c r="F118" s="5"/>
      <c r="G118" s="5"/>
      <c r="H118" s="5"/>
      <c r="I118" s="5">
        <f t="shared" si="270"/>
        <v>258678</v>
      </c>
      <c r="K118" s="11">
        <f>(20.5*7.5*180)*K50</f>
        <v>193725</v>
      </c>
      <c r="L118" s="11">
        <f>(20.5*7.5*180)*L50</f>
        <v>110700</v>
      </c>
      <c r="M118" s="11">
        <f>(20.5*7.5*180)*M50</f>
        <v>27675</v>
      </c>
      <c r="N118" s="11">
        <f t="shared" ref="N118" si="281">(19*8*180)*N50</f>
        <v>0</v>
      </c>
      <c r="O118" s="5">
        <f>(14*8*180)*O50</f>
        <v>0</v>
      </c>
      <c r="P118" s="5"/>
      <c r="Q118" s="5"/>
      <c r="R118" s="5">
        <f t="shared" si="271"/>
        <v>332100</v>
      </c>
      <c r="T118" s="5">
        <f>(20.5*8*180)*T50</f>
        <v>147600</v>
      </c>
      <c r="U118" s="5">
        <f>(20.5*8*180)*U50</f>
        <v>147600</v>
      </c>
      <c r="V118" s="5">
        <f>(20.5*8*180)*V50</f>
        <v>29520</v>
      </c>
      <c r="W118" s="5">
        <f t="shared" ref="W118:Z118" si="282">(19*8*180)*W50</f>
        <v>0</v>
      </c>
      <c r="X118" s="5">
        <f t="shared" si="282"/>
        <v>0</v>
      </c>
      <c r="Y118" s="5">
        <f t="shared" si="282"/>
        <v>0</v>
      </c>
      <c r="Z118" s="5">
        <f t="shared" si="282"/>
        <v>0</v>
      </c>
      <c r="AA118" s="5">
        <f t="shared" si="272"/>
        <v>324720</v>
      </c>
      <c r="AC118" s="11">
        <f>(21.5*7.92*180)*AC50</f>
        <v>337154.4</v>
      </c>
      <c r="AD118" s="11">
        <f>(21.5*8*180)*AD50</f>
        <v>402480</v>
      </c>
      <c r="AE118" s="11">
        <f>(21.5*6*180)*AE50</f>
        <v>69660</v>
      </c>
      <c r="AF118" s="11">
        <f t="shared" ref="AF118" si="283">(19*8*180)*AF50</f>
        <v>0</v>
      </c>
      <c r="AG118" s="5">
        <f>(14*8*180)*AG50</f>
        <v>0</v>
      </c>
      <c r="AH118" s="5"/>
      <c r="AI118" s="5"/>
      <c r="AJ118" s="5">
        <f t="shared" si="273"/>
        <v>809294.4</v>
      </c>
      <c r="AL118" s="11">
        <f>(20.5*8*180)*AL50</f>
        <v>147600</v>
      </c>
      <c r="AM118" s="11">
        <f>(20.5*8*180)*AM50</f>
        <v>354240</v>
      </c>
      <c r="AN118" s="11">
        <f>(20.5*6*180)*AN50</f>
        <v>66420</v>
      </c>
      <c r="AO118" s="11">
        <f t="shared" ref="AO118" si="284">(20*8*180)*AO50</f>
        <v>0</v>
      </c>
      <c r="AP118" s="5">
        <f>(14*8*180)*AP50</f>
        <v>0</v>
      </c>
      <c r="AQ118" s="5"/>
      <c r="AR118" s="5"/>
      <c r="AS118" s="5">
        <f t="shared" si="274"/>
        <v>568260</v>
      </c>
      <c r="AU118" s="11">
        <f>(21.5*7.5*180)*AU50</f>
        <v>58050</v>
      </c>
      <c r="AV118" s="11">
        <f>(21.5*7.5*180)*AV50</f>
        <v>29025</v>
      </c>
      <c r="AW118" s="11">
        <f t="shared" ref="AW118:AY118" si="285">(19*8*180)*AW50</f>
        <v>0</v>
      </c>
      <c r="AX118" s="11">
        <f t="shared" si="285"/>
        <v>0</v>
      </c>
      <c r="AY118" s="11">
        <f t="shared" si="285"/>
        <v>0</v>
      </c>
      <c r="AZ118" s="5"/>
      <c r="BA118" s="5"/>
      <c r="BB118" s="5">
        <f t="shared" si="275"/>
        <v>87075</v>
      </c>
      <c r="BD118" s="11">
        <f>(21.5*8*180)*BD50</f>
        <v>61920</v>
      </c>
      <c r="BE118" s="11">
        <f t="shared" ref="BE118:BJ118" si="286">(20*8*180)*BE50</f>
        <v>28800</v>
      </c>
      <c r="BF118" s="11">
        <f t="shared" si="286"/>
        <v>0</v>
      </c>
      <c r="BG118" s="11">
        <f t="shared" si="286"/>
        <v>0</v>
      </c>
      <c r="BH118" s="11">
        <f>(20*8*180)*BH50</f>
        <v>0</v>
      </c>
      <c r="BI118" s="11">
        <f t="shared" si="286"/>
        <v>0</v>
      </c>
      <c r="BJ118" s="11">
        <f t="shared" si="286"/>
        <v>0</v>
      </c>
      <c r="BK118" s="5">
        <f t="shared" si="276"/>
        <v>90720</v>
      </c>
      <c r="BM118" s="11">
        <f>26.5*3*185</f>
        <v>14707.5</v>
      </c>
      <c r="BN118" s="11">
        <f t="shared" ref="BN118:BO118" si="287">(18*8*180)*BN50</f>
        <v>0</v>
      </c>
      <c r="BO118" s="11">
        <f t="shared" si="287"/>
        <v>0</v>
      </c>
      <c r="BP118" s="5"/>
      <c r="BQ118" s="5">
        <f>(14*8*180)*BQ50</f>
        <v>0</v>
      </c>
      <c r="BR118" s="5"/>
      <c r="BS118" s="5"/>
      <c r="BT118" s="5">
        <f t="shared" si="277"/>
        <v>14707.5</v>
      </c>
      <c r="BV118" s="5">
        <f t="shared" si="278"/>
        <v>1072194.8999999999</v>
      </c>
      <c r="BW118" s="5">
        <f t="shared" si="278"/>
        <v>1190925</v>
      </c>
      <c r="BX118" s="5">
        <f t="shared" si="278"/>
        <v>222435</v>
      </c>
      <c r="BY118" s="5">
        <f t="shared" si="278"/>
        <v>0</v>
      </c>
      <c r="BZ118" s="5">
        <f t="shared" si="278"/>
        <v>0</v>
      </c>
      <c r="CA118" s="5">
        <f t="shared" si="278"/>
        <v>0</v>
      </c>
      <c r="CB118" s="5"/>
      <c r="CC118" s="5">
        <f t="shared" si="279"/>
        <v>2485554.9</v>
      </c>
    </row>
    <row r="119" spans="1:81">
      <c r="A119" s="29" t="s">
        <v>107</v>
      </c>
      <c r="B119" s="11">
        <f>(26.5*8*240)+(22*8*240)</f>
        <v>93120</v>
      </c>
      <c r="C119" s="11"/>
      <c r="D119" s="5"/>
      <c r="E119" s="5"/>
      <c r="F119" s="5"/>
      <c r="G119" s="5"/>
      <c r="H119" s="5"/>
      <c r="I119" s="5">
        <f t="shared" si="270"/>
        <v>93120</v>
      </c>
      <c r="K119" s="11">
        <f>(22.5*8*240)*(K51)</f>
        <v>129600</v>
      </c>
      <c r="L119" s="11"/>
      <c r="M119" s="5"/>
      <c r="N119" s="5"/>
      <c r="O119" s="5"/>
      <c r="P119" s="5"/>
      <c r="Q119" s="5"/>
      <c r="R119" s="5">
        <f t="shared" si="271"/>
        <v>129600</v>
      </c>
      <c r="T119" s="11">
        <f>(23.5*8*240)*T51</f>
        <v>135360</v>
      </c>
      <c r="U119" s="5"/>
      <c r="V119" s="5"/>
      <c r="W119" s="5"/>
      <c r="X119" s="5"/>
      <c r="Y119" s="5"/>
      <c r="Z119" s="5"/>
      <c r="AA119" s="5">
        <f t="shared" si="272"/>
        <v>135360</v>
      </c>
      <c r="AC119" s="11">
        <f>((22.5*8*240)*AC51-1)+(60000*1.03*1.015*1.015)</f>
        <v>366066.90499999997</v>
      </c>
      <c r="AD119" s="11"/>
      <c r="AE119" s="5"/>
      <c r="AF119" s="5"/>
      <c r="AG119" s="5"/>
      <c r="AH119" s="5"/>
      <c r="AI119" s="5"/>
      <c r="AJ119" s="5">
        <f t="shared" si="273"/>
        <v>366066.90499999997</v>
      </c>
      <c r="AL119" s="11">
        <f>(21.5*8*240)*AL51</f>
        <v>330240</v>
      </c>
      <c r="AM119" s="11"/>
      <c r="AN119" s="5"/>
      <c r="AO119" s="5"/>
      <c r="AP119" s="5"/>
      <c r="AQ119" s="5"/>
      <c r="AR119" s="5"/>
      <c r="AS119" s="5">
        <f t="shared" si="274"/>
        <v>330240</v>
      </c>
      <c r="AU119" s="11">
        <f>(21*8*240)*AU51</f>
        <v>0</v>
      </c>
      <c r="AV119" s="11"/>
      <c r="AW119" s="5"/>
      <c r="AX119" s="5"/>
      <c r="AY119" s="5"/>
      <c r="AZ119" s="5"/>
      <c r="BA119" s="5"/>
      <c r="BB119" s="5">
        <f t="shared" si="275"/>
        <v>0</v>
      </c>
      <c r="BD119" s="62">
        <f>'25-26'!BD119*1.015</f>
        <v>58362.246249999989</v>
      </c>
      <c r="BE119" s="11"/>
      <c r="BF119" s="5"/>
      <c r="BG119" s="5"/>
      <c r="BH119" s="5"/>
      <c r="BI119" s="5"/>
      <c r="BJ119" s="5"/>
      <c r="BK119" s="5">
        <f t="shared" si="276"/>
        <v>58362.246249999989</v>
      </c>
      <c r="BM119" s="11">
        <f>(21*8*240)*BM51</f>
        <v>0</v>
      </c>
      <c r="BN119" s="11"/>
      <c r="BO119" s="5"/>
      <c r="BP119" s="5"/>
      <c r="BQ119" s="5"/>
      <c r="BR119" s="5"/>
      <c r="BS119" s="5"/>
      <c r="BT119" s="5">
        <f t="shared" si="277"/>
        <v>0</v>
      </c>
      <c r="BV119" s="5">
        <f t="shared" si="278"/>
        <v>1112749.1512500001</v>
      </c>
      <c r="BW119" s="5">
        <f t="shared" si="278"/>
        <v>0</v>
      </c>
      <c r="BX119" s="5">
        <f t="shared" si="278"/>
        <v>0</v>
      </c>
      <c r="BY119" s="5">
        <f t="shared" si="278"/>
        <v>0</v>
      </c>
      <c r="BZ119" s="5">
        <f t="shared" si="278"/>
        <v>0</v>
      </c>
      <c r="CA119" s="5">
        <f t="shared" si="278"/>
        <v>0</v>
      </c>
      <c r="CB119" s="5"/>
      <c r="CC119" s="5">
        <f t="shared" si="279"/>
        <v>1112749.1512500001</v>
      </c>
    </row>
    <row r="120" spans="1:81">
      <c r="A120" s="29" t="s">
        <v>53</v>
      </c>
      <c r="B120" s="11"/>
      <c r="C120" s="11"/>
      <c r="D120" s="5">
        <f>23.75*8*180</f>
        <v>34200</v>
      </c>
      <c r="E120" s="5"/>
      <c r="F120" s="5"/>
      <c r="G120" s="5"/>
      <c r="H120" s="5"/>
      <c r="I120" s="5">
        <f t="shared" si="270"/>
        <v>34200</v>
      </c>
      <c r="K120" s="11"/>
      <c r="L120" s="11"/>
      <c r="M120" s="62">
        <f>'25-26'!M120*1.015</f>
        <v>42445.26999999999</v>
      </c>
      <c r="N120" s="5"/>
      <c r="O120" s="5"/>
      <c r="P120" s="5"/>
      <c r="Q120" s="5"/>
      <c r="R120" s="5">
        <f t="shared" si="271"/>
        <v>42445.26999999999</v>
      </c>
      <c r="T120" s="5"/>
      <c r="U120" s="5"/>
      <c r="V120" s="5">
        <f>(23.5*8*180)*V52</f>
        <v>33840</v>
      </c>
      <c r="W120" s="5"/>
      <c r="X120" s="5"/>
      <c r="Y120" s="5"/>
      <c r="Z120" s="5"/>
      <c r="AA120" s="5">
        <f t="shared" si="272"/>
        <v>33840</v>
      </c>
      <c r="AC120" s="11"/>
      <c r="AD120" s="11"/>
      <c r="AE120" s="11">
        <f>(22.5*8*180)*AE52</f>
        <v>97200</v>
      </c>
      <c r="AF120" s="5"/>
      <c r="AG120" s="5"/>
      <c r="AH120" s="5"/>
      <c r="AI120" s="5"/>
      <c r="AJ120" s="5">
        <f t="shared" si="273"/>
        <v>97200</v>
      </c>
      <c r="AL120" s="11"/>
      <c r="AM120" s="11"/>
      <c r="AN120" s="11">
        <f>(21.5*8*180)*AN52</f>
        <v>30960</v>
      </c>
      <c r="AO120" s="5"/>
      <c r="AP120" s="5"/>
      <c r="AQ120" s="5"/>
      <c r="AR120" s="5"/>
      <c r="AS120" s="5">
        <f t="shared" si="274"/>
        <v>30960</v>
      </c>
      <c r="AU120" s="11"/>
      <c r="AV120" s="11"/>
      <c r="AW120" s="5">
        <v>0</v>
      </c>
      <c r="AX120" s="5"/>
      <c r="AY120" s="5"/>
      <c r="AZ120" s="5"/>
      <c r="BA120" s="5"/>
      <c r="BB120" s="5">
        <f t="shared" si="275"/>
        <v>0</v>
      </c>
      <c r="BD120" s="11"/>
      <c r="BE120" s="11"/>
      <c r="BF120" s="5">
        <f>20.5*8*180*BF52</f>
        <v>29520</v>
      </c>
      <c r="BG120" s="5"/>
      <c r="BH120" s="5"/>
      <c r="BI120" s="5"/>
      <c r="BJ120" s="5"/>
      <c r="BK120" s="5">
        <f t="shared" si="276"/>
        <v>29520</v>
      </c>
      <c r="BM120" s="11"/>
      <c r="BN120" s="11"/>
      <c r="BO120" s="5">
        <f>26.5*4*175</f>
        <v>18550</v>
      </c>
      <c r="BP120" s="5"/>
      <c r="BQ120" s="5"/>
      <c r="BR120" s="5"/>
      <c r="BS120" s="5"/>
      <c r="BT120" s="5">
        <f t="shared" si="277"/>
        <v>18550</v>
      </c>
      <c r="BV120" s="5">
        <f t="shared" si="278"/>
        <v>0</v>
      </c>
      <c r="BW120" s="5">
        <f t="shared" si="278"/>
        <v>0</v>
      </c>
      <c r="BX120" s="5">
        <f t="shared" si="278"/>
        <v>286715.27</v>
      </c>
      <c r="BY120" s="5">
        <f t="shared" si="278"/>
        <v>0</v>
      </c>
      <c r="BZ120" s="5">
        <f t="shared" si="278"/>
        <v>0</v>
      </c>
      <c r="CA120" s="5">
        <f t="shared" si="278"/>
        <v>0</v>
      </c>
      <c r="CB120" s="5"/>
      <c r="CC120" s="5">
        <f t="shared" si="279"/>
        <v>286715.27</v>
      </c>
    </row>
    <row r="121" spans="1:81" ht="15">
      <c r="A121" s="64" t="s">
        <v>108</v>
      </c>
      <c r="B121" s="65">
        <f>SUM(B107:B120)</f>
        <v>3631360.5276329997</v>
      </c>
      <c r="C121" s="65">
        <f t="shared" ref="C121:I121" si="288">SUM(C107:C120)</f>
        <v>428080</v>
      </c>
      <c r="D121" s="65">
        <f t="shared" si="288"/>
        <v>63360</v>
      </c>
      <c r="E121" s="65">
        <f t="shared" si="288"/>
        <v>0</v>
      </c>
      <c r="F121" s="65">
        <f t="shared" si="288"/>
        <v>0</v>
      </c>
      <c r="G121" s="65">
        <f t="shared" si="288"/>
        <v>0</v>
      </c>
      <c r="H121" s="65">
        <f t="shared" si="288"/>
        <v>0</v>
      </c>
      <c r="I121" s="65">
        <f t="shared" si="288"/>
        <v>4122800.5276329997</v>
      </c>
      <c r="J121" s="7"/>
      <c r="K121" s="65">
        <f>SUM(K107:K120)</f>
        <v>3885509.7847367497</v>
      </c>
      <c r="L121" s="65">
        <f t="shared" ref="L121:R121" si="289">SUM(L107:L120)</f>
        <v>358700</v>
      </c>
      <c r="M121" s="65">
        <f t="shared" si="289"/>
        <v>70120.26999999999</v>
      </c>
      <c r="N121" s="65"/>
      <c r="O121" s="65">
        <f t="shared" si="289"/>
        <v>0</v>
      </c>
      <c r="P121" s="65">
        <f t="shared" si="289"/>
        <v>0</v>
      </c>
      <c r="Q121" s="65">
        <f t="shared" si="289"/>
        <v>0</v>
      </c>
      <c r="R121" s="65">
        <f t="shared" si="289"/>
        <v>4314330.0547367493</v>
      </c>
      <c r="T121" s="65">
        <f>SUM(T107:T120)</f>
        <v>4592523.9986459995</v>
      </c>
      <c r="U121" s="65">
        <f t="shared" ref="U121:AA121" si="290">SUM(U107:U120)</f>
        <v>457600</v>
      </c>
      <c r="V121" s="65">
        <f t="shared" si="290"/>
        <v>63360</v>
      </c>
      <c r="W121" s="65"/>
      <c r="X121" s="65">
        <f t="shared" si="290"/>
        <v>0</v>
      </c>
      <c r="Y121" s="65">
        <f t="shared" si="290"/>
        <v>0</v>
      </c>
      <c r="Z121" s="65">
        <f t="shared" si="290"/>
        <v>0</v>
      </c>
      <c r="AA121" s="65">
        <f t="shared" si="290"/>
        <v>5113483.9986459995</v>
      </c>
      <c r="AC121" s="65">
        <f>SUM(AC107:AC120)</f>
        <v>9343840.2156499997</v>
      </c>
      <c r="AD121" s="65">
        <f t="shared" ref="AD121:AJ121" si="291">SUM(AD107:AD120)</f>
        <v>1253980</v>
      </c>
      <c r="AE121" s="65">
        <f t="shared" si="291"/>
        <v>166860</v>
      </c>
      <c r="AF121" s="65">
        <f t="shared" si="291"/>
        <v>0</v>
      </c>
      <c r="AG121" s="65">
        <f t="shared" si="291"/>
        <v>0</v>
      </c>
      <c r="AH121" s="65">
        <f t="shared" si="291"/>
        <v>0</v>
      </c>
      <c r="AI121" s="65">
        <f t="shared" si="291"/>
        <v>0</v>
      </c>
      <c r="AJ121" s="65">
        <f t="shared" si="291"/>
        <v>10764680.215649998</v>
      </c>
      <c r="AL121" s="65">
        <f>SUM(AL107:AL120)</f>
        <v>8282390.9188552499</v>
      </c>
      <c r="AM121" s="65">
        <f t="shared" ref="AM121:AS121" si="292">SUM(AM107:AM120)</f>
        <v>1122240</v>
      </c>
      <c r="AN121" s="65">
        <f t="shared" si="292"/>
        <v>97380</v>
      </c>
      <c r="AO121" s="65"/>
      <c r="AP121" s="65">
        <f t="shared" si="292"/>
        <v>0</v>
      </c>
      <c r="AQ121" s="65">
        <f t="shared" si="292"/>
        <v>0</v>
      </c>
      <c r="AR121" s="65">
        <f t="shared" si="292"/>
        <v>0</v>
      </c>
      <c r="AS121" s="65">
        <f t="shared" si="292"/>
        <v>9502010.9188552499</v>
      </c>
      <c r="AU121" s="65">
        <f>SUM(AU107:AU120)</f>
        <v>148246.19874999998</v>
      </c>
      <c r="AV121" s="65">
        <f t="shared" ref="AV121:BB121" si="293">SUM(AV107:AV120)</f>
        <v>112244.25749374999</v>
      </c>
      <c r="AW121" s="65">
        <f t="shared" si="293"/>
        <v>0</v>
      </c>
      <c r="AX121" s="65">
        <f t="shared" si="293"/>
        <v>0</v>
      </c>
      <c r="AY121" s="65">
        <f t="shared" si="293"/>
        <v>0</v>
      </c>
      <c r="AZ121" s="65">
        <f t="shared" si="293"/>
        <v>0</v>
      </c>
      <c r="BA121" s="65">
        <f t="shared" si="293"/>
        <v>0</v>
      </c>
      <c r="BB121" s="65">
        <f t="shared" si="293"/>
        <v>260490.45624374997</v>
      </c>
      <c r="BD121" s="65">
        <f>SUM(BD107:BD120)</f>
        <v>1682328.2075</v>
      </c>
      <c r="BE121" s="65">
        <f t="shared" ref="BE121:BK121" si="294">SUM(BE107:BE120)</f>
        <v>92800</v>
      </c>
      <c r="BF121" s="65">
        <f t="shared" si="294"/>
        <v>29520</v>
      </c>
      <c r="BG121" s="65">
        <f t="shared" si="294"/>
        <v>0</v>
      </c>
      <c r="BH121" s="65">
        <f t="shared" si="294"/>
        <v>0</v>
      </c>
      <c r="BI121" s="65">
        <f t="shared" si="294"/>
        <v>0</v>
      </c>
      <c r="BJ121" s="65">
        <f t="shared" si="294"/>
        <v>0</v>
      </c>
      <c r="BK121" s="65">
        <f t="shared" si="294"/>
        <v>1804648.2075</v>
      </c>
      <c r="BM121" s="65">
        <f>SUM(BM107:BM120)</f>
        <v>288644.3274999999</v>
      </c>
      <c r="BN121" s="65">
        <f t="shared" ref="BN121:BT121" si="295">SUM(BN107:BN120)</f>
        <v>0</v>
      </c>
      <c r="BO121" s="65">
        <f t="shared" si="295"/>
        <v>18550</v>
      </c>
      <c r="BP121" s="65">
        <f t="shared" si="295"/>
        <v>0</v>
      </c>
      <c r="BQ121" s="65">
        <f t="shared" si="295"/>
        <v>0</v>
      </c>
      <c r="BR121" s="65">
        <f t="shared" si="295"/>
        <v>0</v>
      </c>
      <c r="BS121" s="65">
        <f t="shared" si="295"/>
        <v>0</v>
      </c>
      <c r="BT121" s="65">
        <f t="shared" si="295"/>
        <v>307194.3274999999</v>
      </c>
      <c r="BV121" s="65">
        <f>SUM(BV107:BV120)</f>
        <v>31854844.179271001</v>
      </c>
      <c r="BW121" s="65">
        <f t="shared" ref="BW121:CC121" si="296">SUM(BW107:BW120)</f>
        <v>3825644.2574937502</v>
      </c>
      <c r="BX121" s="65">
        <f t="shared" si="296"/>
        <v>509150.27</v>
      </c>
      <c r="BY121" s="65">
        <f t="shared" si="296"/>
        <v>0</v>
      </c>
      <c r="BZ121" s="65">
        <f t="shared" si="296"/>
        <v>0</v>
      </c>
      <c r="CA121" s="65">
        <f t="shared" si="296"/>
        <v>0</v>
      </c>
      <c r="CB121" s="65">
        <f t="shared" si="296"/>
        <v>0</v>
      </c>
      <c r="CC121" s="65">
        <f t="shared" si="296"/>
        <v>36189638.70676475</v>
      </c>
    </row>
    <row r="122" spans="1:81" ht="15">
      <c r="A122" s="66" t="s">
        <v>109</v>
      </c>
      <c r="B122" s="49"/>
      <c r="C122" s="49"/>
      <c r="D122" s="49"/>
      <c r="E122" s="49"/>
      <c r="F122" s="49"/>
      <c r="G122" s="49"/>
      <c r="H122" s="49"/>
      <c r="I122" s="50"/>
      <c r="J122" s="7"/>
      <c r="K122" s="49"/>
      <c r="L122" s="49"/>
      <c r="M122" s="49"/>
      <c r="N122" s="49"/>
      <c r="O122" s="49"/>
      <c r="P122" s="49"/>
      <c r="Q122" s="49"/>
      <c r="R122" s="50"/>
      <c r="T122" s="49"/>
      <c r="U122" s="49"/>
      <c r="V122" s="49"/>
      <c r="W122" s="49"/>
      <c r="X122" s="49"/>
      <c r="Y122" s="49"/>
      <c r="Z122" s="49"/>
      <c r="AA122" s="50"/>
      <c r="AC122" s="49"/>
      <c r="AD122" s="49"/>
      <c r="AE122" s="49"/>
      <c r="AF122" s="49"/>
      <c r="AG122" s="49"/>
      <c r="AH122" s="49"/>
      <c r="AI122" s="49"/>
      <c r="AJ122" s="50"/>
      <c r="AL122" s="49"/>
      <c r="AM122" s="49"/>
      <c r="AN122" s="49"/>
      <c r="AO122" s="49"/>
      <c r="AP122" s="49"/>
      <c r="AQ122" s="49"/>
      <c r="AR122" s="49"/>
      <c r="AS122" s="50"/>
      <c r="AU122" s="49"/>
      <c r="AV122" s="49"/>
      <c r="AW122" s="49"/>
      <c r="AX122" s="49"/>
      <c r="AY122" s="49"/>
      <c r="AZ122" s="49"/>
      <c r="BA122" s="49"/>
      <c r="BB122" s="50"/>
      <c r="BD122" s="49"/>
      <c r="BE122" s="49"/>
      <c r="BF122" s="49"/>
      <c r="BG122" s="49"/>
      <c r="BH122" s="49"/>
      <c r="BI122" s="49"/>
      <c r="BJ122" s="49"/>
      <c r="BK122" s="50"/>
      <c r="BM122" s="49"/>
      <c r="BN122" s="49"/>
      <c r="BO122" s="49"/>
      <c r="BP122" s="49"/>
      <c r="BQ122" s="49"/>
      <c r="BR122" s="49"/>
      <c r="BS122" s="49"/>
      <c r="BT122" s="50"/>
      <c r="BV122" s="49"/>
      <c r="BW122" s="49"/>
      <c r="BX122" s="49"/>
      <c r="BY122" s="49"/>
      <c r="BZ122" s="49"/>
      <c r="CA122" s="49"/>
      <c r="CB122" s="49"/>
      <c r="CC122" s="50"/>
    </row>
    <row r="123" spans="1:81">
      <c r="A123" s="29" t="s">
        <v>55</v>
      </c>
      <c r="B123" s="11">
        <v>0</v>
      </c>
      <c r="C123" s="62">
        <f>'25-26'!C123*1.015</f>
        <v>79584.881249999977</v>
      </c>
      <c r="D123" s="11"/>
      <c r="E123" s="11"/>
      <c r="F123" s="5"/>
      <c r="G123" s="5"/>
      <c r="H123" s="5"/>
      <c r="I123" s="5">
        <f t="shared" ref="I123:I128" si="297">SUM(B123:H123)</f>
        <v>79584.881249999977</v>
      </c>
      <c r="K123" s="11">
        <v>0</v>
      </c>
      <c r="L123" s="62">
        <f>'25-26'!L123*1.015</f>
        <v>84890.539999999979</v>
      </c>
      <c r="M123" s="11"/>
      <c r="N123" s="11"/>
      <c r="O123" s="5"/>
      <c r="P123" s="5"/>
      <c r="Q123" s="5"/>
      <c r="R123" s="5">
        <f t="shared" ref="R123:R128" si="298">SUM(K123:Q123)</f>
        <v>84890.539999999979</v>
      </c>
      <c r="T123" s="11"/>
      <c r="U123" s="62">
        <f>'25-26'!U123*1.015</f>
        <v>61015.075624999983</v>
      </c>
      <c r="V123" s="11"/>
      <c r="W123" s="11"/>
      <c r="X123" s="5"/>
      <c r="Y123" s="5"/>
      <c r="Z123" s="5"/>
      <c r="AA123" s="5">
        <f t="shared" ref="AA123:AA128" si="299">SUM(T123:Z123)</f>
        <v>61015.075624999983</v>
      </c>
      <c r="AC123" s="11">
        <v>0</v>
      </c>
      <c r="AD123" s="62">
        <f>'25-26'!AD123*1.015</f>
        <v>95501.857499999969</v>
      </c>
      <c r="AE123" s="11"/>
      <c r="AF123" s="11"/>
      <c r="AG123" s="5"/>
      <c r="AH123" s="5"/>
      <c r="AI123" s="5"/>
      <c r="AJ123" s="5">
        <f t="shared" ref="AJ123:AJ128" si="300">SUM(AC123:AI123)</f>
        <v>95501.857499999969</v>
      </c>
      <c r="AL123" s="11">
        <v>0</v>
      </c>
      <c r="AM123" s="62"/>
      <c r="AN123" s="11"/>
      <c r="AO123" s="11"/>
      <c r="AP123" s="5"/>
      <c r="AQ123" s="5"/>
      <c r="AR123" s="5"/>
      <c r="AS123" s="5">
        <f t="shared" ref="AS123:AS128" si="301">SUM(AL123:AR123)</f>
        <v>0</v>
      </c>
      <c r="AU123" s="11">
        <v>0</v>
      </c>
      <c r="AV123" s="62">
        <v>0</v>
      </c>
      <c r="AW123" s="11"/>
      <c r="AX123" s="11"/>
      <c r="AY123" s="5"/>
      <c r="AZ123" s="5"/>
      <c r="BA123" s="5"/>
      <c r="BB123" s="5">
        <f t="shared" ref="BB123:BB128" si="302">SUM(AU123:BA123)</f>
        <v>0</v>
      </c>
      <c r="BD123" s="11">
        <v>0</v>
      </c>
      <c r="BE123" s="62">
        <v>0</v>
      </c>
      <c r="BF123" s="11"/>
      <c r="BG123" s="11"/>
      <c r="BH123" s="5"/>
      <c r="BI123" s="5"/>
      <c r="BJ123" s="5"/>
      <c r="BK123" s="5">
        <f t="shared" ref="BK123:BK128" si="303">SUM(BD123:BJ123)</f>
        <v>0</v>
      </c>
      <c r="BM123" s="11">
        <v>0</v>
      </c>
      <c r="BN123" s="62">
        <v>0</v>
      </c>
      <c r="BO123" s="11"/>
      <c r="BP123" s="11"/>
      <c r="BQ123" s="5"/>
      <c r="BR123" s="5"/>
      <c r="BS123" s="5"/>
      <c r="BT123" s="5">
        <f t="shared" ref="BT123:BT128" si="304">SUM(BM123:BS123)</f>
        <v>0</v>
      </c>
      <c r="BV123" s="5">
        <f t="shared" ref="BV123:CA130" si="305">B123+K123+T123+AC123+AL123+AU123+BD123+BM123</f>
        <v>0</v>
      </c>
      <c r="BW123" s="5">
        <f t="shared" si="305"/>
        <v>320992.35437499994</v>
      </c>
      <c r="BX123" s="5">
        <f t="shared" si="305"/>
        <v>0</v>
      </c>
      <c r="BY123" s="5">
        <f t="shared" si="305"/>
        <v>0</v>
      </c>
      <c r="BZ123" s="5">
        <f t="shared" si="305"/>
        <v>0</v>
      </c>
      <c r="CA123" s="5">
        <f t="shared" si="305"/>
        <v>0</v>
      </c>
      <c r="CB123" s="5"/>
      <c r="CC123" s="5">
        <f t="shared" ref="CC123:CC128" si="306">SUM(BV123:CB123)</f>
        <v>320992.35437499994</v>
      </c>
    </row>
    <row r="124" spans="1:81">
      <c r="A124" s="29" t="s">
        <v>56</v>
      </c>
      <c r="B124" s="11">
        <v>0</v>
      </c>
      <c r="C124" s="62">
        <v>0</v>
      </c>
      <c r="D124" s="11"/>
      <c r="E124" s="11"/>
      <c r="F124" s="5"/>
      <c r="G124" s="5"/>
      <c r="H124" s="5"/>
      <c r="I124" s="5">
        <f t="shared" si="297"/>
        <v>0</v>
      </c>
      <c r="K124" s="11">
        <v>0</v>
      </c>
      <c r="L124" s="62">
        <v>0</v>
      </c>
      <c r="M124" s="11"/>
      <c r="N124" s="11"/>
      <c r="O124" s="5"/>
      <c r="P124" s="5"/>
      <c r="Q124" s="5"/>
      <c r="R124" s="5">
        <f t="shared" si="298"/>
        <v>0</v>
      </c>
      <c r="T124" s="11"/>
      <c r="U124" s="62">
        <f>'25-26'!U124*1.015</f>
        <v>56505.265687499988</v>
      </c>
      <c r="V124" s="11"/>
      <c r="W124" s="11"/>
      <c r="X124" s="5"/>
      <c r="Y124" s="5"/>
      <c r="Z124" s="5"/>
      <c r="AA124" s="5">
        <f t="shared" si="299"/>
        <v>56505.265687499988</v>
      </c>
      <c r="AC124" s="11">
        <v>0</v>
      </c>
      <c r="AD124" s="62">
        <f>'25-26'!AD124*1.015</f>
        <v>65790.168499999985</v>
      </c>
      <c r="AE124" s="11"/>
      <c r="AF124" s="11"/>
      <c r="AG124" s="5"/>
      <c r="AH124" s="5"/>
      <c r="AI124" s="5"/>
      <c r="AJ124" s="5">
        <f t="shared" si="300"/>
        <v>65790.168499999985</v>
      </c>
      <c r="AL124" s="11">
        <v>0</v>
      </c>
      <c r="AM124" s="62">
        <v>0</v>
      </c>
      <c r="AN124" s="11"/>
      <c r="AO124" s="11"/>
      <c r="AP124" s="5"/>
      <c r="AQ124" s="5"/>
      <c r="AR124" s="5"/>
      <c r="AS124" s="5">
        <f t="shared" si="301"/>
        <v>0</v>
      </c>
      <c r="AU124" s="11">
        <v>0</v>
      </c>
      <c r="AV124" s="62">
        <v>0</v>
      </c>
      <c r="AW124" s="11"/>
      <c r="AX124" s="11"/>
      <c r="AY124" s="5"/>
      <c r="AZ124" s="5"/>
      <c r="BA124" s="5"/>
      <c r="BB124" s="5">
        <f t="shared" si="302"/>
        <v>0</v>
      </c>
      <c r="BD124" s="11">
        <v>0</v>
      </c>
      <c r="BE124" s="62">
        <v>0</v>
      </c>
      <c r="BF124" s="11"/>
      <c r="BG124" s="11"/>
      <c r="BH124" s="5"/>
      <c r="BI124" s="5"/>
      <c r="BJ124" s="5"/>
      <c r="BK124" s="5">
        <f t="shared" si="303"/>
        <v>0</v>
      </c>
      <c r="BM124" s="11">
        <v>0</v>
      </c>
      <c r="BN124" s="62">
        <v>0</v>
      </c>
      <c r="BO124" s="11"/>
      <c r="BP124" s="11"/>
      <c r="BQ124" s="5"/>
      <c r="BR124" s="5"/>
      <c r="BS124" s="5"/>
      <c r="BT124" s="5">
        <f t="shared" si="304"/>
        <v>0</v>
      </c>
      <c r="BV124" s="5">
        <f t="shared" si="305"/>
        <v>0</v>
      </c>
      <c r="BW124" s="5">
        <f t="shared" si="305"/>
        <v>122295.43418749998</v>
      </c>
      <c r="BX124" s="5">
        <f t="shared" si="305"/>
        <v>0</v>
      </c>
      <c r="BY124" s="5">
        <f t="shared" si="305"/>
        <v>0</v>
      </c>
      <c r="BZ124" s="5">
        <f t="shared" si="305"/>
        <v>0</v>
      </c>
      <c r="CA124" s="5">
        <f t="shared" si="305"/>
        <v>0</v>
      </c>
      <c r="CB124" s="5"/>
      <c r="CC124" s="5">
        <f t="shared" si="306"/>
        <v>122295.43418749998</v>
      </c>
    </row>
    <row r="125" spans="1:81">
      <c r="A125" s="29" t="s">
        <v>57</v>
      </c>
      <c r="B125" s="11">
        <v>0</v>
      </c>
      <c r="C125" s="11">
        <v>0</v>
      </c>
      <c r="D125" s="11"/>
      <c r="E125" s="11"/>
      <c r="F125" s="5"/>
      <c r="G125" s="5"/>
      <c r="H125" s="5"/>
      <c r="I125" s="5">
        <f t="shared" si="297"/>
        <v>0</v>
      </c>
      <c r="K125" s="11">
        <v>0</v>
      </c>
      <c r="L125" s="62">
        <f>'25-26'!L125*1.015</f>
        <v>46424.514062499991</v>
      </c>
      <c r="M125" s="11"/>
      <c r="N125" s="11"/>
      <c r="O125" s="5"/>
      <c r="P125" s="5"/>
      <c r="Q125" s="5"/>
      <c r="R125" s="5">
        <f t="shared" si="298"/>
        <v>46424.514062499991</v>
      </c>
      <c r="T125" s="11"/>
      <c r="U125" s="62">
        <f>'25-26'!U125*1.015</f>
        <v>46424.514062499991</v>
      </c>
      <c r="V125" s="11"/>
      <c r="W125" s="11"/>
      <c r="X125" s="5"/>
      <c r="Y125" s="5"/>
      <c r="Z125" s="5"/>
      <c r="AA125" s="5">
        <f t="shared" si="299"/>
        <v>46424.514062499991</v>
      </c>
      <c r="AC125" s="11">
        <v>0</v>
      </c>
      <c r="AD125" s="62">
        <f>'25-26'!AD125*1.015</f>
        <v>101868.64799999999</v>
      </c>
      <c r="AE125" s="11"/>
      <c r="AF125" s="11"/>
      <c r="AG125" s="5"/>
      <c r="AH125" s="5"/>
      <c r="AI125" s="5"/>
      <c r="AJ125" s="5">
        <f t="shared" si="300"/>
        <v>101868.64799999999</v>
      </c>
      <c r="AL125" s="11">
        <v>0</v>
      </c>
      <c r="AM125" s="62">
        <f>'25-26'!AM125*1.015</f>
        <v>95501.857499999969</v>
      </c>
      <c r="AN125" s="11"/>
      <c r="AO125" s="11"/>
      <c r="AP125" s="5"/>
      <c r="AQ125" s="5"/>
      <c r="AR125" s="5"/>
      <c r="AS125" s="5">
        <f t="shared" si="301"/>
        <v>95501.857499999969</v>
      </c>
      <c r="AU125" s="11">
        <v>0</v>
      </c>
      <c r="AV125" s="11">
        <v>0</v>
      </c>
      <c r="AW125" s="11"/>
      <c r="AX125" s="11"/>
      <c r="AY125" s="5"/>
      <c r="AZ125" s="5"/>
      <c r="BA125" s="5"/>
      <c r="BB125" s="5">
        <f t="shared" si="302"/>
        <v>0</v>
      </c>
      <c r="BD125" s="11">
        <v>0</v>
      </c>
      <c r="BE125" s="11">
        <v>0</v>
      </c>
      <c r="BF125" s="11"/>
      <c r="BG125" s="11"/>
      <c r="BH125" s="5"/>
      <c r="BI125" s="5"/>
      <c r="BJ125" s="5"/>
      <c r="BK125" s="5">
        <f t="shared" si="303"/>
        <v>0</v>
      </c>
      <c r="BM125" s="11">
        <v>0</v>
      </c>
      <c r="BN125" s="11">
        <v>0</v>
      </c>
      <c r="BO125" s="11"/>
      <c r="BP125" s="11"/>
      <c r="BQ125" s="5"/>
      <c r="BR125" s="5"/>
      <c r="BS125" s="5"/>
      <c r="BT125" s="5">
        <f t="shared" si="304"/>
        <v>0</v>
      </c>
      <c r="BV125" s="5">
        <f t="shared" si="305"/>
        <v>0</v>
      </c>
      <c r="BW125" s="5">
        <f t="shared" si="305"/>
        <v>290219.53362499992</v>
      </c>
      <c r="BX125" s="5">
        <f t="shared" si="305"/>
        <v>0</v>
      </c>
      <c r="BY125" s="5">
        <f t="shared" si="305"/>
        <v>0</v>
      </c>
      <c r="BZ125" s="5">
        <f t="shared" si="305"/>
        <v>0</v>
      </c>
      <c r="CA125" s="5">
        <f t="shared" si="305"/>
        <v>0</v>
      </c>
      <c r="CB125" s="5"/>
      <c r="CC125" s="5">
        <f t="shared" si="306"/>
        <v>290219.53362499992</v>
      </c>
    </row>
    <row r="126" spans="1:81">
      <c r="A126" s="29" t="s">
        <v>110</v>
      </c>
      <c r="B126" s="11">
        <v>0</v>
      </c>
      <c r="C126" s="11"/>
      <c r="D126" s="11"/>
      <c r="E126" s="11"/>
      <c r="F126" s="5"/>
      <c r="G126" s="5"/>
      <c r="H126" s="5"/>
      <c r="I126" s="26">
        <f t="shared" si="297"/>
        <v>0</v>
      </c>
      <c r="K126" s="11">
        <v>0</v>
      </c>
      <c r="L126" s="11"/>
      <c r="M126" s="11"/>
      <c r="N126" s="11"/>
      <c r="O126" s="5"/>
      <c r="P126" s="5"/>
      <c r="Q126" s="5"/>
      <c r="R126" s="26">
        <f t="shared" si="298"/>
        <v>0</v>
      </c>
      <c r="T126" s="11"/>
      <c r="U126" s="62">
        <f>'25-26'!U126*1.015</f>
        <v>26528.293749999993</v>
      </c>
      <c r="V126" s="11"/>
      <c r="W126" s="11"/>
      <c r="X126" s="5"/>
      <c r="Y126" s="5"/>
      <c r="Z126" s="5"/>
      <c r="AA126" s="5">
        <f t="shared" si="299"/>
        <v>26528.293749999993</v>
      </c>
      <c r="AC126" s="11">
        <v>0</v>
      </c>
      <c r="AD126" s="11"/>
      <c r="AE126" s="11"/>
      <c r="AF126" s="11"/>
      <c r="AG126" s="5"/>
      <c r="AH126" s="5"/>
      <c r="AI126" s="5"/>
      <c r="AJ126" s="26">
        <f t="shared" si="300"/>
        <v>0</v>
      </c>
      <c r="AL126" s="11">
        <v>0</v>
      </c>
      <c r="AM126" s="62">
        <f>'25-26'!AM126*1.015</f>
        <v>50934.323999999993</v>
      </c>
      <c r="AN126" s="11"/>
      <c r="AO126" s="11"/>
      <c r="AP126" s="5"/>
      <c r="AQ126" s="5"/>
      <c r="AR126" s="5"/>
      <c r="AS126" s="5">
        <f t="shared" si="301"/>
        <v>50934.323999999993</v>
      </c>
      <c r="AU126" s="11">
        <v>0</v>
      </c>
      <c r="AV126" s="11"/>
      <c r="AW126" s="11"/>
      <c r="AX126" s="11"/>
      <c r="AY126" s="5"/>
      <c r="AZ126" s="5"/>
      <c r="BA126" s="5"/>
      <c r="BB126" s="26">
        <f t="shared" si="302"/>
        <v>0</v>
      </c>
      <c r="BD126" s="11">
        <v>0</v>
      </c>
      <c r="BE126" s="11">
        <v>0</v>
      </c>
      <c r="BF126" s="11"/>
      <c r="BG126" s="11"/>
      <c r="BH126" s="5"/>
      <c r="BI126" s="5"/>
      <c r="BJ126" s="5"/>
      <c r="BK126" s="26">
        <f t="shared" si="303"/>
        <v>0</v>
      </c>
      <c r="BM126" s="11">
        <v>0</v>
      </c>
      <c r="BN126" s="11"/>
      <c r="BO126" s="11"/>
      <c r="BP126" s="11"/>
      <c r="BQ126" s="5"/>
      <c r="BR126" s="5"/>
      <c r="BS126" s="5"/>
      <c r="BT126" s="26">
        <f t="shared" si="304"/>
        <v>0</v>
      </c>
      <c r="BV126" s="5">
        <f t="shared" si="305"/>
        <v>0</v>
      </c>
      <c r="BW126" s="5">
        <f t="shared" si="305"/>
        <v>77462.61774999999</v>
      </c>
      <c r="BX126" s="5">
        <f t="shared" si="305"/>
        <v>0</v>
      </c>
      <c r="BY126" s="5">
        <f t="shared" si="305"/>
        <v>0</v>
      </c>
      <c r="BZ126" s="5">
        <f t="shared" si="305"/>
        <v>0</v>
      </c>
      <c r="CA126" s="5">
        <f t="shared" si="305"/>
        <v>0</v>
      </c>
      <c r="CB126" s="5"/>
      <c r="CC126" s="26">
        <f t="shared" si="306"/>
        <v>77462.61774999999</v>
      </c>
    </row>
    <row r="127" spans="1:81">
      <c r="A127" s="29" t="s">
        <v>59</v>
      </c>
      <c r="B127" s="11">
        <v>0</v>
      </c>
      <c r="C127" s="11"/>
      <c r="D127" s="11"/>
      <c r="E127" s="11"/>
      <c r="F127" s="5"/>
      <c r="G127" s="5"/>
      <c r="H127" s="5"/>
      <c r="I127" s="5">
        <f t="shared" si="297"/>
        <v>0</v>
      </c>
      <c r="K127" s="11">
        <v>0</v>
      </c>
      <c r="L127" s="62">
        <f>'25-26'!L127*1.015</f>
        <v>33956.215999999993</v>
      </c>
      <c r="M127" s="11"/>
      <c r="N127" s="11"/>
      <c r="O127" s="5"/>
      <c r="P127" s="5"/>
      <c r="Q127" s="5"/>
      <c r="R127" s="5">
        <f t="shared" si="298"/>
        <v>33956.215999999993</v>
      </c>
      <c r="T127" s="11"/>
      <c r="U127" s="62">
        <f>'25-26'!U127*1.015</f>
        <v>33956.215999999993</v>
      </c>
      <c r="V127" s="11"/>
      <c r="W127" s="11"/>
      <c r="X127" s="5"/>
      <c r="Y127" s="5"/>
      <c r="Z127" s="5"/>
      <c r="AA127" s="5">
        <f t="shared" si="299"/>
        <v>33956.215999999993</v>
      </c>
      <c r="AC127" s="11">
        <v>0</v>
      </c>
      <c r="AD127" s="62">
        <f>'25-26'!AD127*1.015</f>
        <v>77674.844099999973</v>
      </c>
      <c r="AE127" s="11"/>
      <c r="AF127" s="11"/>
      <c r="AG127" s="5"/>
      <c r="AH127" s="5"/>
      <c r="AI127" s="5"/>
      <c r="AJ127" s="5">
        <f t="shared" si="300"/>
        <v>77674.844099999973</v>
      </c>
      <c r="AL127" s="11">
        <v>0</v>
      </c>
      <c r="AM127" s="62">
        <f>'25-26'!AM127*1.015</f>
        <v>86588.350799999971</v>
      </c>
      <c r="AN127" s="11"/>
      <c r="AO127" s="11"/>
      <c r="AP127" s="5"/>
      <c r="AQ127" s="5"/>
      <c r="AR127" s="5"/>
      <c r="AS127" s="5">
        <f t="shared" si="301"/>
        <v>86588.350799999971</v>
      </c>
      <c r="AU127" s="11">
        <v>0</v>
      </c>
      <c r="AV127" s="11"/>
      <c r="AW127" s="11"/>
      <c r="AX127" s="11"/>
      <c r="AY127" s="5"/>
      <c r="AZ127" s="5"/>
      <c r="BA127" s="5"/>
      <c r="BB127" s="5">
        <f t="shared" si="302"/>
        <v>0</v>
      </c>
      <c r="BD127" s="11">
        <v>0</v>
      </c>
      <c r="BE127" s="11">
        <v>0</v>
      </c>
      <c r="BF127" s="11"/>
      <c r="BG127" s="11"/>
      <c r="BH127" s="5"/>
      <c r="BI127" s="5"/>
      <c r="BJ127" s="5"/>
      <c r="BK127" s="5">
        <f t="shared" si="303"/>
        <v>0</v>
      </c>
      <c r="BM127" s="11">
        <v>0</v>
      </c>
      <c r="BN127" s="11"/>
      <c r="BO127" s="11"/>
      <c r="BP127" s="11"/>
      <c r="BQ127" s="5"/>
      <c r="BR127" s="5"/>
      <c r="BS127" s="5"/>
      <c r="BT127" s="5">
        <f t="shared" si="304"/>
        <v>0</v>
      </c>
      <c r="BV127" s="5">
        <f t="shared" si="305"/>
        <v>0</v>
      </c>
      <c r="BW127" s="5">
        <f t="shared" si="305"/>
        <v>232175.62689999992</v>
      </c>
      <c r="BX127" s="5">
        <f t="shared" si="305"/>
        <v>0</v>
      </c>
      <c r="BY127" s="5">
        <f t="shared" si="305"/>
        <v>0</v>
      </c>
      <c r="BZ127" s="5">
        <f t="shared" si="305"/>
        <v>0</v>
      </c>
      <c r="CA127" s="5">
        <f t="shared" si="305"/>
        <v>0</v>
      </c>
      <c r="CB127" s="5"/>
      <c r="CC127" s="5">
        <f t="shared" si="306"/>
        <v>232175.62689999992</v>
      </c>
    </row>
    <row r="128" spans="1:81">
      <c r="A128" s="29" t="s">
        <v>111</v>
      </c>
      <c r="B128" s="62">
        <f>'25-26'!B128*1.015</f>
        <v>31421.862499999992</v>
      </c>
      <c r="C128" s="11"/>
      <c r="D128" s="11"/>
      <c r="E128" s="11"/>
      <c r="F128" s="5"/>
      <c r="G128" s="5"/>
      <c r="H128" s="5"/>
      <c r="I128" s="5">
        <f t="shared" si="297"/>
        <v>31421.862499999992</v>
      </c>
      <c r="K128" s="62">
        <f>'25-26'!K128*1.015</f>
        <v>65790.168499999985</v>
      </c>
      <c r="L128" s="11"/>
      <c r="M128" s="11">
        <v>0</v>
      </c>
      <c r="N128" s="11"/>
      <c r="O128" s="5"/>
      <c r="P128" s="5"/>
      <c r="Q128" s="5"/>
      <c r="R128" s="5">
        <f t="shared" si="298"/>
        <v>65790.168499999985</v>
      </c>
      <c r="T128" s="62">
        <f>'25-26'!T128*1.015</f>
        <v>131868.79999999996</v>
      </c>
      <c r="U128" s="11"/>
      <c r="V128" s="11"/>
      <c r="W128" s="11"/>
      <c r="X128" s="5"/>
      <c r="Y128" s="5"/>
      <c r="Z128" s="5"/>
      <c r="AA128" s="5">
        <f t="shared" si="299"/>
        <v>131868.79999999996</v>
      </c>
      <c r="AC128" s="62">
        <f>'25-26'!AC128*1.015</f>
        <v>65790.168499999985</v>
      </c>
      <c r="AD128" s="11"/>
      <c r="AE128" s="11"/>
      <c r="AF128" s="11"/>
      <c r="AG128" s="5"/>
      <c r="AH128" s="5"/>
      <c r="AI128" s="5"/>
      <c r="AJ128" s="5">
        <f t="shared" si="300"/>
        <v>65790.168499999985</v>
      </c>
      <c r="AL128" s="62">
        <f>'25-26'!AL128*1.015</f>
        <v>131868.79999999996</v>
      </c>
      <c r="AM128" s="11"/>
      <c r="AN128" s="11"/>
      <c r="AO128" s="11"/>
      <c r="AP128" s="5"/>
      <c r="AQ128" s="5"/>
      <c r="AR128" s="5"/>
      <c r="AS128" s="5">
        <f t="shared" si="301"/>
        <v>131868.79999999996</v>
      </c>
      <c r="AU128" s="62">
        <v>0</v>
      </c>
      <c r="AV128" s="11"/>
      <c r="AW128" s="11"/>
      <c r="AX128" s="11"/>
      <c r="AY128" s="5"/>
      <c r="AZ128" s="5"/>
      <c r="BA128" s="5"/>
      <c r="BB128" s="5">
        <f t="shared" si="302"/>
        <v>0</v>
      </c>
      <c r="BD128" s="62">
        <v>0</v>
      </c>
      <c r="BE128" s="11"/>
      <c r="BF128" s="11"/>
      <c r="BG128" s="11"/>
      <c r="BH128" s="5"/>
      <c r="BI128" s="5"/>
      <c r="BJ128" s="5"/>
      <c r="BK128" s="5">
        <f t="shared" si="303"/>
        <v>0</v>
      </c>
      <c r="BM128" s="62">
        <v>0</v>
      </c>
      <c r="BN128" s="11"/>
      <c r="BO128" s="11"/>
      <c r="BP128" s="11"/>
      <c r="BQ128" s="5"/>
      <c r="BR128" s="5"/>
      <c r="BS128" s="5"/>
      <c r="BT128" s="5">
        <f t="shared" si="304"/>
        <v>0</v>
      </c>
      <c r="BV128" s="5">
        <f t="shared" si="305"/>
        <v>426739.79949999985</v>
      </c>
      <c r="BW128" s="5">
        <f t="shared" si="305"/>
        <v>0</v>
      </c>
      <c r="BX128" s="5">
        <f t="shared" si="305"/>
        <v>0</v>
      </c>
      <c r="BY128" s="5">
        <f t="shared" si="305"/>
        <v>0</v>
      </c>
      <c r="BZ128" s="5">
        <f t="shared" si="305"/>
        <v>0</v>
      </c>
      <c r="CA128" s="5">
        <f t="shared" si="305"/>
        <v>0</v>
      </c>
      <c r="CB128" s="5"/>
      <c r="CC128" s="5">
        <f t="shared" si="306"/>
        <v>426739.79949999985</v>
      </c>
    </row>
    <row r="129" spans="1:81">
      <c r="A129" s="29" t="s">
        <v>112</v>
      </c>
      <c r="B129" s="11">
        <f>(12.5*6*185)*B52</f>
        <v>0</v>
      </c>
      <c r="C129" s="11">
        <f>(12.5*6*185)*C52</f>
        <v>0</v>
      </c>
      <c r="D129" s="62">
        <v>0</v>
      </c>
      <c r="E129" s="62"/>
      <c r="F129" s="5"/>
      <c r="G129" s="5"/>
      <c r="H129" s="5"/>
      <c r="I129" s="5">
        <f>SUM(B129:H129)</f>
        <v>0</v>
      </c>
      <c r="K129" s="11">
        <f>(12.5*6*185)*K52</f>
        <v>0</v>
      </c>
      <c r="L129" s="11">
        <f>(12.5*6*185)*L52</f>
        <v>0</v>
      </c>
      <c r="M129" s="62"/>
      <c r="N129" s="62"/>
      <c r="O129" s="5"/>
      <c r="P129" s="5"/>
      <c r="Q129" s="5"/>
      <c r="R129" s="5">
        <f>SUM(K129:Q129)</f>
        <v>0</v>
      </c>
      <c r="T129" s="62">
        <f>'25-26'!T129*1.015</f>
        <v>63667.904999999984</v>
      </c>
      <c r="U129" s="11"/>
      <c r="V129" s="62"/>
      <c r="W129" s="62"/>
      <c r="X129" s="5"/>
      <c r="Y129" s="5"/>
      <c r="Z129" s="5"/>
      <c r="AA129" s="5">
        <f>SUM(T129:Z129)</f>
        <v>63667.904999999984</v>
      </c>
      <c r="AC129" s="62">
        <f>'25-26'!AC129*1.015</f>
        <v>58362.246249999989</v>
      </c>
      <c r="AD129" s="11">
        <f>(12.5*6*185)*AD52</f>
        <v>0</v>
      </c>
      <c r="AE129" s="62">
        <v>0</v>
      </c>
      <c r="AF129" s="62"/>
      <c r="AG129" s="5"/>
      <c r="AH129" s="5"/>
      <c r="AI129" s="5"/>
      <c r="AJ129" s="5">
        <f>SUM(AC129:AI129)</f>
        <v>58362.246249999989</v>
      </c>
      <c r="AL129" s="62">
        <f>'25-26'!AL129*1.015</f>
        <v>115385.19999999997</v>
      </c>
      <c r="AM129" s="11">
        <f>(12.5*6*185)*AM52</f>
        <v>0</v>
      </c>
      <c r="AN129" s="62">
        <v>0</v>
      </c>
      <c r="AO129" s="62"/>
      <c r="AP129" s="5"/>
      <c r="AQ129" s="5"/>
      <c r="AR129" s="5"/>
      <c r="AS129" s="5">
        <f>SUM(AL129:AR129)</f>
        <v>115385.19999999997</v>
      </c>
      <c r="AU129" s="11">
        <f>(12.5*6*185)*AU52</f>
        <v>0</v>
      </c>
      <c r="AV129" s="11">
        <f>(12.5*6*185)*AV52</f>
        <v>0</v>
      </c>
      <c r="AW129" s="62">
        <v>0</v>
      </c>
      <c r="AX129" s="62"/>
      <c r="AY129" s="5"/>
      <c r="AZ129" s="5"/>
      <c r="BA129" s="5"/>
      <c r="BB129" s="5">
        <f>SUM(AU129:BA129)</f>
        <v>0</v>
      </c>
      <c r="BD129" s="11">
        <f>(12.5*6*185)*BD52</f>
        <v>0</v>
      </c>
      <c r="BE129" s="11">
        <f>(12.5*6*185)*BE52</f>
        <v>0</v>
      </c>
      <c r="BF129" s="62">
        <v>0</v>
      </c>
      <c r="BG129" s="62"/>
      <c r="BH129" s="5"/>
      <c r="BI129" s="5"/>
      <c r="BJ129" s="5"/>
      <c r="BK129" s="5">
        <f>SUM(BD129:BJ129)</f>
        <v>0</v>
      </c>
      <c r="BM129" s="11">
        <f>(12.5*6*185)*BM52</f>
        <v>0</v>
      </c>
      <c r="BN129" s="11">
        <f>(12.5*6*185)*BN52</f>
        <v>0</v>
      </c>
      <c r="BO129" s="62">
        <v>0</v>
      </c>
      <c r="BP129" s="62"/>
      <c r="BQ129" s="5"/>
      <c r="BR129" s="5"/>
      <c r="BS129" s="5"/>
      <c r="BT129" s="5">
        <f>SUM(BM129:BS129)</f>
        <v>0</v>
      </c>
      <c r="BV129" s="5">
        <f t="shared" si="305"/>
        <v>237415.35124999995</v>
      </c>
      <c r="BW129" s="5">
        <f t="shared" si="305"/>
        <v>0</v>
      </c>
      <c r="BX129" s="5">
        <f t="shared" si="305"/>
        <v>0</v>
      </c>
      <c r="BY129" s="5">
        <f t="shared" si="305"/>
        <v>0</v>
      </c>
      <c r="BZ129" s="5">
        <f t="shared" si="305"/>
        <v>0</v>
      </c>
      <c r="CA129" s="5">
        <f t="shared" si="305"/>
        <v>0</v>
      </c>
      <c r="CB129" s="5"/>
      <c r="CC129" s="5">
        <f>SUM(BV129:CB129)</f>
        <v>237415.35124999995</v>
      </c>
    </row>
    <row r="130" spans="1:81">
      <c r="A130" s="29" t="s">
        <v>60</v>
      </c>
      <c r="B130" s="67">
        <f>175*180*B59</f>
        <v>31500</v>
      </c>
      <c r="C130" s="67">
        <f t="shared" ref="C130:H130" si="307">170*180*C59</f>
        <v>0</v>
      </c>
      <c r="D130" s="67">
        <f t="shared" si="307"/>
        <v>0</v>
      </c>
      <c r="E130" s="67">
        <f t="shared" si="307"/>
        <v>0</v>
      </c>
      <c r="F130" s="67">
        <f t="shared" si="307"/>
        <v>0</v>
      </c>
      <c r="G130" s="67">
        <f t="shared" si="307"/>
        <v>0</v>
      </c>
      <c r="H130" s="67">
        <f t="shared" si="307"/>
        <v>0</v>
      </c>
      <c r="I130" s="5">
        <f>SUM(B130:H130)</f>
        <v>31500</v>
      </c>
      <c r="K130" s="67">
        <f>175*180*K59</f>
        <v>31500</v>
      </c>
      <c r="L130" s="67">
        <f t="shared" ref="L130:Q130" si="308">170*180*L59</f>
        <v>0</v>
      </c>
      <c r="M130" s="67">
        <f t="shared" si="308"/>
        <v>0</v>
      </c>
      <c r="N130" s="67">
        <f t="shared" si="308"/>
        <v>0</v>
      </c>
      <c r="O130" s="67">
        <f t="shared" si="308"/>
        <v>0</v>
      </c>
      <c r="P130" s="67">
        <f t="shared" si="308"/>
        <v>0</v>
      </c>
      <c r="Q130" s="67">
        <f t="shared" si="308"/>
        <v>0</v>
      </c>
      <c r="R130" s="5">
        <f>SUM(K130:Q130)</f>
        <v>31500</v>
      </c>
      <c r="T130" s="35">
        <f>175*180*T59</f>
        <v>63000</v>
      </c>
      <c r="U130" s="35">
        <f t="shared" ref="U130:Z130" si="309">170*180*U59</f>
        <v>0</v>
      </c>
      <c r="V130" s="35">
        <f t="shared" si="309"/>
        <v>0</v>
      </c>
      <c r="W130" s="35">
        <f t="shared" si="309"/>
        <v>0</v>
      </c>
      <c r="X130" s="35">
        <f t="shared" si="309"/>
        <v>0</v>
      </c>
      <c r="Y130" s="35">
        <f t="shared" si="309"/>
        <v>0</v>
      </c>
      <c r="Z130" s="35">
        <f t="shared" si="309"/>
        <v>0</v>
      </c>
      <c r="AA130" s="5">
        <f>SUM(T130:Z130)</f>
        <v>63000</v>
      </c>
      <c r="AC130" s="67">
        <f>175*180*AC59</f>
        <v>94500</v>
      </c>
      <c r="AD130" s="67">
        <f t="shared" ref="AD130:AI130" si="310">170*180*AD59</f>
        <v>0</v>
      </c>
      <c r="AE130" s="67">
        <f t="shared" si="310"/>
        <v>0</v>
      </c>
      <c r="AF130" s="67">
        <f t="shared" si="310"/>
        <v>0</v>
      </c>
      <c r="AG130" s="67">
        <f t="shared" si="310"/>
        <v>0</v>
      </c>
      <c r="AH130" s="67">
        <f t="shared" si="310"/>
        <v>0</v>
      </c>
      <c r="AI130" s="67">
        <f t="shared" si="310"/>
        <v>0</v>
      </c>
      <c r="AJ130" s="5">
        <f>SUM(AC130:AI130)</f>
        <v>94500</v>
      </c>
      <c r="AL130" s="67">
        <f>175*180*AL59</f>
        <v>126000</v>
      </c>
      <c r="AM130" s="67">
        <f t="shared" ref="AM130:AR130" si="311">170*180*AM59</f>
        <v>0</v>
      </c>
      <c r="AN130" s="67">
        <f t="shared" si="311"/>
        <v>0</v>
      </c>
      <c r="AO130" s="67">
        <f t="shared" si="311"/>
        <v>0</v>
      </c>
      <c r="AP130" s="67">
        <f t="shared" si="311"/>
        <v>0</v>
      </c>
      <c r="AQ130" s="67">
        <f t="shared" si="311"/>
        <v>0</v>
      </c>
      <c r="AR130" s="67">
        <f t="shared" si="311"/>
        <v>0</v>
      </c>
      <c r="AS130" s="5">
        <f>SUM(AL130:AR130)</f>
        <v>126000</v>
      </c>
      <c r="AU130" s="67">
        <f>150*180*AU59</f>
        <v>0</v>
      </c>
      <c r="AV130" s="67">
        <f t="shared" ref="AV130:AX130" si="312">150*180*AV59</f>
        <v>0</v>
      </c>
      <c r="AW130" s="67">
        <f t="shared" si="312"/>
        <v>0</v>
      </c>
      <c r="AX130" s="67">
        <f t="shared" si="312"/>
        <v>0</v>
      </c>
      <c r="AY130" s="5"/>
      <c r="AZ130" s="5"/>
      <c r="BA130" s="5"/>
      <c r="BB130" s="5">
        <f>SUM(AU130:BA130)</f>
        <v>0</v>
      </c>
      <c r="BD130" s="67">
        <f>150*180*BD59</f>
        <v>0</v>
      </c>
      <c r="BE130" s="67">
        <f t="shared" ref="BE130:BG130" si="313">150*180*BE59</f>
        <v>0</v>
      </c>
      <c r="BF130" s="67">
        <f t="shared" si="313"/>
        <v>0</v>
      </c>
      <c r="BG130" s="67">
        <f t="shared" si="313"/>
        <v>0</v>
      </c>
      <c r="BH130" s="5"/>
      <c r="BI130" s="5"/>
      <c r="BJ130" s="5"/>
      <c r="BK130" s="5">
        <f>SUM(BD130:BJ130)</f>
        <v>0</v>
      </c>
      <c r="BM130" s="67">
        <f>150*180*BM59</f>
        <v>0</v>
      </c>
      <c r="BN130" s="67">
        <f t="shared" ref="BN130:BP130" si="314">150*180*BN59</f>
        <v>0</v>
      </c>
      <c r="BO130" s="67">
        <f t="shared" si="314"/>
        <v>0</v>
      </c>
      <c r="BP130" s="67">
        <f t="shared" si="314"/>
        <v>0</v>
      </c>
      <c r="BQ130" s="5"/>
      <c r="BR130" s="5"/>
      <c r="BS130" s="5"/>
      <c r="BT130" s="5">
        <f>SUM(BM130:BS130)</f>
        <v>0</v>
      </c>
      <c r="BV130" s="5">
        <f t="shared" si="305"/>
        <v>346500</v>
      </c>
      <c r="BW130" s="5">
        <f t="shared" si="305"/>
        <v>0</v>
      </c>
      <c r="BX130" s="5">
        <f t="shared" si="305"/>
        <v>0</v>
      </c>
      <c r="BY130" s="5">
        <f t="shared" si="305"/>
        <v>0</v>
      </c>
      <c r="BZ130" s="5">
        <f t="shared" si="305"/>
        <v>0</v>
      </c>
      <c r="CA130" s="5">
        <f t="shared" si="305"/>
        <v>0</v>
      </c>
      <c r="CB130" s="5"/>
      <c r="CC130" s="5">
        <f>SUM(BV130:CB130)</f>
        <v>346500</v>
      </c>
    </row>
    <row r="131" spans="1:81" ht="15">
      <c r="A131" s="68" t="s">
        <v>113</v>
      </c>
      <c r="B131" s="69">
        <f>SUM(B123:B130)</f>
        <v>62921.862499999988</v>
      </c>
      <c r="C131" s="69">
        <f t="shared" ref="C131:I131" si="315">SUM(C123:C130)</f>
        <v>79584.881249999977</v>
      </c>
      <c r="D131" s="69">
        <f t="shared" si="315"/>
        <v>0</v>
      </c>
      <c r="E131" s="69">
        <f t="shared" si="315"/>
        <v>0</v>
      </c>
      <c r="F131" s="69">
        <f t="shared" si="315"/>
        <v>0</v>
      </c>
      <c r="G131" s="69">
        <f t="shared" si="315"/>
        <v>0</v>
      </c>
      <c r="H131" s="69">
        <f t="shared" si="315"/>
        <v>0</v>
      </c>
      <c r="I131" s="69">
        <f t="shared" si="315"/>
        <v>142506.74374999997</v>
      </c>
      <c r="J131" s="7"/>
      <c r="K131" s="69">
        <f>SUM(K123:K130)</f>
        <v>97290.168499999985</v>
      </c>
      <c r="L131" s="69">
        <f t="shared" ref="L131:R131" si="316">SUM(L123:L130)</f>
        <v>165271.27006249994</v>
      </c>
      <c r="M131" s="69">
        <f t="shared" si="316"/>
        <v>0</v>
      </c>
      <c r="N131" s="69"/>
      <c r="O131" s="69">
        <f t="shared" si="316"/>
        <v>0</v>
      </c>
      <c r="P131" s="69">
        <f t="shared" si="316"/>
        <v>0</v>
      </c>
      <c r="Q131" s="69">
        <f t="shared" si="316"/>
        <v>0</v>
      </c>
      <c r="R131" s="69">
        <f t="shared" si="316"/>
        <v>262561.43856249994</v>
      </c>
      <c r="T131" s="69">
        <f>SUM(T123:T130)</f>
        <v>258536.70499999996</v>
      </c>
      <c r="U131" s="69">
        <f t="shared" ref="U131:AA131" si="317">SUM(U123:U130)</f>
        <v>224429.36512499995</v>
      </c>
      <c r="V131" s="69">
        <f t="shared" si="317"/>
        <v>0</v>
      </c>
      <c r="W131" s="69"/>
      <c r="X131" s="69">
        <f t="shared" si="317"/>
        <v>0</v>
      </c>
      <c r="Y131" s="69">
        <f t="shared" si="317"/>
        <v>0</v>
      </c>
      <c r="Z131" s="69">
        <f t="shared" si="317"/>
        <v>0</v>
      </c>
      <c r="AA131" s="69">
        <f t="shared" si="317"/>
        <v>482966.07012499991</v>
      </c>
      <c r="AC131" s="69">
        <f>SUM(AC123:AC130)</f>
        <v>218652.41474999997</v>
      </c>
      <c r="AD131" s="69">
        <f t="shared" ref="AD131:AJ131" si="318">SUM(AD123:AD130)</f>
        <v>340835.51809999993</v>
      </c>
      <c r="AE131" s="69">
        <f t="shared" si="318"/>
        <v>0</v>
      </c>
      <c r="AF131" s="69">
        <f t="shared" si="318"/>
        <v>0</v>
      </c>
      <c r="AG131" s="69">
        <f t="shared" si="318"/>
        <v>0</v>
      </c>
      <c r="AH131" s="69">
        <f t="shared" si="318"/>
        <v>0</v>
      </c>
      <c r="AI131" s="69">
        <f t="shared" si="318"/>
        <v>0</v>
      </c>
      <c r="AJ131" s="69">
        <f t="shared" si="318"/>
        <v>559487.93284999987</v>
      </c>
      <c r="AL131" s="69">
        <f>SUM(AL123:AL130)</f>
        <v>373253.99999999994</v>
      </c>
      <c r="AM131" s="69">
        <f t="shared" ref="AM131:AS131" si="319">SUM(AM123:AM130)</f>
        <v>233024.5322999999</v>
      </c>
      <c r="AN131" s="69">
        <f t="shared" si="319"/>
        <v>0</v>
      </c>
      <c r="AO131" s="69">
        <f t="shared" si="319"/>
        <v>0</v>
      </c>
      <c r="AP131" s="69">
        <f t="shared" si="319"/>
        <v>0</v>
      </c>
      <c r="AQ131" s="69">
        <f t="shared" si="319"/>
        <v>0</v>
      </c>
      <c r="AR131" s="69">
        <f t="shared" si="319"/>
        <v>0</v>
      </c>
      <c r="AS131" s="69">
        <f t="shared" si="319"/>
        <v>606278.53229999985</v>
      </c>
      <c r="AU131" s="69">
        <f>SUM(AU123:AU130)</f>
        <v>0</v>
      </c>
      <c r="AV131" s="69">
        <f t="shared" ref="AV131:BB131" si="320">SUM(AV123:AV130)</f>
        <v>0</v>
      </c>
      <c r="AW131" s="69">
        <f t="shared" si="320"/>
        <v>0</v>
      </c>
      <c r="AX131" s="69">
        <f t="shared" si="320"/>
        <v>0</v>
      </c>
      <c r="AY131" s="69">
        <f t="shared" si="320"/>
        <v>0</v>
      </c>
      <c r="AZ131" s="69">
        <f t="shared" si="320"/>
        <v>0</v>
      </c>
      <c r="BA131" s="69">
        <f t="shared" si="320"/>
        <v>0</v>
      </c>
      <c r="BB131" s="69">
        <f t="shared" si="320"/>
        <v>0</v>
      </c>
      <c r="BD131" s="69">
        <f>SUM(BD123:BD130)</f>
        <v>0</v>
      </c>
      <c r="BE131" s="69">
        <f t="shared" ref="BE131:BK131" si="321">SUM(BE123:BE130)</f>
        <v>0</v>
      </c>
      <c r="BF131" s="69">
        <f t="shared" si="321"/>
        <v>0</v>
      </c>
      <c r="BG131" s="69">
        <f t="shared" si="321"/>
        <v>0</v>
      </c>
      <c r="BH131" s="69">
        <f t="shared" si="321"/>
        <v>0</v>
      </c>
      <c r="BI131" s="69">
        <f t="shared" si="321"/>
        <v>0</v>
      </c>
      <c r="BJ131" s="69">
        <f t="shared" si="321"/>
        <v>0</v>
      </c>
      <c r="BK131" s="69">
        <f t="shared" si="321"/>
        <v>0</v>
      </c>
      <c r="BM131" s="69">
        <f>SUM(BM123:BM130)</f>
        <v>0</v>
      </c>
      <c r="BN131" s="69">
        <f t="shared" ref="BN131:BT131" si="322">SUM(BN123:BN130)</f>
        <v>0</v>
      </c>
      <c r="BO131" s="69">
        <f t="shared" si="322"/>
        <v>0</v>
      </c>
      <c r="BP131" s="69">
        <f t="shared" si="322"/>
        <v>0</v>
      </c>
      <c r="BQ131" s="69">
        <f t="shared" si="322"/>
        <v>0</v>
      </c>
      <c r="BR131" s="69">
        <f t="shared" si="322"/>
        <v>0</v>
      </c>
      <c r="BS131" s="69">
        <f t="shared" si="322"/>
        <v>0</v>
      </c>
      <c r="BT131" s="69">
        <f t="shared" si="322"/>
        <v>0</v>
      </c>
      <c r="BV131" s="69">
        <f>SUM(BV123:BV130)</f>
        <v>1010655.1507499998</v>
      </c>
      <c r="BW131" s="69">
        <f t="shared" ref="BW131:CC131" si="323">SUM(BW123:BW130)</f>
        <v>1043145.5668374997</v>
      </c>
      <c r="BX131" s="69">
        <f t="shared" si="323"/>
        <v>0</v>
      </c>
      <c r="BY131" s="69">
        <f t="shared" si="323"/>
        <v>0</v>
      </c>
      <c r="BZ131" s="69">
        <f t="shared" si="323"/>
        <v>0</v>
      </c>
      <c r="CA131" s="69">
        <f t="shared" si="323"/>
        <v>0</v>
      </c>
      <c r="CB131" s="69">
        <f t="shared" si="323"/>
        <v>0</v>
      </c>
      <c r="CC131" s="69">
        <f t="shared" si="323"/>
        <v>2053800.7175874994</v>
      </c>
    </row>
    <row r="132" spans="1:81" ht="15">
      <c r="A132" s="70" t="s">
        <v>114</v>
      </c>
      <c r="B132" s="71">
        <f t="shared" ref="B132:H132" si="324">B121+B131</f>
        <v>3694282.3901329995</v>
      </c>
      <c r="C132" s="71">
        <f t="shared" si="324"/>
        <v>507664.88124999998</v>
      </c>
      <c r="D132" s="71">
        <f t="shared" si="324"/>
        <v>63360</v>
      </c>
      <c r="E132" s="71">
        <f t="shared" si="324"/>
        <v>0</v>
      </c>
      <c r="F132" s="71">
        <f t="shared" si="324"/>
        <v>0</v>
      </c>
      <c r="G132" s="71">
        <f t="shared" si="324"/>
        <v>0</v>
      </c>
      <c r="H132" s="71">
        <f t="shared" si="324"/>
        <v>0</v>
      </c>
      <c r="I132" s="71">
        <f>I121+I131</f>
        <v>4265307.2713829996</v>
      </c>
      <c r="J132" s="7"/>
      <c r="K132" s="71">
        <f t="shared" ref="K132:Q132" si="325">K121+K131</f>
        <v>3982799.9532367499</v>
      </c>
      <c r="L132" s="71">
        <f t="shared" si="325"/>
        <v>523971.27006249991</v>
      </c>
      <c r="M132" s="71">
        <f t="shared" si="325"/>
        <v>70120.26999999999</v>
      </c>
      <c r="N132" s="71"/>
      <c r="O132" s="71">
        <f t="shared" si="325"/>
        <v>0</v>
      </c>
      <c r="P132" s="71">
        <f t="shared" si="325"/>
        <v>0</v>
      </c>
      <c r="Q132" s="71">
        <f t="shared" si="325"/>
        <v>0</v>
      </c>
      <c r="R132" s="71">
        <f>R121+R131</f>
        <v>4576891.4932992496</v>
      </c>
      <c r="T132" s="71">
        <f t="shared" ref="T132:Z132" si="326">T121+T131</f>
        <v>4851060.7036459995</v>
      </c>
      <c r="U132" s="71">
        <f t="shared" si="326"/>
        <v>682029.36512500001</v>
      </c>
      <c r="V132" s="71">
        <f t="shared" si="326"/>
        <v>63360</v>
      </c>
      <c r="W132" s="71"/>
      <c r="X132" s="71">
        <f t="shared" si="326"/>
        <v>0</v>
      </c>
      <c r="Y132" s="71">
        <f t="shared" si="326"/>
        <v>0</v>
      </c>
      <c r="Z132" s="71">
        <f t="shared" si="326"/>
        <v>0</v>
      </c>
      <c r="AA132" s="71">
        <f>AA121+AA131</f>
        <v>5596450.0687709991</v>
      </c>
      <c r="AC132" s="71">
        <f t="shared" ref="AC132:AI132" si="327">AC121+AC131</f>
        <v>9562492.6304000001</v>
      </c>
      <c r="AD132" s="71">
        <f t="shared" si="327"/>
        <v>1594815.5181</v>
      </c>
      <c r="AE132" s="71">
        <f t="shared" si="327"/>
        <v>166860</v>
      </c>
      <c r="AF132" s="71">
        <f t="shared" si="327"/>
        <v>0</v>
      </c>
      <c r="AG132" s="71">
        <f t="shared" si="327"/>
        <v>0</v>
      </c>
      <c r="AH132" s="71">
        <f t="shared" si="327"/>
        <v>0</v>
      </c>
      <c r="AI132" s="71">
        <f t="shared" si="327"/>
        <v>0</v>
      </c>
      <c r="AJ132" s="71">
        <f>AJ121+AJ131</f>
        <v>11324168.148499997</v>
      </c>
      <c r="AL132" s="71">
        <f t="shared" ref="AL132:AR132" si="328">AL121+AL131</f>
        <v>8655644.9188552499</v>
      </c>
      <c r="AM132" s="71">
        <f t="shared" si="328"/>
        <v>1355264.5322999998</v>
      </c>
      <c r="AN132" s="71">
        <f t="shared" si="328"/>
        <v>97380</v>
      </c>
      <c r="AO132" s="71">
        <f t="shared" si="328"/>
        <v>0</v>
      </c>
      <c r="AP132" s="71">
        <f t="shared" si="328"/>
        <v>0</v>
      </c>
      <c r="AQ132" s="71">
        <f t="shared" si="328"/>
        <v>0</v>
      </c>
      <c r="AR132" s="71">
        <f t="shared" si="328"/>
        <v>0</v>
      </c>
      <c r="AS132" s="71">
        <f>AS121+AS131</f>
        <v>10108289.451155249</v>
      </c>
      <c r="AU132" s="71">
        <f t="shared" ref="AU132:BA132" si="329">AU121+AU131</f>
        <v>148246.19874999998</v>
      </c>
      <c r="AV132" s="71">
        <f t="shared" si="329"/>
        <v>112244.25749374999</v>
      </c>
      <c r="AW132" s="71">
        <f t="shared" si="329"/>
        <v>0</v>
      </c>
      <c r="AX132" s="71">
        <f t="shared" si="329"/>
        <v>0</v>
      </c>
      <c r="AY132" s="71">
        <f t="shared" si="329"/>
        <v>0</v>
      </c>
      <c r="AZ132" s="71">
        <f t="shared" si="329"/>
        <v>0</v>
      </c>
      <c r="BA132" s="71">
        <f t="shared" si="329"/>
        <v>0</v>
      </c>
      <c r="BB132" s="71">
        <f>BB121+BB131</f>
        <v>260490.45624374997</v>
      </c>
      <c r="BD132" s="71">
        <f t="shared" ref="BD132:BJ132" si="330">BD121+BD131</f>
        <v>1682328.2075</v>
      </c>
      <c r="BE132" s="71">
        <f t="shared" si="330"/>
        <v>92800</v>
      </c>
      <c r="BF132" s="71">
        <f t="shared" si="330"/>
        <v>29520</v>
      </c>
      <c r="BG132" s="71">
        <f t="shared" si="330"/>
        <v>0</v>
      </c>
      <c r="BH132" s="71">
        <f t="shared" si="330"/>
        <v>0</v>
      </c>
      <c r="BI132" s="71">
        <f t="shared" si="330"/>
        <v>0</v>
      </c>
      <c r="BJ132" s="71">
        <f t="shared" si="330"/>
        <v>0</v>
      </c>
      <c r="BK132" s="71">
        <f>BK121+BK131</f>
        <v>1804648.2075</v>
      </c>
      <c r="BM132" s="71">
        <f t="shared" ref="BM132:BS132" si="331">BM121+BM131</f>
        <v>288644.3274999999</v>
      </c>
      <c r="BN132" s="71">
        <f t="shared" si="331"/>
        <v>0</v>
      </c>
      <c r="BO132" s="71">
        <f t="shared" si="331"/>
        <v>18550</v>
      </c>
      <c r="BP132" s="71">
        <f t="shared" si="331"/>
        <v>0</v>
      </c>
      <c r="BQ132" s="71">
        <f t="shared" si="331"/>
        <v>0</v>
      </c>
      <c r="BR132" s="71">
        <f t="shared" si="331"/>
        <v>0</v>
      </c>
      <c r="BS132" s="71">
        <f t="shared" si="331"/>
        <v>0</v>
      </c>
      <c r="BT132" s="71">
        <f>BT121+BT131</f>
        <v>307194.3274999999</v>
      </c>
      <c r="BV132" s="71">
        <f t="shared" ref="BV132:CB132" si="332">BV121+BV131</f>
        <v>32865499.330021001</v>
      </c>
      <c r="BW132" s="71">
        <f t="shared" si="332"/>
        <v>4868789.82433125</v>
      </c>
      <c r="BX132" s="71">
        <f t="shared" si="332"/>
        <v>509150.27</v>
      </c>
      <c r="BY132" s="71">
        <f t="shared" si="332"/>
        <v>0</v>
      </c>
      <c r="BZ132" s="71">
        <f t="shared" si="332"/>
        <v>0</v>
      </c>
      <c r="CA132" s="71">
        <f t="shared" si="332"/>
        <v>0</v>
      </c>
      <c r="CB132" s="71">
        <f t="shared" si="332"/>
        <v>0</v>
      </c>
      <c r="CC132" s="71">
        <f>CC121+CC131</f>
        <v>38243439.424352251</v>
      </c>
    </row>
    <row r="133" spans="1:81">
      <c r="A133" s="29" t="s">
        <v>115</v>
      </c>
      <c r="B133" s="52">
        <f>B132*0.335</f>
        <v>1237584.6006945549</v>
      </c>
      <c r="C133" s="52">
        <f t="shared" ref="C133:H133" si="333">C132*0.335</f>
        <v>170067.73521874999</v>
      </c>
      <c r="D133" s="52">
        <f t="shared" si="333"/>
        <v>21225.600000000002</v>
      </c>
      <c r="E133" s="52">
        <f t="shared" si="333"/>
        <v>0</v>
      </c>
      <c r="F133" s="52">
        <f t="shared" si="333"/>
        <v>0</v>
      </c>
      <c r="G133" s="52">
        <f t="shared" si="333"/>
        <v>0</v>
      </c>
      <c r="H133" s="52">
        <f t="shared" si="333"/>
        <v>0</v>
      </c>
      <c r="I133" s="11">
        <f>SUM(B133:H133)</f>
        <v>1428877.935913305</v>
      </c>
      <c r="J133" s="72"/>
      <c r="K133" s="52">
        <f>K132*0.335</f>
        <v>1334237.9843343112</v>
      </c>
      <c r="L133" s="52">
        <f t="shared" ref="L133:Q133" si="334">L132*0.335</f>
        <v>175530.37547093749</v>
      </c>
      <c r="M133" s="52">
        <f t="shared" si="334"/>
        <v>23490.290449999997</v>
      </c>
      <c r="N133" s="52"/>
      <c r="O133" s="52">
        <f t="shared" si="334"/>
        <v>0</v>
      </c>
      <c r="P133" s="52">
        <f t="shared" si="334"/>
        <v>0</v>
      </c>
      <c r="Q133" s="52">
        <f t="shared" si="334"/>
        <v>0</v>
      </c>
      <c r="R133" s="11">
        <f>SUM(K133:Q133)</f>
        <v>1533258.6502552486</v>
      </c>
      <c r="T133" s="52">
        <f>T132*0.335-(T107*0.335)+(T107*0.125)</f>
        <v>1579000.2223156597</v>
      </c>
      <c r="U133" s="52">
        <f t="shared" ref="U133:Z133" si="335">U132*0.335</f>
        <v>228479.83731687503</v>
      </c>
      <c r="V133" s="52">
        <f t="shared" si="335"/>
        <v>21225.600000000002</v>
      </c>
      <c r="W133" s="52">
        <f t="shared" si="335"/>
        <v>0</v>
      </c>
      <c r="X133" s="52">
        <f t="shared" si="335"/>
        <v>0</v>
      </c>
      <c r="Y133" s="52">
        <f t="shared" si="335"/>
        <v>0</v>
      </c>
      <c r="Z133" s="52">
        <f t="shared" si="335"/>
        <v>0</v>
      </c>
      <c r="AA133" s="11">
        <f>SUM(T133:Z133)</f>
        <v>1828705.659632535</v>
      </c>
      <c r="AC133" s="52">
        <f>AC132*0.335</f>
        <v>3203435.0311840004</v>
      </c>
      <c r="AD133" s="52">
        <f t="shared" ref="AD133:AI133" si="336">AD132*0.335</f>
        <v>534263.19856350007</v>
      </c>
      <c r="AE133" s="52">
        <f t="shared" si="336"/>
        <v>55898.100000000006</v>
      </c>
      <c r="AF133" s="52"/>
      <c r="AG133" s="52">
        <f t="shared" si="336"/>
        <v>0</v>
      </c>
      <c r="AH133" s="52">
        <f t="shared" si="336"/>
        <v>0</v>
      </c>
      <c r="AI133" s="52">
        <f t="shared" si="336"/>
        <v>0</v>
      </c>
      <c r="AJ133" s="11">
        <f>SUM(AC133:AI133)</f>
        <v>3793596.3297475004</v>
      </c>
      <c r="AL133" s="52">
        <f>AL132*0.335</f>
        <v>2899641.0478165089</v>
      </c>
      <c r="AM133" s="52">
        <f t="shared" ref="AM133:AR133" si="337">AM132*0.335</f>
        <v>454013.61832049995</v>
      </c>
      <c r="AN133" s="52">
        <f t="shared" si="337"/>
        <v>32622.300000000003</v>
      </c>
      <c r="AO133" s="52"/>
      <c r="AP133" s="52">
        <f t="shared" si="337"/>
        <v>0</v>
      </c>
      <c r="AQ133" s="52">
        <f t="shared" si="337"/>
        <v>0</v>
      </c>
      <c r="AR133" s="52">
        <f t="shared" si="337"/>
        <v>0</v>
      </c>
      <c r="AS133" s="11">
        <f>SUM(AL133:AR133)</f>
        <v>3386276.9661370087</v>
      </c>
      <c r="AU133" s="52">
        <f>AU132*0.335</f>
        <v>49662.476581249997</v>
      </c>
      <c r="AV133" s="52">
        <f t="shared" ref="AV133:BA133" si="338">AV132*0.335</f>
        <v>37601.826260406247</v>
      </c>
      <c r="AW133" s="52">
        <f t="shared" si="338"/>
        <v>0</v>
      </c>
      <c r="AX133" s="52"/>
      <c r="AY133" s="52">
        <f t="shared" si="338"/>
        <v>0</v>
      </c>
      <c r="AZ133" s="52">
        <f t="shared" si="338"/>
        <v>0</v>
      </c>
      <c r="BA133" s="52">
        <f t="shared" si="338"/>
        <v>0</v>
      </c>
      <c r="BB133" s="11">
        <f>SUM(AU133:BA133)</f>
        <v>87264.302841656245</v>
      </c>
      <c r="BD133" s="52">
        <f>BD132*0.335</f>
        <v>563579.94951250008</v>
      </c>
      <c r="BE133" s="52">
        <f t="shared" ref="BE133:BJ133" si="339">BE132*0.335</f>
        <v>31088.000000000004</v>
      </c>
      <c r="BF133" s="52">
        <f t="shared" si="339"/>
        <v>9889.2000000000007</v>
      </c>
      <c r="BG133" s="52">
        <f t="shared" si="339"/>
        <v>0</v>
      </c>
      <c r="BH133" s="52">
        <f>BH132*0.335</f>
        <v>0</v>
      </c>
      <c r="BI133" s="52">
        <f t="shared" si="339"/>
        <v>0</v>
      </c>
      <c r="BJ133" s="52">
        <f t="shared" si="339"/>
        <v>0</v>
      </c>
      <c r="BK133" s="11">
        <f>SUM(BD133:BJ133)</f>
        <v>604557.14951250004</v>
      </c>
      <c r="BM133" s="52">
        <f>BM132*0.335</f>
        <v>96695.84971249997</v>
      </c>
      <c r="BN133" s="52">
        <f t="shared" ref="BN133:BO133" si="340">BN132*0.335</f>
        <v>0</v>
      </c>
      <c r="BO133" s="52">
        <f t="shared" si="340"/>
        <v>6214.25</v>
      </c>
      <c r="BP133" s="52"/>
      <c r="BQ133" s="52">
        <f t="shared" ref="BQ133:BS133" si="341">BQ132*0.335</f>
        <v>0</v>
      </c>
      <c r="BR133" s="52">
        <f t="shared" si="341"/>
        <v>0</v>
      </c>
      <c r="BS133" s="52">
        <f t="shared" si="341"/>
        <v>0</v>
      </c>
      <c r="BT133" s="11">
        <f>SUM(BM133:BS133)</f>
        <v>102910.09971249997</v>
      </c>
      <c r="BV133" s="5">
        <f t="shared" ref="BV133:CA140" si="342">B133+K133+T133+AC133+AL133+AU133+BD133+BM133</f>
        <v>10963837.162151286</v>
      </c>
      <c r="BW133" s="5">
        <f t="shared" si="342"/>
        <v>1631044.591150969</v>
      </c>
      <c r="BX133" s="5">
        <f t="shared" si="342"/>
        <v>170565.34045000002</v>
      </c>
      <c r="BY133" s="5">
        <f t="shared" si="342"/>
        <v>0</v>
      </c>
      <c r="BZ133" s="5">
        <f t="shared" si="342"/>
        <v>0</v>
      </c>
      <c r="CA133" s="5">
        <f t="shared" si="342"/>
        <v>0</v>
      </c>
      <c r="CB133" s="52">
        <f t="shared" ref="CB133" si="343">CB132*0.335</f>
        <v>0</v>
      </c>
      <c r="CC133" s="11">
        <f>SUM(BV133:CB133)</f>
        <v>12765447.093752256</v>
      </c>
    </row>
    <row r="134" spans="1:81">
      <c r="A134" s="29" t="s">
        <v>116</v>
      </c>
      <c r="B134" s="11">
        <f>B132*0.1525</f>
        <v>563378.06449528236</v>
      </c>
      <c r="C134" s="11">
        <f t="shared" ref="C134:G134" si="344">C132*0.1525</f>
        <v>77418.894390624992</v>
      </c>
      <c r="D134" s="11">
        <f t="shared" si="344"/>
        <v>9662.4</v>
      </c>
      <c r="E134" s="11">
        <f t="shared" si="344"/>
        <v>0</v>
      </c>
      <c r="F134" s="11">
        <f t="shared" si="344"/>
        <v>0</v>
      </c>
      <c r="G134" s="11">
        <f t="shared" si="344"/>
        <v>0</v>
      </c>
      <c r="H134" s="11">
        <f t="shared" ref="H134" si="345">((6750*H65)*0.8)+((175*H65)*0.825)+((70*H65)*0.825)+(H132*0.015)+(H132*0.031)</f>
        <v>0</v>
      </c>
      <c r="I134" s="11">
        <f>SUM(B134:H134)</f>
        <v>650459.35888590734</v>
      </c>
      <c r="J134" s="72"/>
      <c r="K134" s="11">
        <f>K132*0.1525</f>
        <v>607376.99286860437</v>
      </c>
      <c r="L134" s="11">
        <f t="shared" ref="L134:P134" si="346">L132*0.1525</f>
        <v>79905.618684531233</v>
      </c>
      <c r="M134" s="11">
        <f t="shared" si="346"/>
        <v>10693.341174999998</v>
      </c>
      <c r="N134" s="11">
        <f t="shared" si="346"/>
        <v>0</v>
      </c>
      <c r="O134" s="11">
        <f t="shared" si="346"/>
        <v>0</v>
      </c>
      <c r="P134" s="11">
        <f t="shared" si="346"/>
        <v>0</v>
      </c>
      <c r="Q134" s="11">
        <f t="shared" ref="Q134" si="347">((6750*Q65)*0.8)+((175*Q65)*0.825)+((70*Q65)*0.825)+(Q132*0.015)+(Q132*0.031)</f>
        <v>0</v>
      </c>
      <c r="R134" s="11">
        <f>SUM(K134:Q134)</f>
        <v>697975.95272813551</v>
      </c>
      <c r="T134" s="11">
        <f>T132*0.1525</f>
        <v>739786.75730601489</v>
      </c>
      <c r="U134" s="11">
        <f t="shared" ref="U134:Y134" si="348">U132*0.1525</f>
        <v>104009.4781815625</v>
      </c>
      <c r="V134" s="11">
        <f t="shared" si="348"/>
        <v>9662.4</v>
      </c>
      <c r="W134" s="11">
        <f t="shared" si="348"/>
        <v>0</v>
      </c>
      <c r="X134" s="11">
        <f t="shared" si="348"/>
        <v>0</v>
      </c>
      <c r="Y134" s="11">
        <f t="shared" si="348"/>
        <v>0</v>
      </c>
      <c r="Z134" s="11">
        <f t="shared" ref="Z134" si="349">((6750*Z65)*0.8)+((175*Z65)*0.825)+((70*Z65)*0.825)+(Z132*0.015)+(Z132*0.031)</f>
        <v>0</v>
      </c>
      <c r="AA134" s="11">
        <f>SUM(T134:Z134)</f>
        <v>853458.63548757741</v>
      </c>
      <c r="AC134" s="11">
        <f>AC132*0.1525</f>
        <v>1458280.126136</v>
      </c>
      <c r="AD134" s="11">
        <f t="shared" ref="AD134:AH134" si="350">AD132*0.1525</f>
        <v>243209.36651024999</v>
      </c>
      <c r="AE134" s="11">
        <f t="shared" si="350"/>
        <v>25446.149999999998</v>
      </c>
      <c r="AF134" s="11">
        <f t="shared" si="350"/>
        <v>0</v>
      </c>
      <c r="AG134" s="11">
        <f t="shared" si="350"/>
        <v>0</v>
      </c>
      <c r="AH134" s="11">
        <f t="shared" si="350"/>
        <v>0</v>
      </c>
      <c r="AI134" s="11">
        <f t="shared" ref="AI134" si="351">((6750*AI65)*0.8)+((175*AI65)*0.825)+((70*AI65)*0.825)+(AI132*0.015)+(AI132*0.031)</f>
        <v>0</v>
      </c>
      <c r="AJ134" s="11">
        <f>SUM(AC134:AI134)</f>
        <v>1726935.6426462498</v>
      </c>
      <c r="AL134" s="11">
        <f>AL132*0.1525</f>
        <v>1319985.8501254255</v>
      </c>
      <c r="AM134" s="11">
        <f t="shared" ref="AM134:AQ134" si="352">AM132*0.1525</f>
        <v>206677.84117574999</v>
      </c>
      <c r="AN134" s="11">
        <f t="shared" si="352"/>
        <v>14850.449999999999</v>
      </c>
      <c r="AO134" s="11">
        <f t="shared" si="352"/>
        <v>0</v>
      </c>
      <c r="AP134" s="11">
        <f t="shared" si="352"/>
        <v>0</v>
      </c>
      <c r="AQ134" s="11">
        <f t="shared" si="352"/>
        <v>0</v>
      </c>
      <c r="AR134" s="11">
        <f t="shared" ref="AR134" si="353">((6750*AR65)*0.8)+((175*AR65)*0.825)+((70*AR65)*0.825)+(AR132*0.015)+(AR132*0.031)</f>
        <v>0</v>
      </c>
      <c r="AS134" s="11">
        <f>SUM(AL134:AR134)</f>
        <v>1541514.1413011753</v>
      </c>
      <c r="AU134" s="11">
        <f>AU132*0.1525</f>
        <v>22607.545309374997</v>
      </c>
      <c r="AV134" s="11">
        <f t="shared" ref="AV134:AZ134" si="354">AV132*0.1525</f>
        <v>17117.249267796873</v>
      </c>
      <c r="AW134" s="11">
        <f t="shared" si="354"/>
        <v>0</v>
      </c>
      <c r="AX134" s="11">
        <f t="shared" si="354"/>
        <v>0</v>
      </c>
      <c r="AY134" s="11">
        <f t="shared" si="354"/>
        <v>0</v>
      </c>
      <c r="AZ134" s="11">
        <f t="shared" si="354"/>
        <v>0</v>
      </c>
      <c r="BA134" s="11">
        <f t="shared" ref="BA134" si="355">((6750*BA65)*0.85)+((175*BA65)*0.85)+((70*BA65)*0.85)+(BA132*0.015)+(BA132*0.031)</f>
        <v>0</v>
      </c>
      <c r="BB134" s="11">
        <f>SUM(AU134:BA134)</f>
        <v>39724.794577171866</v>
      </c>
      <c r="BD134" s="11">
        <f>BD132*0.1525</f>
        <v>256555.05164374999</v>
      </c>
      <c r="BE134" s="11">
        <f t="shared" ref="BE134:BI134" si="356">BE132*0.1525</f>
        <v>14152</v>
      </c>
      <c r="BF134" s="11">
        <f t="shared" si="356"/>
        <v>4501.8</v>
      </c>
      <c r="BG134" s="11">
        <f t="shared" si="356"/>
        <v>0</v>
      </c>
      <c r="BH134" s="11">
        <f t="shared" si="356"/>
        <v>0</v>
      </c>
      <c r="BI134" s="11">
        <f t="shared" si="356"/>
        <v>0</v>
      </c>
      <c r="BJ134" s="11">
        <f t="shared" ref="BJ134" si="357">((6750*BJ65)*0.8)+((175*BJ65)*0.825)+((70*BJ65)*0.825)+(BJ132*0.015)+(BJ132*0.031)</f>
        <v>0</v>
      </c>
      <c r="BK134" s="11">
        <f>SUM(BD134:BJ134)</f>
        <v>275208.85164374998</v>
      </c>
      <c r="BM134" s="11">
        <f>BM132*0.1525</f>
        <v>44018.259943749981</v>
      </c>
      <c r="BN134" s="11">
        <f t="shared" ref="BN134:BR134" si="358">BN132*0.1525</f>
        <v>0</v>
      </c>
      <c r="BO134" s="11">
        <f t="shared" si="358"/>
        <v>2828.875</v>
      </c>
      <c r="BP134" s="11">
        <f t="shared" si="358"/>
        <v>0</v>
      </c>
      <c r="BQ134" s="11">
        <f t="shared" si="358"/>
        <v>0</v>
      </c>
      <c r="BR134" s="11">
        <f t="shared" si="358"/>
        <v>0</v>
      </c>
      <c r="BS134" s="11">
        <f t="shared" ref="BS134" si="359">((6850*BS65)*0.85)+((175*BS65)*0.85)+((70*BS65)*0.85)+(BS132*0.015)+(BS132*0.031)</f>
        <v>0</v>
      </c>
      <c r="BT134" s="11">
        <f>SUM(BM134:BS134)</f>
        <v>46847.134943749981</v>
      </c>
      <c r="BV134" s="5">
        <f t="shared" si="342"/>
        <v>5011988.6478282018</v>
      </c>
      <c r="BW134" s="5">
        <f t="shared" si="342"/>
        <v>742490.44821051555</v>
      </c>
      <c r="BX134" s="5">
        <f t="shared" si="342"/>
        <v>77645.416174999991</v>
      </c>
      <c r="BY134" s="5">
        <f t="shared" si="342"/>
        <v>0</v>
      </c>
      <c r="BZ134" s="5">
        <f t="shared" si="342"/>
        <v>0</v>
      </c>
      <c r="CA134" s="5">
        <f t="shared" si="342"/>
        <v>0</v>
      </c>
      <c r="CB134" s="11">
        <f t="shared" ref="CB134" si="360">((6850*CB65)*0.85)+((175*CB65)*0.85)+((70*CB65)*0.85)+(CB132*0.015)+(CB132*0.031)</f>
        <v>0</v>
      </c>
      <c r="CC134" s="11">
        <f>SUM(BV134:CB134)</f>
        <v>5832124.5122137181</v>
      </c>
    </row>
    <row r="135" spans="1:81">
      <c r="A135" s="29" t="s">
        <v>117</v>
      </c>
      <c r="B135" s="11">
        <f>((2500*B39)+(2000*B40)+(1750*B41)+(1750*B42)+(1750*B43)+(1750*B44)+(1750*B45)+(1100*B46)+(1000*B47)+(500*B48)+(500*B49)+(500*B50)+(500*B51)+(500*B52)+(500*B53)+(1100*B54)+(1000*B55)+(1100*B56)+(1100*B57)+(1100*B58)+(500*B59)+(500*B60)+(1100*B36))*0.99+5000</f>
        <v>69548</v>
      </c>
      <c r="C135" s="11">
        <f t="shared" ref="C135:D135" si="361">((2500*C39)+(2000*C40)+(1750*C41)+(1750*C42)+(1750*C43)+(1750*C44)+(1750*C45)+(1100*C46)+(1000*C47)+(500*C48)+(500*C49)+(500*C50)+(500*C51)+(500*C52)+(500*C53)+(1100*C54)+(1000*C55)+(1100*C56)+(1100*C57)+(1100*C58)+(500*C59)+(500*C60)+(1100*C36))*0.99</f>
        <v>8514</v>
      </c>
      <c r="D135" s="11">
        <f t="shared" si="361"/>
        <v>990</v>
      </c>
      <c r="E135" s="11">
        <f t="shared" ref="E135:H135" si="362">((2000*E39)+(1750*E40)+(1500*E41)+(1500*E42)+(1500*E43)+(1500*E44)+(1500*E45)+(1000*E46)+(1000*E47)+(500*E48)+(500*E49)+(500*E50)+(500*E51)+(500*E52)+(500*E53)+(1000*E54)+(1000*E55)+(1000*E56)+(1000*E57)+(1000*E58)+(500*E59)+(500*E60)+(1000*E36))*0.99</f>
        <v>0</v>
      </c>
      <c r="F135" s="11">
        <f t="shared" si="362"/>
        <v>0</v>
      </c>
      <c r="G135" s="11">
        <f t="shared" si="362"/>
        <v>0</v>
      </c>
      <c r="H135" s="11">
        <f t="shared" si="362"/>
        <v>0</v>
      </c>
      <c r="I135" s="11">
        <f t="shared" ref="I135:I140" si="363">SUM(B135:H135)</f>
        <v>79052</v>
      </c>
      <c r="K135" s="11">
        <f>((2500*K39)+(2000*K40)+(1750*K41)+(1750*K42)+(1750*K43)+(1750*K44)+(1750*K45)+(1100*K46)+(1000*K47)+(500*K48)+(500*K49)+(500*K50)+(500*K51)+(500*K52)+(500*K53)+(1100*K54)+(1000*K55)+(1100*K56)+(1100*K57)+(1100*K58)+(500*K59)+(500*K60)+(1100*K36))*0.99+5000</f>
        <v>73805</v>
      </c>
      <c r="L135" s="11">
        <f t="shared" ref="L135:M135" si="364">((2500*L39)+(2000*L40)+(1750*L41)+(1750*L42)+(1750*L43)+(1750*L44)+(1750*L45)+(1100*L46)+(1000*L47)+(500*L48)+(500*L49)+(500*L50)+(500*L51)+(500*L52)+(500*L53)+(1100*L54)+(1000*L55)+(1100*L56)+(1100*L57)+(1100*L58)+(500*L59)+(500*L60)+(1100*L36))*0.99</f>
        <v>8514</v>
      </c>
      <c r="M135" s="11">
        <f t="shared" si="364"/>
        <v>990</v>
      </c>
      <c r="N135" s="11">
        <f t="shared" ref="N135:Q135" si="365">((2000*N39)+(1750*N40)+(1500*N41)+(1500*N42)+(1500*N43)+(1500*N44)+(1500*N45)+(1000*N46)+(1000*N47)+(500*N48)+(500*N49)+(500*N50)+(500*N51)+(500*N52)+(500*N53)+(1000*N54)+(1000*N55)+(1000*N56)+(1000*N57)+(1000*N58)+(500*N59)+(500*N60)+(1000*N36))*0.99</f>
        <v>0</v>
      </c>
      <c r="O135" s="11">
        <f t="shared" si="365"/>
        <v>0</v>
      </c>
      <c r="P135" s="11">
        <f t="shared" si="365"/>
        <v>0</v>
      </c>
      <c r="Q135" s="11">
        <f t="shared" si="365"/>
        <v>0</v>
      </c>
      <c r="R135" s="11">
        <f t="shared" ref="R135:R140" si="366">SUM(K135:Q135)</f>
        <v>83309</v>
      </c>
      <c r="T135" s="11">
        <f>((2500*T39)+(2000*T40)+(1750*T41)+(1750*T42)+(1750*T43)+(1750*T44)+(1750*T45)+(1100*T46)+(1000*T47)+(500*T48)+(500*T49)+(500*T50)+(500*T51)+(500*T52)+(500*T53)+(1100*T54)+(1000*T55)+(1100*T56)+(1100*T57)+(1100*T58)+(500*T59)+(500*T60)+(1100*T36))*0.99+5000</f>
        <v>86873</v>
      </c>
      <c r="U135" s="11">
        <f t="shared" ref="U135:V135" si="367">((2500*U39)+(2000*U40)+(1750*U41)+(1750*U42)+(1750*U43)+(1750*U44)+(1750*U45)+(1100*U46)+(1000*U47)+(500*U48)+(500*U49)+(500*U50)+(500*U51)+(500*U52)+(500*U53)+(1100*U54)+(1000*U55)+(1100*U56)+(1100*U57)+(1100*U58)+(500*U59)+(500*U60)+(1100*U36))*0.99</f>
        <v>11447.37</v>
      </c>
      <c r="V135" s="11">
        <f t="shared" si="367"/>
        <v>990</v>
      </c>
      <c r="W135" s="11">
        <f t="shared" ref="W135:Z135" si="368">((2000*W39)+(1750*W40)+(1500*W41)+(1500*W42)+(1500*W43)+(1500*W44)+(1500*W45)+(1000*W46)+(1000*W47)+(500*W48)+(500*W49)+(500*W50)+(500*W51)+(500*W52)+(500*W53)+(1000*W54)+(1000*W55)+(1000*W56)+(1000*W57)+(1000*W58)+(500*W59)+(500*W60)+(1000*W36))</f>
        <v>0</v>
      </c>
      <c r="X135" s="11">
        <f t="shared" si="368"/>
        <v>0</v>
      </c>
      <c r="Y135" s="11">
        <f t="shared" si="368"/>
        <v>0</v>
      </c>
      <c r="Z135" s="11">
        <f t="shared" si="368"/>
        <v>0</v>
      </c>
      <c r="AA135" s="11">
        <f t="shared" ref="AA135:AA140" si="369">SUM(T135:Z135)</f>
        <v>99310.37</v>
      </c>
      <c r="AC135" s="11">
        <f>((2500*AC39)+(2000*AC40)+(1750*AC41)+(1750*AC42)+(1750*AC43)+(1750*AC44)+(1750*AC45)+(1100*AC46)+(1000*AC47)+(500*AC48)+(500*AC49)+(500*AC50)+(500*AC51)+(500*AC52)+(500*AC53)+(1100*AC54)+(1000*AC55)+(1100*AC56)+(1100*AC57)+(1100*AC58)+(500*AC59)+(500*AC60)+(1100*AC36))*0.99+10000</f>
        <v>166964.5</v>
      </c>
      <c r="AD135" s="11">
        <f t="shared" ref="AD135:AE135" si="370">((2500*AD39)+(2000*AD40)+(1750*AD41)+(1750*AD42)+(1750*AD43)+(1750*AD44)+(1750*AD45)+(1100*AD46)+(1000*AD47)+(500*AD48)+(500*AD49)+(500*AD50)+(500*AD51)+(500*AD52)+(500*AD53)+(1100*AD54)+(1000*AD55)+(1100*AD56)+(1100*AD57)+(1100*AD58)+(500*AD59)+(500*AD60)+(1100*AD36))*0.99</f>
        <v>24849</v>
      </c>
      <c r="AE135" s="11">
        <f t="shared" si="370"/>
        <v>2970</v>
      </c>
      <c r="AF135" s="11">
        <f t="shared" ref="AF135:AI135" si="371">((2000*AF39)+(1750*AF40)+(1500*AF41)+(1500*AF42)+(1500*AF43)+(1500*AF44)+(1500*AF45)+(1000*AF46)+(1000*AF47)+(500*AF48)+(500*AF49)+(500*AF50)+(500*AF51)+(500*AF52)+(500*AF53)+(1000*AF54)+(1000*AF55)+(1000*AF56)+(1000*AF57)+(1000*AF58)+(500*AF59)+(500*AF60)+(1000*AF36))*0.99</f>
        <v>0</v>
      </c>
      <c r="AG135" s="11">
        <f t="shared" si="371"/>
        <v>0</v>
      </c>
      <c r="AH135" s="11">
        <f t="shared" si="371"/>
        <v>0</v>
      </c>
      <c r="AI135" s="11">
        <f t="shared" si="371"/>
        <v>0</v>
      </c>
      <c r="AJ135" s="11">
        <f t="shared" ref="AJ135:AJ140" si="372">SUM(AC135:AI135)</f>
        <v>194783.5</v>
      </c>
      <c r="AL135" s="11">
        <f>((2500*AL39)+(2000*AL40)+(1750*AL41)+(1750*AL42)+(1750*AL43)+(1750*AL44)+(1750*AL45)+(1100*AL46)+(1000*AL47)+(500*AL48)+(500*AL49)+(500*AL50)+(500*AL51)+(500*AL52)+(500*AL53)+(1100*AL54)+(1000*AL55)+(1100*AL56)+(1100*AL57)+(1100*AL58)+(500*AL59)+(500*AL60)+(1100*AL36))*0.99</f>
        <v>146421</v>
      </c>
      <c r="AM135" s="11">
        <f t="shared" ref="AM135:AN135" si="373">((2500*AM39)+(2000*AM40)+(1750*AM41)+(1750*AM42)+(1750*AM43)+(1750*AM44)+(1750*AM45)+(1100*AM46)+(1000*AM47)+(500*AM48)+(500*AM49)+(500*AM50)+(500*AM51)+(500*AM52)+(500*AM53)+(1100*AM54)+(1000*AM55)+(1100*AM56)+(1100*AM57)+(1100*AM58)+(500*AM59)+(500*AM60)+(1100*AM36))*0.99</f>
        <v>21730.5</v>
      </c>
      <c r="AN135" s="11">
        <f t="shared" si="373"/>
        <v>1980</v>
      </c>
      <c r="AO135" s="11">
        <f t="shared" ref="AO135:AR135" si="374">((2000*AO39)+(1750*AO40)+(1500*AO41)+(1500*AO42)+(1500*AO43)+(1500*AO44)+(1500*AO45)+(1000*AO46)+(1000*AO47)+(500*AO48)+(500*AO49)+(500*AO50)+(500*AO51)+(500*AO52)+(500*AO53)+(1000*AO54)+(1000*AO55)+(1000*AO56)+(1000*AO57)+(1000*AO58)+(500*AO59)+(500*AO60)+(1000*AO36))*0.99</f>
        <v>0</v>
      </c>
      <c r="AP135" s="11">
        <f t="shared" si="374"/>
        <v>0</v>
      </c>
      <c r="AQ135" s="11">
        <f t="shared" si="374"/>
        <v>0</v>
      </c>
      <c r="AR135" s="11">
        <f t="shared" si="374"/>
        <v>0</v>
      </c>
      <c r="AS135" s="11">
        <f t="shared" ref="AS135:AS140" si="375">SUM(AL135:AR135)</f>
        <v>170131.5</v>
      </c>
      <c r="AU135" s="11">
        <f>((2500*AU39)+(2000*AU40)+(1750*AU41)+(1750*AU42)+(1750*AU43)+(1750*AU44)+(1750*AU45)+(1100*AU46)+(1000*AU47)+(500*AU48)+(500*AU49)+(500*AU50)+(500*AU51)+(500*AU52)+(500*AU53)+(1100*AU54)+(1000*AU55)+(1100*AU56)+(1100*AU57)+(1100*AU58)+(500*AU59)+(500*AU60)+(1100*AU36))*0.99</f>
        <v>2722.5</v>
      </c>
      <c r="AV135" s="11">
        <f t="shared" ref="AV135:AW135" si="376">((2500*AV39)+(2000*AV40)+(1750*AV41)+(1750*AV42)+(1750*AV43)+(1750*AV44)+(1750*AV45)+(1100*AV46)+(1000*AV47)+(500*AV48)+(500*AV49)+(500*AV50)+(500*AV51)+(500*AV52)+(500*AV53)+(1100*AV54)+(1000*AV55)+(1100*AV56)+(1100*AV57)+(1100*AV58)+(500*AV59)+(500*AV60)+(1100*AV36))*0.99</f>
        <v>1584</v>
      </c>
      <c r="AW135" s="11">
        <f t="shared" si="376"/>
        <v>0</v>
      </c>
      <c r="AX135" s="11">
        <f t="shared" ref="AX135:AY135" si="377">((2000*AX39)+(1750*AX40)+(1500*AX41)+(1500*AX42)+(1500*AX43)+(1500*AX44)+(1500*AX45)+(1000*AX46)+(1000*AX47)+(500*AX48)+(500*AX49)+(500*AX50)+(500*AX51)+(500*AX52)+(500*AX53)+(1000*AX54)+(1000*AX55)+(1000*AX56)+(1000*AX57)+(1000*AX58)+(500*AX59)+(500*AX60)+(1000*AX36))</f>
        <v>0</v>
      </c>
      <c r="AY135" s="11">
        <f t="shared" si="377"/>
        <v>0</v>
      </c>
      <c r="AZ135" s="11">
        <f t="shared" ref="AZ135:BA135" si="378">((2000*AZ39)+(1750*AZ40)+(1500*AZ41)+(1500*AZ42)+(1500*AZ43)+(1500*AZ44)+(1500*AZ45)+(1000*AZ46)+(1000*AZ47)+(500*AZ48)+(500*AZ49)+(500*AZ50)+(500*AZ51)+(500*AZ52)+(500*AZ53)+(1000*AZ54)+(1000*AZ55)+(1000*AZ56)+(1000*AZ57)+(1000*AZ58)+(500*AZ59)+(500*AZ60)+(1000*AZ36))*0.99</f>
        <v>0</v>
      </c>
      <c r="BA135" s="11">
        <f t="shared" si="378"/>
        <v>0</v>
      </c>
      <c r="BB135" s="11">
        <f t="shared" ref="BB135:BB140" si="379">SUM(AU135:BA135)</f>
        <v>4306.5</v>
      </c>
      <c r="BD135" s="11">
        <f>((2500*BD39)+(2000*BD40)+(1750*BD41)+(1750*BD42)+(1750*BD43)+(1750*BD44)+(1750*BD45)+(1100*BD46)+(1000*BD47)+(500*BD48)+(500*BD49)+(500*BD50)+(500*BD51)+(500*BD52)+(500*BD53)+(1100*BD54)+(1000*BD55)+(1100*BD56)+(1100*BD57)+(1100*BD58)+(500*BD59)+(500*BD60)+(1100*BD36))*0.8</f>
        <v>25080</v>
      </c>
      <c r="BE135" s="11">
        <f>((2500*BE39)+(2000*BE40)+(1750*BE41)+(1750*BE42)+(1750*BE43)+(1750*BE44)+(1750*BE45)+(1100*BE46)+(1000*BE47)+(500*BE48)+(500*BE49)+(500*BE50)+(500*BE51)+(500*BE52)+(500*BE53)+(1100*BE54)+(1000*BE55)+(1100*BE56)+(1100*BE57)+(1100*BE58)+(500*BE59)+(500*BE60)+(1100*BE36))</f>
        <v>1600</v>
      </c>
      <c r="BF135" s="11">
        <f t="shared" ref="BF135" si="380">((2500*BF39)+(2000*BF40)+(1750*BF41)+(1750*BF42)+(1750*BF43)+(1750*BF44)+(1750*BF45)+(1100*BF46)+(1000*BF47)+(500*BF48)+(500*BF49)+(500*BF50)+(500*BF51)+(500*BF52)+(500*BF53)+(1100*BF54)+(1000*BF55)+(1100*BF56)+(1100*BF57)+(1100*BF58)+(500*BF59)+(500*BF60)+(1100*BF36))*0.99</f>
        <v>495</v>
      </c>
      <c r="BG135" s="11">
        <v>0</v>
      </c>
      <c r="BH135" s="11"/>
      <c r="BI135" s="11">
        <f t="shared" ref="BI135" si="381">((2000*BI39)+(1750*BI40)+(1500*BI41)+(1500*BI42)+(1500*BI43)+(1500*BI44)+(1500*BI45)+(1000*BI46)+(1000*BI47)+(500*BI48)+(500*BI49)+(500*BI50)+(500*BI51)+(500*BI52)+(500*BI53)+(1000*BI54)+(1000*BI55)+(1000*BI56)+(1000*BI57)+(1000*BI58)+(500*BI59)+(500*BI60)+(1000*BI36))*0.33</f>
        <v>0</v>
      </c>
      <c r="BJ135" s="11">
        <f t="shared" ref="BJ135" si="382">((2000*BJ39)+(1750*BJ40)+(1500*BJ41)+(1500*BJ42)+(1500*BJ43)+(1500*BJ44)+(1500*BJ45)+(1000*BJ46)+(1000*BJ47)+(500*BJ48)+(500*BJ49)+(500*BJ50)+(500*BJ51)+(500*BJ52)+(500*BJ53)+(1000*BJ54)+(1000*BJ55)+(1000*BJ56)+(1000*BJ57)+(1000*BJ58)+(500*BJ59)+(500*BJ60)+(1000*BJ36))*0.99</f>
        <v>0</v>
      </c>
      <c r="BK135" s="11">
        <f t="shared" ref="BK135:BK140" si="383">SUM(BD135:BJ135)</f>
        <v>27175</v>
      </c>
      <c r="BM135" s="11">
        <f>((2000*BM39)+(1750*BM40)+(1500*BM41)+(1500*BM42)+(1500*BM43)+(1500*BM44)+(1500*BM45)+(1000*BM46)+(1000*BM47)+(500*BM48)+(500*BM49)+(500*BM50)+(500*BM51)+(500*BM52)+(500*BM53)+(1000*BM54)+(1000*BM55)+(1000*BM56)+(1000*BM57)+(1000*BM58)+(500*BM59)+(500*BM60)+(1000*BM36))</f>
        <v>3750</v>
      </c>
      <c r="BN135" s="11">
        <f t="shared" ref="BN135:BS135" si="384">((2000*BN39)+(1750*BN40)+(1500*BN41)+(1500*BN42)+(1500*BN43)+(1500*BN44)+(1500*BN45)+(1000*BN46)+(1000*BN47)+(500*BN48)+(500*BN49)+(500*BN50)+(500*BN51)+(500*BN52)+(500*BN53)+(1000*BN54)+(1000*BN55)+(1000*BN56)+(1000*BN57)+(1000*BN58)+(500*BN59)+(500*BN60)+(1000*BN36))*0.99</f>
        <v>0</v>
      </c>
      <c r="BO135" s="11">
        <f>((2000*BO39)+(1750*BO40)+(1500*BO41)+(1500*BO42)+(1500*BO43)+(1500*BO44)+(1500*BO45)+(1000*BO46)+(1000*BO47)+(500*BO48)+(500*BO49)+(500*BO50)+(500*BO51)+(500*BO52)+(500*BO53)+(1000*BO54)+(1000*BO55)+(1000*BO56)+(1000*BO57)+(1000*BO58)+(500*BO59)+(500*BO60)+(1000*BO36))</f>
        <v>250</v>
      </c>
      <c r="BP135" s="11">
        <f t="shared" si="384"/>
        <v>0</v>
      </c>
      <c r="BQ135" s="11">
        <f t="shared" si="384"/>
        <v>0</v>
      </c>
      <c r="BR135" s="11">
        <f t="shared" si="384"/>
        <v>0</v>
      </c>
      <c r="BS135" s="11">
        <f t="shared" si="384"/>
        <v>0</v>
      </c>
      <c r="BT135" s="11">
        <f t="shared" ref="BT135:BT140" si="385">SUM(BM135:BS135)</f>
        <v>4000</v>
      </c>
      <c r="BV135" s="5">
        <f t="shared" si="342"/>
        <v>575164</v>
      </c>
      <c r="BW135" s="5">
        <f t="shared" si="342"/>
        <v>78238.87</v>
      </c>
      <c r="BX135" s="5">
        <f t="shared" si="342"/>
        <v>8665</v>
      </c>
      <c r="BY135" s="5">
        <f t="shared" si="342"/>
        <v>0</v>
      </c>
      <c r="BZ135" s="5">
        <f t="shared" si="342"/>
        <v>0</v>
      </c>
      <c r="CA135" s="5">
        <f t="shared" si="342"/>
        <v>0</v>
      </c>
      <c r="CB135" s="11">
        <f t="shared" ref="CB135" si="386">((2000*CB39)+(1750*CB40)+(1500*CB41)+(1500*CB42)+(1500*CB43)+(1500*CB44)+(1500*CB45)+(1000*CB46)+(1000*CB47)+(500*CB48)+(500*CB49)+(500*CB50)+(500*CB51)+(500*CB52)+(500*CB53)+(1000*CB54)+(1000*CB55)+(1000*CB56)+(1000*CB57)+(1000*CB58)+(500*CB59)+(500*CB60)+(1000*CB36))*0.99</f>
        <v>0</v>
      </c>
      <c r="CC135" s="11">
        <f t="shared" ref="CC135:CC140" si="387">SUM(BV135:CB135)</f>
        <v>662067.87</v>
      </c>
    </row>
    <row r="136" spans="1:81">
      <c r="A136" s="29" t="s">
        <v>118</v>
      </c>
      <c r="B136" s="11">
        <f>150*B65+(150*25)</f>
        <v>12825</v>
      </c>
      <c r="C136" s="11">
        <f>150*C65</f>
        <v>1500</v>
      </c>
      <c r="D136" s="11">
        <f>150*D65</f>
        <v>300</v>
      </c>
      <c r="E136" s="11"/>
      <c r="F136" s="11"/>
      <c r="G136" s="11">
        <f>125*G65</f>
        <v>0</v>
      </c>
      <c r="H136" s="11">
        <f>125*H65</f>
        <v>0</v>
      </c>
      <c r="I136" s="11">
        <f t="shared" si="363"/>
        <v>14625</v>
      </c>
      <c r="K136" s="11">
        <f>150*K65+(150*25)</f>
        <v>13650</v>
      </c>
      <c r="L136" s="11">
        <f>150*L65</f>
        <v>1500</v>
      </c>
      <c r="M136" s="11">
        <f>150*M65</f>
        <v>300</v>
      </c>
      <c r="N136" s="11"/>
      <c r="O136" s="11">
        <f>125*O65</f>
        <v>0</v>
      </c>
      <c r="P136" s="11">
        <f>125*P65</f>
        <v>0</v>
      </c>
      <c r="Q136" s="11">
        <f>125*Q65</f>
        <v>0</v>
      </c>
      <c r="R136" s="11">
        <f t="shared" si="366"/>
        <v>15450</v>
      </c>
      <c r="T136" s="11">
        <f>150*T65+(150*25)</f>
        <v>15450</v>
      </c>
      <c r="U136" s="11">
        <f>150*U65</f>
        <v>1999.5</v>
      </c>
      <c r="V136" s="11">
        <f>150*V65</f>
        <v>300</v>
      </c>
      <c r="W136" s="11">
        <f t="shared" ref="W136:Z136" si="388">125*W65</f>
        <v>0</v>
      </c>
      <c r="X136" s="11">
        <f t="shared" si="388"/>
        <v>0</v>
      </c>
      <c r="Y136" s="11">
        <f t="shared" si="388"/>
        <v>0</v>
      </c>
      <c r="Z136" s="11">
        <f t="shared" si="388"/>
        <v>0</v>
      </c>
      <c r="AA136" s="11">
        <f t="shared" si="369"/>
        <v>17749.5</v>
      </c>
      <c r="AC136" s="11">
        <f>150*AC65+(150*35)</f>
        <v>27750</v>
      </c>
      <c r="AD136" s="11">
        <f>150*AD65</f>
        <v>4500</v>
      </c>
      <c r="AE136" s="11">
        <f>150*AE65</f>
        <v>900</v>
      </c>
      <c r="AF136" s="11"/>
      <c r="AG136" s="11">
        <f>125*AG65</f>
        <v>0</v>
      </c>
      <c r="AH136" s="11">
        <f>125*AH65</f>
        <v>0</v>
      </c>
      <c r="AI136" s="11">
        <f>125*AI65</f>
        <v>0</v>
      </c>
      <c r="AJ136" s="11">
        <f t="shared" si="372"/>
        <v>33150</v>
      </c>
      <c r="AL136" s="11">
        <f>150*AL65+(150*25)</f>
        <v>24600</v>
      </c>
      <c r="AM136" s="11">
        <f>150*AM65</f>
        <v>3975</v>
      </c>
      <c r="AN136" s="11">
        <f>150*AN65</f>
        <v>600</v>
      </c>
      <c r="AO136" s="11"/>
      <c r="AP136" s="11">
        <f>125*AP65</f>
        <v>0</v>
      </c>
      <c r="AQ136" s="11">
        <f>125*AQ65</f>
        <v>0</v>
      </c>
      <c r="AR136" s="11">
        <f>125*AR65</f>
        <v>0</v>
      </c>
      <c r="AS136" s="11">
        <f t="shared" si="375"/>
        <v>29175</v>
      </c>
      <c r="AU136" s="11">
        <f>150*AU65+(150*5)</f>
        <v>1200</v>
      </c>
      <c r="AV136" s="11">
        <f>150*AV65</f>
        <v>300</v>
      </c>
      <c r="AW136" s="11">
        <f>150*AW65</f>
        <v>0</v>
      </c>
      <c r="AX136" s="11"/>
      <c r="AY136" s="11">
        <f>125*AY65</f>
        <v>0</v>
      </c>
      <c r="AZ136" s="11">
        <f>125*AZ65</f>
        <v>0</v>
      </c>
      <c r="BA136" s="11">
        <f>125*BA65</f>
        <v>0</v>
      </c>
      <c r="BB136" s="11">
        <f t="shared" si="379"/>
        <v>1500</v>
      </c>
      <c r="BD136" s="11">
        <f>150*BD65+(150*8)</f>
        <v>5400</v>
      </c>
      <c r="BE136" s="11">
        <f>150*BE65</f>
        <v>300</v>
      </c>
      <c r="BF136" s="11">
        <f>150*BF65</f>
        <v>150</v>
      </c>
      <c r="BG136" s="11"/>
      <c r="BH136" s="11"/>
      <c r="BI136" s="11">
        <f>125*BI65</f>
        <v>0</v>
      </c>
      <c r="BJ136" s="11">
        <f>125*BJ65</f>
        <v>0</v>
      </c>
      <c r="BK136" s="11">
        <f t="shared" si="383"/>
        <v>5850</v>
      </c>
      <c r="BM136" s="11">
        <f>150*BM65+(150*25)</f>
        <v>4275</v>
      </c>
      <c r="BN136" s="11">
        <f>125*BN65</f>
        <v>0</v>
      </c>
      <c r="BO136" s="11">
        <f>150*BO65</f>
        <v>75</v>
      </c>
      <c r="BP136" s="11"/>
      <c r="BQ136" s="11">
        <f>125*BQ65</f>
        <v>0</v>
      </c>
      <c r="BR136" s="11">
        <f>125*BR65</f>
        <v>0</v>
      </c>
      <c r="BS136" s="11">
        <f>125*BS65</f>
        <v>0</v>
      </c>
      <c r="BT136" s="11">
        <f t="shared" si="385"/>
        <v>4350</v>
      </c>
      <c r="BV136" s="5">
        <f t="shared" si="342"/>
        <v>105150</v>
      </c>
      <c r="BW136" s="5">
        <f t="shared" si="342"/>
        <v>14074.5</v>
      </c>
      <c r="BX136" s="5">
        <f t="shared" si="342"/>
        <v>2625</v>
      </c>
      <c r="BY136" s="5">
        <f t="shared" si="342"/>
        <v>0</v>
      </c>
      <c r="BZ136" s="5">
        <f t="shared" si="342"/>
        <v>0</v>
      </c>
      <c r="CA136" s="5">
        <f t="shared" si="342"/>
        <v>0</v>
      </c>
      <c r="CB136" s="11">
        <f>125*CB65</f>
        <v>0</v>
      </c>
      <c r="CC136" s="11">
        <f t="shared" si="387"/>
        <v>121849.5</v>
      </c>
    </row>
    <row r="137" spans="1:81">
      <c r="A137" s="29" t="s">
        <v>119</v>
      </c>
      <c r="B137" s="11">
        <v>2500</v>
      </c>
      <c r="C137" s="11"/>
      <c r="D137" s="11"/>
      <c r="E137" s="11"/>
      <c r="F137" s="11"/>
      <c r="G137" s="11"/>
      <c r="H137" s="11"/>
      <c r="I137" s="11">
        <f t="shared" si="363"/>
        <v>2500</v>
      </c>
      <c r="K137" s="11">
        <v>2500</v>
      </c>
      <c r="L137" s="11"/>
      <c r="M137" s="11"/>
      <c r="N137" s="11"/>
      <c r="O137" s="11">
        <v>0</v>
      </c>
      <c r="P137" s="11"/>
      <c r="Q137" s="11"/>
      <c r="R137" s="11">
        <f t="shared" si="366"/>
        <v>2500</v>
      </c>
      <c r="T137" s="11">
        <v>10000</v>
      </c>
      <c r="U137" s="11"/>
      <c r="V137" s="11"/>
      <c r="W137" s="11"/>
      <c r="X137" s="11">
        <v>0</v>
      </c>
      <c r="Y137" s="11"/>
      <c r="Z137" s="11"/>
      <c r="AA137" s="11">
        <f t="shared" si="369"/>
        <v>10000</v>
      </c>
      <c r="AC137" s="11">
        <v>2500</v>
      </c>
      <c r="AD137" s="11"/>
      <c r="AE137" s="11"/>
      <c r="AF137" s="11"/>
      <c r="AG137" s="11">
        <v>0</v>
      </c>
      <c r="AH137" s="11"/>
      <c r="AI137" s="11"/>
      <c r="AJ137" s="11">
        <f t="shared" si="372"/>
        <v>2500</v>
      </c>
      <c r="AL137" s="11">
        <v>2500</v>
      </c>
      <c r="AM137" s="11"/>
      <c r="AN137" s="11"/>
      <c r="AO137" s="11"/>
      <c r="AP137" s="11">
        <v>0</v>
      </c>
      <c r="AQ137" s="11"/>
      <c r="AR137" s="11"/>
      <c r="AS137" s="11">
        <f t="shared" si="375"/>
        <v>2500</v>
      </c>
      <c r="AU137" s="11">
        <f>(115*(AU17+10)*12)+6000+15000+7000</f>
        <v>235000</v>
      </c>
      <c r="AV137" s="11">
        <v>17500</v>
      </c>
      <c r="AW137" s="11"/>
      <c r="AX137" s="11"/>
      <c r="AY137" s="11">
        <v>0</v>
      </c>
      <c r="AZ137" s="11"/>
      <c r="BA137" s="11"/>
      <c r="BB137" s="11">
        <f t="shared" si="379"/>
        <v>252500</v>
      </c>
      <c r="BD137" s="11">
        <v>0</v>
      </c>
      <c r="BE137" s="11"/>
      <c r="BF137" s="11"/>
      <c r="BG137" s="11"/>
      <c r="BH137" s="11">
        <v>0</v>
      </c>
      <c r="BI137" s="11"/>
      <c r="BJ137" s="11"/>
      <c r="BK137" s="11">
        <f t="shared" si="383"/>
        <v>0</v>
      </c>
      <c r="BM137" s="11">
        <v>0</v>
      </c>
      <c r="BN137" s="11"/>
      <c r="BO137" s="11"/>
      <c r="BP137" s="11"/>
      <c r="BQ137" s="11">
        <v>0</v>
      </c>
      <c r="BR137" s="11"/>
      <c r="BS137" s="11"/>
      <c r="BT137" s="11">
        <f t="shared" si="385"/>
        <v>0</v>
      </c>
      <c r="BV137" s="5">
        <f t="shared" si="342"/>
        <v>255000</v>
      </c>
      <c r="BW137" s="5">
        <f t="shared" si="342"/>
        <v>17500</v>
      </c>
      <c r="BX137" s="5">
        <f t="shared" si="342"/>
        <v>0</v>
      </c>
      <c r="BY137" s="5">
        <f t="shared" si="342"/>
        <v>0</v>
      </c>
      <c r="BZ137" s="5">
        <f t="shared" si="342"/>
        <v>0</v>
      </c>
      <c r="CA137" s="5">
        <f t="shared" si="342"/>
        <v>0</v>
      </c>
      <c r="CB137" s="11"/>
      <c r="CC137" s="11">
        <f t="shared" si="387"/>
        <v>272500</v>
      </c>
    </row>
    <row r="138" spans="1:81">
      <c r="A138" s="29" t="s">
        <v>120</v>
      </c>
      <c r="B138" s="11">
        <v>0</v>
      </c>
      <c r="C138" s="11">
        <v>0</v>
      </c>
      <c r="D138" s="11">
        <v>0</v>
      </c>
      <c r="E138" s="11"/>
      <c r="F138" s="11"/>
      <c r="G138" s="11"/>
      <c r="H138" s="11"/>
      <c r="I138" s="11">
        <f t="shared" si="363"/>
        <v>0</v>
      </c>
      <c r="K138" s="11">
        <v>0</v>
      </c>
      <c r="L138" s="11">
        <v>0</v>
      </c>
      <c r="M138" s="11">
        <v>0</v>
      </c>
      <c r="N138" s="11"/>
      <c r="O138" s="11"/>
      <c r="P138" s="11"/>
      <c r="Q138" s="11"/>
      <c r="R138" s="11">
        <f t="shared" si="366"/>
        <v>0</v>
      </c>
      <c r="T138" s="11">
        <v>0</v>
      </c>
      <c r="U138" s="11">
        <v>0</v>
      </c>
      <c r="V138" s="11">
        <v>0</v>
      </c>
      <c r="W138" s="11"/>
      <c r="X138" s="11"/>
      <c r="Y138" s="11"/>
      <c r="Z138" s="11"/>
      <c r="AA138" s="11">
        <f t="shared" si="369"/>
        <v>0</v>
      </c>
      <c r="AC138" s="11">
        <v>0</v>
      </c>
      <c r="AD138" s="11">
        <v>0</v>
      </c>
      <c r="AE138" s="11">
        <v>0</v>
      </c>
      <c r="AF138" s="11"/>
      <c r="AG138" s="11"/>
      <c r="AH138" s="11"/>
      <c r="AI138" s="11"/>
      <c r="AJ138" s="11">
        <f t="shared" si="372"/>
        <v>0</v>
      </c>
      <c r="AL138" s="11">
        <v>0</v>
      </c>
      <c r="AM138" s="11">
        <v>0</v>
      </c>
      <c r="AN138" s="11">
        <v>0</v>
      </c>
      <c r="AO138" s="11"/>
      <c r="AP138" s="11"/>
      <c r="AQ138" s="11"/>
      <c r="AR138" s="11"/>
      <c r="AS138" s="11">
        <f t="shared" si="375"/>
        <v>0</v>
      </c>
      <c r="AU138" s="11">
        <v>0</v>
      </c>
      <c r="AV138" s="11">
        <v>0</v>
      </c>
      <c r="AW138" s="11">
        <v>0</v>
      </c>
      <c r="AX138" s="11"/>
      <c r="AY138" s="11"/>
      <c r="AZ138" s="11"/>
      <c r="BA138" s="11"/>
      <c r="BB138" s="11">
        <f t="shared" si="379"/>
        <v>0</v>
      </c>
      <c r="BD138" s="11">
        <v>0</v>
      </c>
      <c r="BE138" s="11">
        <v>0</v>
      </c>
      <c r="BF138" s="11">
        <v>0</v>
      </c>
      <c r="BG138" s="11"/>
      <c r="BH138" s="11"/>
      <c r="BI138" s="11"/>
      <c r="BJ138" s="11"/>
      <c r="BK138" s="11">
        <f t="shared" si="383"/>
        <v>0</v>
      </c>
      <c r="BM138" s="11">
        <v>0</v>
      </c>
      <c r="BN138" s="11">
        <v>0</v>
      </c>
      <c r="BO138" s="11">
        <v>0</v>
      </c>
      <c r="BP138" s="11"/>
      <c r="BQ138" s="11"/>
      <c r="BR138" s="11"/>
      <c r="BS138" s="11"/>
      <c r="BT138" s="11">
        <f t="shared" si="385"/>
        <v>0</v>
      </c>
      <c r="BV138" s="5">
        <f t="shared" si="342"/>
        <v>0</v>
      </c>
      <c r="BW138" s="5">
        <f t="shared" si="342"/>
        <v>0</v>
      </c>
      <c r="BX138" s="5">
        <f t="shared" si="342"/>
        <v>0</v>
      </c>
      <c r="BY138" s="5">
        <f t="shared" si="342"/>
        <v>0</v>
      </c>
      <c r="BZ138" s="5">
        <f t="shared" si="342"/>
        <v>0</v>
      </c>
      <c r="CA138" s="5">
        <f t="shared" si="342"/>
        <v>0</v>
      </c>
      <c r="CB138" s="11"/>
      <c r="CC138" s="11">
        <f t="shared" si="387"/>
        <v>0</v>
      </c>
    </row>
    <row r="139" spans="1:81">
      <c r="A139" s="29" t="s">
        <v>121</v>
      </c>
      <c r="B139" s="11">
        <v>10000</v>
      </c>
      <c r="C139" s="11"/>
      <c r="D139" s="11"/>
      <c r="E139" s="11"/>
      <c r="F139" s="11"/>
      <c r="G139" s="11"/>
      <c r="H139" s="11"/>
      <c r="I139" s="5">
        <f t="shared" si="363"/>
        <v>10000</v>
      </c>
      <c r="K139" s="11">
        <v>10000</v>
      </c>
      <c r="L139" s="11"/>
      <c r="M139" s="11"/>
      <c r="N139" s="11"/>
      <c r="O139" s="11"/>
      <c r="P139" s="11"/>
      <c r="Q139" s="11"/>
      <c r="R139" s="5">
        <f t="shared" si="366"/>
        <v>10000</v>
      </c>
      <c r="T139" s="11">
        <v>12000</v>
      </c>
      <c r="U139" s="11"/>
      <c r="V139" s="11"/>
      <c r="W139" s="11"/>
      <c r="X139" s="11"/>
      <c r="Y139" s="11"/>
      <c r="Z139" s="11"/>
      <c r="AA139" s="5">
        <f t="shared" si="369"/>
        <v>12000</v>
      </c>
      <c r="AC139" s="11">
        <v>15000</v>
      </c>
      <c r="AD139" s="11"/>
      <c r="AE139" s="11"/>
      <c r="AF139" s="11"/>
      <c r="AG139" s="11"/>
      <c r="AH139" s="11"/>
      <c r="AI139" s="11"/>
      <c r="AJ139" s="5">
        <f t="shared" si="372"/>
        <v>15000</v>
      </c>
      <c r="AL139" s="11">
        <v>15000</v>
      </c>
      <c r="AM139" s="11"/>
      <c r="AN139" s="11"/>
      <c r="AO139" s="11"/>
      <c r="AP139" s="11"/>
      <c r="AQ139" s="11"/>
      <c r="AR139" s="11"/>
      <c r="AS139" s="5">
        <f t="shared" si="375"/>
        <v>15000</v>
      </c>
      <c r="AU139" s="11">
        <v>2500</v>
      </c>
      <c r="AV139" s="11"/>
      <c r="AW139" s="11"/>
      <c r="AX139" s="11"/>
      <c r="AY139" s="11"/>
      <c r="AZ139" s="11"/>
      <c r="BA139" s="11"/>
      <c r="BB139" s="5">
        <f t="shared" si="379"/>
        <v>2500</v>
      </c>
      <c r="BD139" s="11">
        <v>2500</v>
      </c>
      <c r="BE139" s="11"/>
      <c r="BF139" s="11"/>
      <c r="BG139" s="11"/>
      <c r="BH139" s="11"/>
      <c r="BI139" s="11"/>
      <c r="BJ139" s="11"/>
      <c r="BK139" s="5">
        <f t="shared" si="383"/>
        <v>2500</v>
      </c>
      <c r="BM139" s="11">
        <v>0</v>
      </c>
      <c r="BN139" s="11"/>
      <c r="BO139" s="11"/>
      <c r="BP139" s="11"/>
      <c r="BQ139" s="11"/>
      <c r="BR139" s="11"/>
      <c r="BS139" s="11"/>
      <c r="BT139" s="5">
        <f t="shared" si="385"/>
        <v>0</v>
      </c>
      <c r="BV139" s="5">
        <f t="shared" si="342"/>
        <v>67000</v>
      </c>
      <c r="BW139" s="5">
        <f t="shared" si="342"/>
        <v>0</v>
      </c>
      <c r="BX139" s="5">
        <f t="shared" si="342"/>
        <v>0</v>
      </c>
      <c r="BY139" s="5">
        <f t="shared" si="342"/>
        <v>0</v>
      </c>
      <c r="BZ139" s="5">
        <f t="shared" si="342"/>
        <v>0</v>
      </c>
      <c r="CA139" s="5">
        <f t="shared" si="342"/>
        <v>0</v>
      </c>
      <c r="CB139" s="11"/>
      <c r="CC139" s="5">
        <f t="shared" si="387"/>
        <v>67000</v>
      </c>
    </row>
    <row r="140" spans="1:81">
      <c r="A140" s="29" t="s">
        <v>122</v>
      </c>
      <c r="B140" s="35">
        <f>(190*11*(B36))-B130</f>
        <v>57325</v>
      </c>
      <c r="C140" s="35">
        <f t="shared" ref="C140:G140" si="389">(190*11*(C36))-C130</f>
        <v>10450</v>
      </c>
      <c r="D140" s="35">
        <f t="shared" si="389"/>
        <v>0</v>
      </c>
      <c r="E140" s="35">
        <f t="shared" si="389"/>
        <v>0</v>
      </c>
      <c r="F140" s="35">
        <f t="shared" si="389"/>
        <v>0</v>
      </c>
      <c r="G140" s="35">
        <f t="shared" si="389"/>
        <v>0</v>
      </c>
      <c r="H140" s="35">
        <f t="shared" ref="H140" si="390">(175*11*(H36))-H130</f>
        <v>0</v>
      </c>
      <c r="I140" s="5">
        <f t="shared" si="363"/>
        <v>67775</v>
      </c>
      <c r="K140" s="35">
        <f>(190*11*(K36))-K130</f>
        <v>60460</v>
      </c>
      <c r="L140" s="35">
        <f t="shared" ref="L140:P140" si="391">(190*11*(L36))-L130</f>
        <v>8360</v>
      </c>
      <c r="M140" s="35">
        <f t="shared" si="391"/>
        <v>0</v>
      </c>
      <c r="N140" s="35">
        <f t="shared" si="391"/>
        <v>0</v>
      </c>
      <c r="O140" s="35">
        <f t="shared" si="391"/>
        <v>0</v>
      </c>
      <c r="P140" s="35">
        <f t="shared" si="391"/>
        <v>0</v>
      </c>
      <c r="Q140" s="35">
        <f t="shared" ref="Q140" si="392">(175*11*(Q36))-Q130</f>
        <v>0</v>
      </c>
      <c r="R140" s="5">
        <f t="shared" si="366"/>
        <v>68820</v>
      </c>
      <c r="T140" s="35">
        <f>(190*11*(T36))-T130</f>
        <v>54040</v>
      </c>
      <c r="U140" s="35">
        <f t="shared" ref="U140:Z140" si="393">(190*11*(U36))-U130</f>
        <v>10450</v>
      </c>
      <c r="V140" s="35">
        <f t="shared" si="393"/>
        <v>0</v>
      </c>
      <c r="W140" s="35">
        <f t="shared" si="393"/>
        <v>0</v>
      </c>
      <c r="X140" s="35">
        <f t="shared" si="393"/>
        <v>0</v>
      </c>
      <c r="Y140" s="35">
        <f t="shared" si="393"/>
        <v>0</v>
      </c>
      <c r="Z140" s="35">
        <f t="shared" si="393"/>
        <v>0</v>
      </c>
      <c r="AA140" s="5">
        <f t="shared" si="369"/>
        <v>64490</v>
      </c>
      <c r="AC140" s="35">
        <f>(190*11*(AC36))-AC130</f>
        <v>116590</v>
      </c>
      <c r="AD140" s="35">
        <f t="shared" ref="AD140:AH140" si="394">(190*11*(AD36))-AD130</f>
        <v>27170</v>
      </c>
      <c r="AE140" s="35">
        <f t="shared" si="394"/>
        <v>0</v>
      </c>
      <c r="AF140" s="35">
        <f t="shared" si="394"/>
        <v>0</v>
      </c>
      <c r="AG140" s="35">
        <f t="shared" si="394"/>
        <v>0</v>
      </c>
      <c r="AH140" s="35">
        <f t="shared" si="394"/>
        <v>0</v>
      </c>
      <c r="AI140" s="35">
        <f t="shared" ref="AI140" si="395">(175*11*(AI36))-AI130</f>
        <v>0</v>
      </c>
      <c r="AJ140" s="5">
        <f t="shared" si="372"/>
        <v>143760</v>
      </c>
      <c r="AL140" s="35">
        <f>(190*11*(AL36))-AL130</f>
        <v>76730</v>
      </c>
      <c r="AM140" s="35">
        <f>(190*11*(AM36))-AM130</f>
        <v>25080</v>
      </c>
      <c r="AN140" s="35">
        <f t="shared" ref="AN140:AO140" si="396">(185*11*(AN36))-AN130</f>
        <v>0</v>
      </c>
      <c r="AO140" s="35">
        <f t="shared" si="396"/>
        <v>0</v>
      </c>
      <c r="AP140" s="35">
        <f t="shared" ref="AP140:AR140" si="397">(175*11*(AP36))-AP130</f>
        <v>0</v>
      </c>
      <c r="AQ140" s="35">
        <f t="shared" si="397"/>
        <v>0</v>
      </c>
      <c r="AR140" s="35">
        <f t="shared" si="397"/>
        <v>0</v>
      </c>
      <c r="AS140" s="5">
        <f t="shared" si="375"/>
        <v>101810</v>
      </c>
      <c r="AU140" s="35">
        <f>(190*11*(AU36))-AU130</f>
        <v>0</v>
      </c>
      <c r="AV140" s="35">
        <f t="shared" ref="AV140:AZ140" si="398">(190*11*(AV36))-AV130</f>
        <v>2090</v>
      </c>
      <c r="AW140" s="35">
        <f t="shared" si="398"/>
        <v>0</v>
      </c>
      <c r="AX140" s="35">
        <f t="shared" si="398"/>
        <v>0</v>
      </c>
      <c r="AY140" s="35">
        <f t="shared" si="398"/>
        <v>0</v>
      </c>
      <c r="AZ140" s="35">
        <f t="shared" si="398"/>
        <v>0</v>
      </c>
      <c r="BA140" s="35">
        <f t="shared" ref="BA140" si="399">(175*11*(BA36))-BA130</f>
        <v>0</v>
      </c>
      <c r="BB140" s="5">
        <f t="shared" si="379"/>
        <v>2090</v>
      </c>
      <c r="BD140" s="35">
        <f>(190*11*(BD36))-BD130</f>
        <v>41800</v>
      </c>
      <c r="BE140" s="35">
        <f t="shared" ref="BE140:BI140" si="400">(190*11*(BE36))-BE130</f>
        <v>2090</v>
      </c>
      <c r="BF140" s="35">
        <f t="shared" si="400"/>
        <v>0</v>
      </c>
      <c r="BG140" s="35">
        <f t="shared" si="400"/>
        <v>0</v>
      </c>
      <c r="BH140" s="35">
        <f t="shared" si="400"/>
        <v>0</v>
      </c>
      <c r="BI140" s="35">
        <f t="shared" si="400"/>
        <v>0</v>
      </c>
      <c r="BJ140" s="35">
        <f t="shared" ref="BJ140" si="401">(175*11*(BJ36))-BJ130</f>
        <v>0</v>
      </c>
      <c r="BK140" s="5">
        <f t="shared" si="383"/>
        <v>43890</v>
      </c>
      <c r="BM140" s="35">
        <v>0</v>
      </c>
      <c r="BN140" s="35">
        <f t="shared" ref="BN140:BP140" si="402">(185*11*(BN36))-BN130</f>
        <v>0</v>
      </c>
      <c r="BO140" s="35">
        <f t="shared" si="402"/>
        <v>0</v>
      </c>
      <c r="BP140" s="35">
        <f t="shared" si="402"/>
        <v>0</v>
      </c>
      <c r="BQ140" s="35">
        <f t="shared" ref="BQ140:BS140" si="403">(175*11*(BQ36))-BQ130</f>
        <v>0</v>
      </c>
      <c r="BR140" s="35">
        <f t="shared" si="403"/>
        <v>0</v>
      </c>
      <c r="BS140" s="35">
        <f t="shared" si="403"/>
        <v>0</v>
      </c>
      <c r="BT140" s="5">
        <f t="shared" si="385"/>
        <v>0</v>
      </c>
      <c r="BV140" s="5">
        <f t="shared" si="342"/>
        <v>406945</v>
      </c>
      <c r="BW140" s="5">
        <f t="shared" si="342"/>
        <v>85690</v>
      </c>
      <c r="BX140" s="5">
        <f t="shared" si="342"/>
        <v>0</v>
      </c>
      <c r="BY140" s="5">
        <f t="shared" si="342"/>
        <v>0</v>
      </c>
      <c r="BZ140" s="5">
        <f t="shared" si="342"/>
        <v>0</v>
      </c>
      <c r="CA140" s="5">
        <f t="shared" si="342"/>
        <v>0</v>
      </c>
      <c r="CB140" s="35">
        <f t="shared" ref="CB140" si="404">(175*11*(CB36))-CB130</f>
        <v>0</v>
      </c>
      <c r="CC140" s="5">
        <f t="shared" si="387"/>
        <v>492635</v>
      </c>
    </row>
    <row r="141" spans="1:81" ht="15">
      <c r="A141" s="73" t="s">
        <v>123</v>
      </c>
      <c r="B141" s="74">
        <f>SUM(B133:B140)</f>
        <v>1953160.6651898371</v>
      </c>
      <c r="C141" s="74">
        <f t="shared" ref="C141:H141" si="405">SUM(C133:C140)</f>
        <v>267950.62960937497</v>
      </c>
      <c r="D141" s="74">
        <f t="shared" si="405"/>
        <v>32178</v>
      </c>
      <c r="E141" s="74">
        <f t="shared" si="405"/>
        <v>0</v>
      </c>
      <c r="F141" s="74">
        <f t="shared" si="405"/>
        <v>0</v>
      </c>
      <c r="G141" s="74">
        <f t="shared" si="405"/>
        <v>0</v>
      </c>
      <c r="H141" s="74">
        <f t="shared" si="405"/>
        <v>0</v>
      </c>
      <c r="I141" s="74">
        <f>SUM(I133:I140)</f>
        <v>2253289.2947992124</v>
      </c>
      <c r="J141" s="7"/>
      <c r="K141" s="74">
        <f>SUM(K133:K140)</f>
        <v>2102029.9772029156</v>
      </c>
      <c r="L141" s="74">
        <f t="shared" ref="L141:Q141" si="406">SUM(L133:L140)</f>
        <v>273809.99415546871</v>
      </c>
      <c r="M141" s="74">
        <f t="shared" si="406"/>
        <v>35473.631624999995</v>
      </c>
      <c r="N141" s="74"/>
      <c r="O141" s="74">
        <f t="shared" si="406"/>
        <v>0</v>
      </c>
      <c r="P141" s="74">
        <f t="shared" si="406"/>
        <v>0</v>
      </c>
      <c r="Q141" s="74">
        <f t="shared" si="406"/>
        <v>0</v>
      </c>
      <c r="R141" s="74">
        <f>SUM(R133:R140)</f>
        <v>2411313.6029833844</v>
      </c>
      <c r="T141" s="74">
        <f>SUM(T133:T140)</f>
        <v>2497149.9796216749</v>
      </c>
      <c r="U141" s="74">
        <f t="shared" ref="U141:Z141" si="407">SUM(U133:U140)</f>
        <v>356386.18549843749</v>
      </c>
      <c r="V141" s="74">
        <f t="shared" si="407"/>
        <v>32178</v>
      </c>
      <c r="W141" s="74"/>
      <c r="X141" s="74">
        <f t="shared" si="407"/>
        <v>0</v>
      </c>
      <c r="Y141" s="74">
        <f t="shared" si="407"/>
        <v>0</v>
      </c>
      <c r="Z141" s="74">
        <f t="shared" si="407"/>
        <v>0</v>
      </c>
      <c r="AA141" s="74">
        <f>SUM(AA133:AA140)</f>
        <v>2885714.1651201127</v>
      </c>
      <c r="AC141" s="74">
        <f>SUM(AC133:AC140)</f>
        <v>4990519.6573200002</v>
      </c>
      <c r="AD141" s="74">
        <f t="shared" ref="AD141:AI141" si="408">SUM(AD133:AD140)</f>
        <v>833991.5650737501</v>
      </c>
      <c r="AE141" s="74">
        <f t="shared" si="408"/>
        <v>85214.25</v>
      </c>
      <c r="AF141" s="74">
        <f t="shared" si="408"/>
        <v>0</v>
      </c>
      <c r="AG141" s="74">
        <f t="shared" si="408"/>
        <v>0</v>
      </c>
      <c r="AH141" s="74">
        <f t="shared" si="408"/>
        <v>0</v>
      </c>
      <c r="AI141" s="74">
        <f t="shared" si="408"/>
        <v>0</v>
      </c>
      <c r="AJ141" s="74">
        <f>SUM(AJ133:AJ140)</f>
        <v>5909725.4723937502</v>
      </c>
      <c r="AL141" s="74">
        <f>SUM(AL133:AL140)</f>
        <v>4484877.8979419339</v>
      </c>
      <c r="AM141" s="74">
        <f t="shared" ref="AM141:AR141" si="409">SUM(AM133:AM140)</f>
        <v>711476.95949624991</v>
      </c>
      <c r="AN141" s="74">
        <f t="shared" si="409"/>
        <v>50052.75</v>
      </c>
      <c r="AO141" s="74">
        <f t="shared" si="409"/>
        <v>0</v>
      </c>
      <c r="AP141" s="74">
        <f t="shared" si="409"/>
        <v>0</v>
      </c>
      <c r="AQ141" s="74">
        <f t="shared" si="409"/>
        <v>0</v>
      </c>
      <c r="AR141" s="74">
        <f t="shared" si="409"/>
        <v>0</v>
      </c>
      <c r="AS141" s="74">
        <f>SUM(AS133:AS140)</f>
        <v>5246407.6074381843</v>
      </c>
      <c r="AU141" s="74">
        <f>SUM(AU133:AU140)</f>
        <v>313692.52189062501</v>
      </c>
      <c r="AV141" s="74">
        <f t="shared" ref="AV141:BA141" si="410">SUM(AV133:AV140)</f>
        <v>76193.075528203117</v>
      </c>
      <c r="AW141" s="74">
        <f t="shared" si="410"/>
        <v>0</v>
      </c>
      <c r="AX141" s="74">
        <f t="shared" si="410"/>
        <v>0</v>
      </c>
      <c r="AY141" s="74">
        <f t="shared" si="410"/>
        <v>0</v>
      </c>
      <c r="AZ141" s="74">
        <f t="shared" si="410"/>
        <v>0</v>
      </c>
      <c r="BA141" s="74">
        <f t="shared" si="410"/>
        <v>0</v>
      </c>
      <c r="BB141" s="74">
        <f>SUM(BB133:BB140)</f>
        <v>389885.59741882811</v>
      </c>
      <c r="BD141" s="74">
        <f>SUM(BD133:BD140)</f>
        <v>894915.00115625001</v>
      </c>
      <c r="BE141" s="74">
        <f t="shared" ref="BE141:BJ141" si="411">SUM(BE133:BE140)</f>
        <v>49230</v>
      </c>
      <c r="BF141" s="74">
        <f t="shared" si="411"/>
        <v>15036</v>
      </c>
      <c r="BG141" s="74">
        <f t="shared" si="411"/>
        <v>0</v>
      </c>
      <c r="BH141" s="74">
        <f t="shared" si="411"/>
        <v>0</v>
      </c>
      <c r="BI141" s="74">
        <f t="shared" si="411"/>
        <v>0</v>
      </c>
      <c r="BJ141" s="74">
        <f t="shared" si="411"/>
        <v>0</v>
      </c>
      <c r="BK141" s="74">
        <f>SUM(BK133:BK140)</f>
        <v>959181.00115625001</v>
      </c>
      <c r="BM141" s="74">
        <f>SUM(BM133:BM140)</f>
        <v>148739.10965624996</v>
      </c>
      <c r="BN141" s="74">
        <f t="shared" ref="BN141:BS141" si="412">SUM(BN133:BN140)</f>
        <v>0</v>
      </c>
      <c r="BO141" s="74">
        <f t="shared" si="412"/>
        <v>9368.125</v>
      </c>
      <c r="BP141" s="74">
        <f t="shared" si="412"/>
        <v>0</v>
      </c>
      <c r="BQ141" s="74">
        <f t="shared" si="412"/>
        <v>0</v>
      </c>
      <c r="BR141" s="74">
        <f t="shared" si="412"/>
        <v>0</v>
      </c>
      <c r="BS141" s="74">
        <f t="shared" si="412"/>
        <v>0</v>
      </c>
      <c r="BT141" s="74">
        <f>SUM(BT133:BT140)</f>
        <v>158107.23465624996</v>
      </c>
      <c r="BV141" s="74">
        <f>SUM(BV133:BV140)</f>
        <v>17385084.809979487</v>
      </c>
      <c r="BW141" s="74">
        <f t="shared" ref="BW141:CB141" si="413">SUM(BW133:BW140)</f>
        <v>2569038.4093614845</v>
      </c>
      <c r="BX141" s="74">
        <f t="shared" si="413"/>
        <v>259500.75662500001</v>
      </c>
      <c r="BY141" s="74">
        <f t="shared" si="413"/>
        <v>0</v>
      </c>
      <c r="BZ141" s="74">
        <f t="shared" si="413"/>
        <v>0</v>
      </c>
      <c r="CA141" s="74">
        <f t="shared" si="413"/>
        <v>0</v>
      </c>
      <c r="CB141" s="74">
        <f t="shared" si="413"/>
        <v>0</v>
      </c>
      <c r="CC141" s="74">
        <f>SUM(CC133:CC140)</f>
        <v>20213623.975965973</v>
      </c>
    </row>
    <row r="142" spans="1:81" ht="15">
      <c r="A142" s="70" t="s">
        <v>124</v>
      </c>
      <c r="B142" s="71">
        <f t="shared" ref="B142:I142" si="414">B132+B141</f>
        <v>5647443.0553228371</v>
      </c>
      <c r="C142" s="71">
        <f t="shared" si="414"/>
        <v>775615.51085937489</v>
      </c>
      <c r="D142" s="71">
        <f t="shared" si="414"/>
        <v>95538</v>
      </c>
      <c r="E142" s="71">
        <f t="shared" si="414"/>
        <v>0</v>
      </c>
      <c r="F142" s="71">
        <f t="shared" si="414"/>
        <v>0</v>
      </c>
      <c r="G142" s="71">
        <f t="shared" si="414"/>
        <v>0</v>
      </c>
      <c r="H142" s="71">
        <f t="shared" si="414"/>
        <v>0</v>
      </c>
      <c r="I142" s="71">
        <f t="shared" si="414"/>
        <v>6518596.566182212</v>
      </c>
      <c r="J142" s="7"/>
      <c r="K142" s="71">
        <f t="shared" ref="K142:R142" si="415">K132+K141</f>
        <v>6084829.9304396659</v>
      </c>
      <c r="L142" s="71">
        <f t="shared" si="415"/>
        <v>797781.26421796856</v>
      </c>
      <c r="M142" s="71">
        <f t="shared" si="415"/>
        <v>105593.90162499998</v>
      </c>
      <c r="N142" s="71"/>
      <c r="O142" s="71">
        <f t="shared" si="415"/>
        <v>0</v>
      </c>
      <c r="P142" s="71">
        <f t="shared" si="415"/>
        <v>0</v>
      </c>
      <c r="Q142" s="71">
        <f t="shared" si="415"/>
        <v>0</v>
      </c>
      <c r="R142" s="71">
        <f t="shared" si="415"/>
        <v>6988205.096282634</v>
      </c>
      <c r="T142" s="71">
        <f t="shared" ref="T142:AA142" si="416">T132+T141</f>
        <v>7348210.6832676744</v>
      </c>
      <c r="U142" s="71">
        <f t="shared" si="416"/>
        <v>1038415.5506234375</v>
      </c>
      <c r="V142" s="71">
        <f t="shared" si="416"/>
        <v>95538</v>
      </c>
      <c r="W142" s="71"/>
      <c r="X142" s="71">
        <f t="shared" si="416"/>
        <v>0</v>
      </c>
      <c r="Y142" s="71">
        <f t="shared" si="416"/>
        <v>0</v>
      </c>
      <c r="Z142" s="71">
        <f t="shared" si="416"/>
        <v>0</v>
      </c>
      <c r="AA142" s="71">
        <f t="shared" si="416"/>
        <v>8482164.2338911109</v>
      </c>
      <c r="AC142" s="71">
        <f t="shared" ref="AC142:AJ142" si="417">AC132+AC141</f>
        <v>14553012.28772</v>
      </c>
      <c r="AD142" s="71">
        <f t="shared" si="417"/>
        <v>2428807.08317375</v>
      </c>
      <c r="AE142" s="71">
        <f t="shared" si="417"/>
        <v>252074.25</v>
      </c>
      <c r="AF142" s="71">
        <f t="shared" si="417"/>
        <v>0</v>
      </c>
      <c r="AG142" s="71">
        <f t="shared" si="417"/>
        <v>0</v>
      </c>
      <c r="AH142" s="71">
        <f t="shared" si="417"/>
        <v>0</v>
      </c>
      <c r="AI142" s="71">
        <f t="shared" si="417"/>
        <v>0</v>
      </c>
      <c r="AJ142" s="71">
        <f t="shared" si="417"/>
        <v>17233893.620893747</v>
      </c>
      <c r="AL142" s="71">
        <f t="shared" ref="AL142:AS142" si="418">AL132+AL141</f>
        <v>13140522.816797184</v>
      </c>
      <c r="AM142" s="71">
        <f t="shared" si="418"/>
        <v>2066741.4917962498</v>
      </c>
      <c r="AN142" s="71">
        <f t="shared" si="418"/>
        <v>147432.75</v>
      </c>
      <c r="AO142" s="71">
        <f t="shared" si="418"/>
        <v>0</v>
      </c>
      <c r="AP142" s="71">
        <f t="shared" si="418"/>
        <v>0</v>
      </c>
      <c r="AQ142" s="71">
        <f t="shared" si="418"/>
        <v>0</v>
      </c>
      <c r="AR142" s="71">
        <f t="shared" si="418"/>
        <v>0</v>
      </c>
      <c r="AS142" s="71">
        <f t="shared" si="418"/>
        <v>15354697.058593433</v>
      </c>
      <c r="AU142" s="71">
        <f t="shared" ref="AU142:BB142" si="419">AU132+AU141</f>
        <v>461938.72064062499</v>
      </c>
      <c r="AV142" s="71">
        <f t="shared" si="419"/>
        <v>188437.33302195312</v>
      </c>
      <c r="AW142" s="71">
        <f t="shared" si="419"/>
        <v>0</v>
      </c>
      <c r="AX142" s="71">
        <f t="shared" si="419"/>
        <v>0</v>
      </c>
      <c r="AY142" s="71">
        <f t="shared" si="419"/>
        <v>0</v>
      </c>
      <c r="AZ142" s="71">
        <f t="shared" si="419"/>
        <v>0</v>
      </c>
      <c r="BA142" s="71">
        <f t="shared" si="419"/>
        <v>0</v>
      </c>
      <c r="BB142" s="71">
        <f t="shared" si="419"/>
        <v>650376.05366257811</v>
      </c>
      <c r="BD142" s="71">
        <f t="shared" ref="BD142:BK142" si="420">BD132+BD141</f>
        <v>2577243.20865625</v>
      </c>
      <c r="BE142" s="71">
        <f t="shared" si="420"/>
        <v>142030</v>
      </c>
      <c r="BF142" s="71">
        <f t="shared" si="420"/>
        <v>44556</v>
      </c>
      <c r="BG142" s="71">
        <f t="shared" si="420"/>
        <v>0</v>
      </c>
      <c r="BH142" s="71">
        <f t="shared" si="420"/>
        <v>0</v>
      </c>
      <c r="BI142" s="71">
        <f t="shared" si="420"/>
        <v>0</v>
      </c>
      <c r="BJ142" s="71">
        <f t="shared" si="420"/>
        <v>0</v>
      </c>
      <c r="BK142" s="71">
        <f t="shared" si="420"/>
        <v>2763829.20865625</v>
      </c>
      <c r="BM142" s="71">
        <f t="shared" ref="BM142:BT142" si="421">BM132+BM141</f>
        <v>437383.43715624989</v>
      </c>
      <c r="BN142" s="71">
        <f t="shared" si="421"/>
        <v>0</v>
      </c>
      <c r="BO142" s="71">
        <f t="shared" si="421"/>
        <v>27918.125</v>
      </c>
      <c r="BP142" s="71">
        <f t="shared" si="421"/>
        <v>0</v>
      </c>
      <c r="BQ142" s="71">
        <f t="shared" si="421"/>
        <v>0</v>
      </c>
      <c r="BR142" s="71">
        <f t="shared" si="421"/>
        <v>0</v>
      </c>
      <c r="BS142" s="71">
        <f t="shared" si="421"/>
        <v>0</v>
      </c>
      <c r="BT142" s="71">
        <f t="shared" si="421"/>
        <v>465301.56215624989</v>
      </c>
      <c r="BV142" s="71">
        <f t="shared" ref="BV142:CC142" si="422">BV132+BV141</f>
        <v>50250584.140000492</v>
      </c>
      <c r="BW142" s="71">
        <f t="shared" si="422"/>
        <v>7437828.2336927345</v>
      </c>
      <c r="BX142" s="71">
        <f t="shared" si="422"/>
        <v>768651.02662500006</v>
      </c>
      <c r="BY142" s="71">
        <f t="shared" si="422"/>
        <v>0</v>
      </c>
      <c r="BZ142" s="71">
        <f t="shared" si="422"/>
        <v>0</v>
      </c>
      <c r="CA142" s="71">
        <f t="shared" si="422"/>
        <v>0</v>
      </c>
      <c r="CB142" s="71">
        <f t="shared" si="422"/>
        <v>0</v>
      </c>
      <c r="CC142" s="71">
        <f t="shared" si="422"/>
        <v>58457063.40031822</v>
      </c>
    </row>
    <row r="143" spans="1:81" ht="15">
      <c r="A143" s="75" t="s">
        <v>125</v>
      </c>
      <c r="B143" s="18" t="str">
        <f t="shared" ref="B143:I143" si="423">B1</f>
        <v>Operating</v>
      </c>
      <c r="C143" s="18" t="str">
        <f t="shared" si="423"/>
        <v>SPED</v>
      </c>
      <c r="D143" s="18" t="str">
        <f t="shared" si="423"/>
        <v>NSLP</v>
      </c>
      <c r="E143" s="18" t="str">
        <f t="shared" si="423"/>
        <v>Other</v>
      </c>
      <c r="F143" s="18" t="str">
        <f t="shared" si="423"/>
        <v>Title I</v>
      </c>
      <c r="G143" s="18" t="str">
        <f t="shared" si="423"/>
        <v>SGF</v>
      </c>
      <c r="H143" s="18" t="str">
        <f t="shared" si="423"/>
        <v>Title III</v>
      </c>
      <c r="I143" s="18" t="str">
        <f t="shared" si="423"/>
        <v>Horizon</v>
      </c>
      <c r="J143" s="7"/>
      <c r="K143" s="18" t="str">
        <f t="shared" ref="K143:R143" si="424">K1</f>
        <v>Operating</v>
      </c>
      <c r="L143" s="18" t="str">
        <f t="shared" si="424"/>
        <v>SPED</v>
      </c>
      <c r="M143" s="18" t="str">
        <f t="shared" si="424"/>
        <v>NSLP</v>
      </c>
      <c r="N143" s="18" t="str">
        <f t="shared" si="424"/>
        <v>Other</v>
      </c>
      <c r="O143" s="18" t="str">
        <f t="shared" si="424"/>
        <v>Title I</v>
      </c>
      <c r="P143" s="18" t="str">
        <f t="shared" si="424"/>
        <v>SGF</v>
      </c>
      <c r="Q143" s="18" t="str">
        <f t="shared" si="424"/>
        <v>Title III</v>
      </c>
      <c r="R143" s="18" t="str">
        <f t="shared" si="424"/>
        <v>St. Rose</v>
      </c>
      <c r="T143" s="18" t="str">
        <f t="shared" ref="T143:AA143" si="425">T1</f>
        <v>Operating</v>
      </c>
      <c r="U143" s="18" t="str">
        <f t="shared" si="425"/>
        <v>SPED</v>
      </c>
      <c r="V143" s="18" t="str">
        <f t="shared" si="425"/>
        <v>NSLP</v>
      </c>
      <c r="W143" s="18" t="str">
        <f t="shared" si="425"/>
        <v>Other</v>
      </c>
      <c r="X143" s="18" t="str">
        <f t="shared" si="425"/>
        <v>Title I</v>
      </c>
      <c r="Y143" s="18" t="str">
        <f t="shared" si="425"/>
        <v>SGF</v>
      </c>
      <c r="Z143" s="18" t="str">
        <f t="shared" si="425"/>
        <v>Title III</v>
      </c>
      <c r="AA143" s="18" t="str">
        <f t="shared" si="425"/>
        <v>Inspirada</v>
      </c>
      <c r="AC143" s="18" t="str">
        <f t="shared" ref="AC143:AJ143" si="426">AC1</f>
        <v>Operating</v>
      </c>
      <c r="AD143" s="18" t="str">
        <f t="shared" si="426"/>
        <v>SPED</v>
      </c>
      <c r="AE143" s="18" t="str">
        <f t="shared" si="426"/>
        <v>NSLP</v>
      </c>
      <c r="AF143" s="18" t="str">
        <f t="shared" si="426"/>
        <v>Other</v>
      </c>
      <c r="AG143" s="18" t="str">
        <f t="shared" si="426"/>
        <v>Title I</v>
      </c>
      <c r="AH143" s="18" t="str">
        <f t="shared" si="426"/>
        <v>SGF</v>
      </c>
      <c r="AI143" s="18" t="str">
        <f t="shared" si="426"/>
        <v>Title III</v>
      </c>
      <c r="AJ143" s="18" t="str">
        <f t="shared" si="426"/>
        <v>Cadence</v>
      </c>
      <c r="AL143" s="18" t="str">
        <f t="shared" ref="AL143:AS143" si="427">AL1</f>
        <v>Operating</v>
      </c>
      <c r="AM143" s="18" t="str">
        <f t="shared" si="427"/>
        <v>SPED</v>
      </c>
      <c r="AN143" s="18" t="str">
        <f t="shared" si="427"/>
        <v>NSLP</v>
      </c>
      <c r="AO143" s="18" t="str">
        <f t="shared" si="427"/>
        <v>Other</v>
      </c>
      <c r="AP143" s="18" t="str">
        <f t="shared" si="427"/>
        <v>Title I</v>
      </c>
      <c r="AQ143" s="18" t="str">
        <f t="shared" si="427"/>
        <v>SGF</v>
      </c>
      <c r="AR143" s="18" t="str">
        <f t="shared" si="427"/>
        <v>Title III</v>
      </c>
      <c r="AS143" s="18" t="str">
        <f t="shared" si="427"/>
        <v>Sloan</v>
      </c>
      <c r="AU143" s="18" t="str">
        <f t="shared" ref="AU143:BB143" si="428">AU1</f>
        <v>Operating</v>
      </c>
      <c r="AV143" s="18" t="str">
        <f t="shared" si="428"/>
        <v>SPED</v>
      </c>
      <c r="AW143" s="18" t="str">
        <f t="shared" si="428"/>
        <v>NSLP</v>
      </c>
      <c r="AX143" s="18" t="str">
        <f t="shared" si="428"/>
        <v>Other</v>
      </c>
      <c r="AY143" s="18" t="str">
        <f t="shared" si="428"/>
        <v>Title I</v>
      </c>
      <c r="AZ143" s="18" t="str">
        <f t="shared" si="428"/>
        <v>SGF</v>
      </c>
      <c r="BA143" s="18" t="str">
        <f t="shared" si="428"/>
        <v>Title III</v>
      </c>
      <c r="BB143" s="18" t="str">
        <f t="shared" si="428"/>
        <v>Virtual</v>
      </c>
      <c r="BD143" s="18" t="str">
        <f t="shared" ref="BD143:BK143" si="429">BD1</f>
        <v>Operating</v>
      </c>
      <c r="BE143" s="18" t="str">
        <f t="shared" si="429"/>
        <v>SPED</v>
      </c>
      <c r="BF143" s="18" t="str">
        <f t="shared" si="429"/>
        <v>NSLP</v>
      </c>
      <c r="BG143" s="18" t="str">
        <f t="shared" si="429"/>
        <v>Other</v>
      </c>
      <c r="BH143" s="18" t="str">
        <f t="shared" si="429"/>
        <v>Title I</v>
      </c>
      <c r="BI143" s="18" t="str">
        <f t="shared" si="429"/>
        <v>SGF</v>
      </c>
      <c r="BJ143" s="18" t="str">
        <f t="shared" si="429"/>
        <v>Title III</v>
      </c>
      <c r="BK143" s="18" t="str">
        <f t="shared" si="429"/>
        <v>Springs</v>
      </c>
      <c r="BM143" s="18" t="str">
        <f t="shared" ref="BM143:BT143" si="430">BM1</f>
        <v>Operating</v>
      </c>
      <c r="BN143" s="18" t="str">
        <f t="shared" si="430"/>
        <v>SPED</v>
      </c>
      <c r="BO143" s="18" t="str">
        <f t="shared" si="430"/>
        <v>NSLP</v>
      </c>
      <c r="BP143" s="18" t="str">
        <f t="shared" si="430"/>
        <v>Other</v>
      </c>
      <c r="BQ143" s="18" t="str">
        <f t="shared" si="430"/>
        <v>Title I</v>
      </c>
      <c r="BR143" s="18" t="str">
        <f t="shared" si="430"/>
        <v>SGF</v>
      </c>
      <c r="BS143" s="18" t="str">
        <f t="shared" si="430"/>
        <v>Title III</v>
      </c>
      <c r="BT143" s="18" t="str">
        <f t="shared" si="430"/>
        <v>Exec. Office</v>
      </c>
      <c r="BV143" s="18" t="str">
        <f t="shared" ref="BV143:CC143" si="431">BV1</f>
        <v>Operating</v>
      </c>
      <c r="BW143" s="18" t="str">
        <f t="shared" si="431"/>
        <v>SPED</v>
      </c>
      <c r="BX143" s="18" t="str">
        <f t="shared" si="431"/>
        <v>NSLP</v>
      </c>
      <c r="BY143" s="18" t="str">
        <f t="shared" si="431"/>
        <v>Other</v>
      </c>
      <c r="BZ143" s="18" t="str">
        <f t="shared" si="431"/>
        <v>Title I</v>
      </c>
      <c r="CA143" s="18" t="str">
        <f t="shared" si="431"/>
        <v>SGF</v>
      </c>
      <c r="CB143" s="18" t="str">
        <f t="shared" si="431"/>
        <v>Title III</v>
      </c>
      <c r="CC143" s="18" t="str">
        <f t="shared" si="431"/>
        <v>Systemwide</v>
      </c>
    </row>
    <row r="144" spans="1:81">
      <c r="A144" s="76" t="s">
        <v>126</v>
      </c>
      <c r="B144" s="5">
        <f>210*B17</f>
        <v>195300</v>
      </c>
      <c r="C144" s="11"/>
      <c r="D144" s="11"/>
      <c r="E144" s="11"/>
      <c r="F144" s="11"/>
      <c r="G144" s="11"/>
      <c r="H144" s="11"/>
      <c r="I144" s="5">
        <f t="shared" ref="I144:I152" si="432">SUM(B144:H144)</f>
        <v>195300</v>
      </c>
      <c r="K144" s="5">
        <f>210*K17</f>
        <v>216720</v>
      </c>
      <c r="L144" s="11"/>
      <c r="M144" s="11"/>
      <c r="N144" s="11"/>
      <c r="O144" s="11"/>
      <c r="P144" s="11"/>
      <c r="Q144" s="11"/>
      <c r="R144" s="5">
        <f t="shared" ref="R144:R152" si="433">SUM(K144:Q144)</f>
        <v>216720</v>
      </c>
      <c r="T144" s="5">
        <f>210*T17</f>
        <v>261450</v>
      </c>
      <c r="U144" s="11"/>
      <c r="V144" s="11"/>
      <c r="W144" s="11"/>
      <c r="X144" s="11"/>
      <c r="Y144" s="11"/>
      <c r="Z144" s="11"/>
      <c r="AA144" s="5">
        <f t="shared" ref="AA144:AA152" si="434">SUM(T144:Z144)</f>
        <v>261450</v>
      </c>
      <c r="AC144" s="5">
        <f>210*AC17</f>
        <v>528150</v>
      </c>
      <c r="AD144" s="11"/>
      <c r="AE144" s="11"/>
      <c r="AF144" s="11"/>
      <c r="AG144" s="11"/>
      <c r="AH144" s="11"/>
      <c r="AI144" s="11"/>
      <c r="AJ144" s="5">
        <f t="shared" ref="AJ144:AJ152" si="435">SUM(AC144:AI144)</f>
        <v>528150</v>
      </c>
      <c r="AL144" s="5">
        <f>210*AL17</f>
        <v>497910</v>
      </c>
      <c r="AM144" s="11"/>
      <c r="AN144" s="11"/>
      <c r="AO144" s="11"/>
      <c r="AP144" s="11"/>
      <c r="AQ144" s="11"/>
      <c r="AR144" s="11"/>
      <c r="AS144" s="5">
        <f t="shared" ref="AS144:AS152" si="436">SUM(AL144:AR144)</f>
        <v>497910</v>
      </c>
      <c r="AU144" s="5">
        <f>210*AU17</f>
        <v>29400</v>
      </c>
      <c r="AV144" s="11"/>
      <c r="AW144" s="11"/>
      <c r="AX144" s="11"/>
      <c r="AY144" s="11"/>
      <c r="AZ144" s="11"/>
      <c r="BA144" s="11"/>
      <c r="BB144" s="5">
        <f t="shared" ref="BB144:BB152" si="437">SUM(AU144:BA144)</f>
        <v>29400</v>
      </c>
      <c r="BD144" s="5">
        <f>210*BD17</f>
        <v>88410</v>
      </c>
      <c r="BE144" s="11"/>
      <c r="BF144" s="11"/>
      <c r="BG144" s="11"/>
      <c r="BH144" s="11"/>
      <c r="BI144" s="11"/>
      <c r="BJ144" s="11"/>
      <c r="BK144" s="5">
        <f t="shared" ref="BK144:BK152" si="438">SUM(BD144:BJ144)</f>
        <v>88410</v>
      </c>
      <c r="BM144" s="5">
        <f>(150*BM17)</f>
        <v>0</v>
      </c>
      <c r="BN144" s="11"/>
      <c r="BO144" s="11"/>
      <c r="BP144" s="11"/>
      <c r="BQ144" s="11"/>
      <c r="BR144" s="11"/>
      <c r="BS144" s="11"/>
      <c r="BT144" s="5">
        <f t="shared" ref="BT144:BT152" si="439">SUM(BM144:BS144)</f>
        <v>0</v>
      </c>
      <c r="BV144" s="5">
        <f t="shared" ref="BV144:CA153" si="440">B144+K144+T144+AC144+AL144+AU144+BD144+BM144</f>
        <v>1817340</v>
      </c>
      <c r="BW144" s="5">
        <f t="shared" si="440"/>
        <v>0</v>
      </c>
      <c r="BX144" s="5">
        <f t="shared" si="440"/>
        <v>0</v>
      </c>
      <c r="BY144" s="5">
        <f t="shared" si="440"/>
        <v>0</v>
      </c>
      <c r="BZ144" s="5">
        <f t="shared" si="440"/>
        <v>0</v>
      </c>
      <c r="CA144" s="5">
        <f t="shared" si="440"/>
        <v>0</v>
      </c>
      <c r="CB144" s="11"/>
      <c r="CC144" s="5">
        <f t="shared" ref="CC144:CC152" si="441">SUM(BV144:CB144)</f>
        <v>1817340</v>
      </c>
    </row>
    <row r="145" spans="1:81">
      <c r="A145" s="77" t="s">
        <v>127</v>
      </c>
      <c r="B145" s="5">
        <v>0</v>
      </c>
      <c r="C145" s="11"/>
      <c r="D145" s="11"/>
      <c r="E145" s="11"/>
      <c r="F145" s="11"/>
      <c r="G145" s="11"/>
      <c r="H145" s="11"/>
      <c r="I145" s="5">
        <f t="shared" si="432"/>
        <v>0</v>
      </c>
      <c r="K145" s="5">
        <v>0</v>
      </c>
      <c r="L145" s="11"/>
      <c r="M145" s="11"/>
      <c r="N145" s="11"/>
      <c r="O145" s="11"/>
      <c r="P145" s="11"/>
      <c r="Q145" s="11"/>
      <c r="R145" s="5">
        <f t="shared" si="433"/>
        <v>0</v>
      </c>
      <c r="T145" s="5">
        <v>0</v>
      </c>
      <c r="U145" s="11"/>
      <c r="V145" s="11"/>
      <c r="W145" s="11"/>
      <c r="X145" s="11"/>
      <c r="Y145" s="11"/>
      <c r="Z145" s="11"/>
      <c r="AA145" s="5">
        <f t="shared" si="434"/>
        <v>0</v>
      </c>
      <c r="AC145" s="99">
        <f>175000+AC94</f>
        <v>175000</v>
      </c>
      <c r="AD145" s="11"/>
      <c r="AE145" s="11"/>
      <c r="AF145" s="11"/>
      <c r="AG145" s="11"/>
      <c r="AH145" s="11"/>
      <c r="AI145" s="11"/>
      <c r="AJ145" s="5">
        <f t="shared" si="435"/>
        <v>175000</v>
      </c>
      <c r="AL145" s="11">
        <v>185000</v>
      </c>
      <c r="AM145" s="11"/>
      <c r="AN145" s="11"/>
      <c r="AO145" s="11"/>
      <c r="AP145" s="11"/>
      <c r="AQ145" s="11"/>
      <c r="AR145" s="11"/>
      <c r="AS145" s="5">
        <f t="shared" si="436"/>
        <v>185000</v>
      </c>
      <c r="AU145" s="11">
        <f>5*400*8</f>
        <v>16000</v>
      </c>
      <c r="AV145" s="11"/>
      <c r="AW145" s="11"/>
      <c r="AX145" s="11"/>
      <c r="AY145" s="11"/>
      <c r="AZ145" s="11"/>
      <c r="BA145" s="11"/>
      <c r="BB145" s="5">
        <f t="shared" si="437"/>
        <v>16000</v>
      </c>
      <c r="BD145" s="5">
        <v>0</v>
      </c>
      <c r="BE145" s="11"/>
      <c r="BF145" s="11"/>
      <c r="BG145" s="11"/>
      <c r="BH145" s="11"/>
      <c r="BI145" s="11"/>
      <c r="BJ145" s="11"/>
      <c r="BK145" s="5">
        <f t="shared" si="438"/>
        <v>0</v>
      </c>
      <c r="BM145" s="5">
        <v>0</v>
      </c>
      <c r="BN145" s="11"/>
      <c r="BO145" s="11"/>
      <c r="BP145" s="11"/>
      <c r="BQ145" s="11"/>
      <c r="BR145" s="11"/>
      <c r="BS145" s="11"/>
      <c r="BT145" s="5">
        <f t="shared" si="439"/>
        <v>0</v>
      </c>
      <c r="BV145" s="5">
        <f t="shared" si="440"/>
        <v>376000</v>
      </c>
      <c r="BW145" s="5">
        <f t="shared" si="440"/>
        <v>0</v>
      </c>
      <c r="BX145" s="5">
        <f t="shared" si="440"/>
        <v>0</v>
      </c>
      <c r="BY145" s="5">
        <f t="shared" si="440"/>
        <v>0</v>
      </c>
      <c r="BZ145" s="5">
        <f t="shared" si="440"/>
        <v>0</v>
      </c>
      <c r="CA145" s="5">
        <f t="shared" si="440"/>
        <v>0</v>
      </c>
      <c r="CB145" s="11"/>
      <c r="CC145" s="5">
        <f t="shared" si="441"/>
        <v>376000</v>
      </c>
    </row>
    <row r="146" spans="1:81">
      <c r="A146" s="29" t="s">
        <v>128</v>
      </c>
      <c r="B146" s="11"/>
      <c r="C146" s="11"/>
      <c r="D146" s="11"/>
      <c r="E146" s="11">
        <v>0</v>
      </c>
      <c r="F146" s="11"/>
      <c r="G146" s="11"/>
      <c r="H146" s="11"/>
      <c r="I146" s="5">
        <f t="shared" si="432"/>
        <v>0</v>
      </c>
      <c r="K146" s="11"/>
      <c r="L146" s="11"/>
      <c r="M146" s="11"/>
      <c r="N146" s="11"/>
      <c r="O146" s="11"/>
      <c r="P146" s="11"/>
      <c r="Q146" s="11"/>
      <c r="R146" s="5">
        <f t="shared" si="433"/>
        <v>0</v>
      </c>
      <c r="T146" s="11">
        <v>0</v>
      </c>
      <c r="U146" s="11"/>
      <c r="V146" s="11"/>
      <c r="W146" s="11"/>
      <c r="X146" s="11"/>
      <c r="Y146" s="11"/>
      <c r="Z146" s="11"/>
      <c r="AA146" s="5">
        <f t="shared" si="434"/>
        <v>0</v>
      </c>
      <c r="AC146" s="11">
        <f>1400*100</f>
        <v>140000</v>
      </c>
      <c r="AD146" s="11"/>
      <c r="AE146" s="11"/>
      <c r="AF146" s="11"/>
      <c r="AG146" s="11"/>
      <c r="AH146" s="11"/>
      <c r="AI146" s="11"/>
      <c r="AJ146" s="5">
        <f t="shared" si="435"/>
        <v>140000</v>
      </c>
      <c r="AL146" s="11">
        <f>(1250*120)</f>
        <v>150000</v>
      </c>
      <c r="AM146" s="11"/>
      <c r="AN146" s="11"/>
      <c r="AO146" s="11"/>
      <c r="AP146" s="11"/>
      <c r="AQ146" s="11"/>
      <c r="AR146" s="11"/>
      <c r="AS146" s="5">
        <f t="shared" si="436"/>
        <v>150000</v>
      </c>
      <c r="AU146" s="11">
        <v>0</v>
      </c>
      <c r="AV146" s="11"/>
      <c r="AW146" s="11"/>
      <c r="AX146" s="11">
        <v>0</v>
      </c>
      <c r="AY146" s="11"/>
      <c r="AZ146" s="11"/>
      <c r="BA146" s="11"/>
      <c r="BB146" s="5">
        <f t="shared" si="437"/>
        <v>0</v>
      </c>
      <c r="BD146" s="11">
        <f>100*1300</f>
        <v>130000</v>
      </c>
      <c r="BE146" s="11"/>
      <c r="BF146" s="11"/>
      <c r="BG146" s="11">
        <v>0</v>
      </c>
      <c r="BH146" s="11"/>
      <c r="BI146" s="11"/>
      <c r="BJ146" s="11"/>
      <c r="BK146" s="5">
        <f t="shared" si="438"/>
        <v>130000</v>
      </c>
      <c r="BM146" s="11">
        <f>20*BM17</f>
        <v>0</v>
      </c>
      <c r="BN146" s="11"/>
      <c r="BO146" s="11"/>
      <c r="BP146" s="11">
        <v>0</v>
      </c>
      <c r="BQ146" s="11"/>
      <c r="BR146" s="11"/>
      <c r="BS146" s="11"/>
      <c r="BT146" s="5">
        <f t="shared" si="439"/>
        <v>0</v>
      </c>
      <c r="BV146" s="5">
        <f t="shared" si="440"/>
        <v>420000</v>
      </c>
      <c r="BW146" s="5">
        <f t="shared" si="440"/>
        <v>0</v>
      </c>
      <c r="BX146" s="5">
        <f t="shared" si="440"/>
        <v>0</v>
      </c>
      <c r="BY146" s="5">
        <f t="shared" si="440"/>
        <v>0</v>
      </c>
      <c r="BZ146" s="5">
        <f t="shared" si="440"/>
        <v>0</v>
      </c>
      <c r="CA146" s="5">
        <f t="shared" si="440"/>
        <v>0</v>
      </c>
      <c r="CB146" s="11"/>
      <c r="CC146" s="5">
        <f t="shared" si="441"/>
        <v>420000</v>
      </c>
    </row>
    <row r="147" spans="1:81">
      <c r="A147" s="29" t="s">
        <v>129</v>
      </c>
      <c r="B147" s="5">
        <f>25*B17</f>
        <v>23250</v>
      </c>
      <c r="C147" s="11"/>
      <c r="D147" s="11">
        <v>3500</v>
      </c>
      <c r="E147" s="11"/>
      <c r="F147" s="11"/>
      <c r="G147" s="11"/>
      <c r="H147" s="11"/>
      <c r="I147" s="5">
        <f t="shared" si="432"/>
        <v>26750</v>
      </c>
      <c r="K147" s="5">
        <f>25*K17</f>
        <v>25800</v>
      </c>
      <c r="L147" s="11"/>
      <c r="M147" s="11">
        <v>2500</v>
      </c>
      <c r="N147" s="11"/>
      <c r="O147" s="11"/>
      <c r="P147" s="11"/>
      <c r="Q147" s="11"/>
      <c r="R147" s="5">
        <f t="shared" si="433"/>
        <v>28300</v>
      </c>
      <c r="T147" s="5">
        <f>25*T17</f>
        <v>31125</v>
      </c>
      <c r="U147" s="11"/>
      <c r="V147" s="11"/>
      <c r="W147" s="11"/>
      <c r="X147" s="11"/>
      <c r="Y147" s="11"/>
      <c r="Z147" s="11"/>
      <c r="AA147" s="5">
        <f t="shared" si="434"/>
        <v>31125</v>
      </c>
      <c r="AC147" s="5">
        <f>25*AC17</f>
        <v>62875</v>
      </c>
      <c r="AD147" s="11"/>
      <c r="AE147" s="11">
        <v>3500</v>
      </c>
      <c r="AF147" s="11"/>
      <c r="AG147" s="11"/>
      <c r="AH147" s="11"/>
      <c r="AI147" s="11"/>
      <c r="AJ147" s="5">
        <f t="shared" si="435"/>
        <v>66375</v>
      </c>
      <c r="AL147" s="5">
        <f>25*AL17</f>
        <v>59275</v>
      </c>
      <c r="AM147" s="11"/>
      <c r="AN147" s="11">
        <v>3500</v>
      </c>
      <c r="AO147" s="11"/>
      <c r="AP147" s="11"/>
      <c r="AQ147" s="11"/>
      <c r="AR147" s="11"/>
      <c r="AS147" s="5">
        <f t="shared" si="436"/>
        <v>62775</v>
      </c>
      <c r="AU147" s="11">
        <f>25*AU17</f>
        <v>3500</v>
      </c>
      <c r="AV147" s="11"/>
      <c r="AW147" s="11">
        <v>0</v>
      </c>
      <c r="AX147" s="11"/>
      <c r="AY147" s="11"/>
      <c r="AZ147" s="11"/>
      <c r="BA147" s="11"/>
      <c r="BB147" s="5">
        <f t="shared" si="437"/>
        <v>3500</v>
      </c>
      <c r="BD147" s="5">
        <f>25*BD17</f>
        <v>10525</v>
      </c>
      <c r="BE147" s="11"/>
      <c r="BF147" s="11">
        <v>2500</v>
      </c>
      <c r="BG147" s="11"/>
      <c r="BH147" s="11"/>
      <c r="BI147" s="11"/>
      <c r="BJ147" s="11"/>
      <c r="BK147" s="5">
        <f t="shared" si="438"/>
        <v>13025</v>
      </c>
      <c r="BM147" s="5">
        <f>25*BM17</f>
        <v>0</v>
      </c>
      <c r="BN147" s="11"/>
      <c r="BO147" s="11">
        <v>0</v>
      </c>
      <c r="BP147" s="11"/>
      <c r="BQ147" s="11"/>
      <c r="BR147" s="11"/>
      <c r="BS147" s="11"/>
      <c r="BT147" s="5">
        <f t="shared" si="439"/>
        <v>0</v>
      </c>
      <c r="BV147" s="5">
        <f t="shared" si="440"/>
        <v>216350</v>
      </c>
      <c r="BW147" s="5">
        <f t="shared" si="440"/>
        <v>0</v>
      </c>
      <c r="BX147" s="5">
        <f t="shared" si="440"/>
        <v>15500</v>
      </c>
      <c r="BY147" s="5">
        <f t="shared" si="440"/>
        <v>0</v>
      </c>
      <c r="BZ147" s="5">
        <f t="shared" si="440"/>
        <v>0</v>
      </c>
      <c r="CA147" s="5">
        <f t="shared" si="440"/>
        <v>0</v>
      </c>
      <c r="CB147" s="11"/>
      <c r="CC147" s="5">
        <f t="shared" si="441"/>
        <v>231850</v>
      </c>
    </row>
    <row r="148" spans="1:81">
      <c r="A148" s="29" t="s">
        <v>130</v>
      </c>
      <c r="B148" s="5">
        <f>40*B17</f>
        <v>37200</v>
      </c>
      <c r="C148" s="11"/>
      <c r="D148" s="11"/>
      <c r="E148" s="11"/>
      <c r="F148" s="11"/>
      <c r="G148" s="11"/>
      <c r="H148" s="11"/>
      <c r="I148" s="5">
        <f t="shared" si="432"/>
        <v>37200</v>
      </c>
      <c r="K148" s="5">
        <f>40*K17</f>
        <v>41280</v>
      </c>
      <c r="L148" s="11"/>
      <c r="M148" s="11"/>
      <c r="N148" s="11"/>
      <c r="O148" s="11"/>
      <c r="P148" s="11"/>
      <c r="Q148" s="11"/>
      <c r="R148" s="5">
        <f t="shared" si="433"/>
        <v>41280</v>
      </c>
      <c r="T148" s="5">
        <f>40*T17</f>
        <v>49800</v>
      </c>
      <c r="U148" s="11"/>
      <c r="V148" s="11"/>
      <c r="W148" s="11"/>
      <c r="X148" s="11"/>
      <c r="Y148" s="11"/>
      <c r="Z148" s="11"/>
      <c r="AA148" s="5">
        <f t="shared" si="434"/>
        <v>49800</v>
      </c>
      <c r="AC148" s="5">
        <f>40*AC17</f>
        <v>100600</v>
      </c>
      <c r="AD148" s="11"/>
      <c r="AE148" s="11"/>
      <c r="AF148" s="11"/>
      <c r="AG148" s="11"/>
      <c r="AH148" s="11"/>
      <c r="AI148" s="11"/>
      <c r="AJ148" s="5">
        <f t="shared" si="435"/>
        <v>100600</v>
      </c>
      <c r="AL148" s="5">
        <f>40*AL17</f>
        <v>94840</v>
      </c>
      <c r="AM148" s="11"/>
      <c r="AN148" s="11"/>
      <c r="AO148" s="11"/>
      <c r="AP148" s="11"/>
      <c r="AQ148" s="11"/>
      <c r="AR148" s="11"/>
      <c r="AS148" s="5">
        <f t="shared" si="436"/>
        <v>94840</v>
      </c>
      <c r="AU148" s="5">
        <f>20*AU17</f>
        <v>2800</v>
      </c>
      <c r="AV148" s="11"/>
      <c r="AW148" s="11"/>
      <c r="AX148" s="11"/>
      <c r="AY148" s="11"/>
      <c r="AZ148" s="11"/>
      <c r="BA148" s="11"/>
      <c r="BB148" s="5">
        <f t="shared" si="437"/>
        <v>2800</v>
      </c>
      <c r="BD148" s="5">
        <f>40*BD17</f>
        <v>16840</v>
      </c>
      <c r="BE148" s="11"/>
      <c r="BF148" s="11"/>
      <c r="BG148" s="11"/>
      <c r="BH148" s="11">
        <v>0</v>
      </c>
      <c r="BI148" s="11"/>
      <c r="BJ148" s="11"/>
      <c r="BK148" s="5">
        <f t="shared" si="438"/>
        <v>16840</v>
      </c>
      <c r="BM148" s="5">
        <f>40*BM17</f>
        <v>0</v>
      </c>
      <c r="BN148" s="11"/>
      <c r="BO148" s="11"/>
      <c r="BP148" s="11"/>
      <c r="BQ148" s="11"/>
      <c r="BR148" s="11"/>
      <c r="BS148" s="11"/>
      <c r="BT148" s="5">
        <f t="shared" si="439"/>
        <v>0</v>
      </c>
      <c r="BV148" s="5">
        <f t="shared" si="440"/>
        <v>343360</v>
      </c>
      <c r="BW148" s="5">
        <f t="shared" si="440"/>
        <v>0</v>
      </c>
      <c r="BX148" s="5">
        <f t="shared" si="440"/>
        <v>0</v>
      </c>
      <c r="BY148" s="5">
        <f t="shared" si="440"/>
        <v>0</v>
      </c>
      <c r="BZ148" s="5">
        <f t="shared" si="440"/>
        <v>0</v>
      </c>
      <c r="CA148" s="5">
        <f t="shared" si="440"/>
        <v>0</v>
      </c>
      <c r="CB148" s="11"/>
      <c r="CC148" s="5">
        <f t="shared" si="441"/>
        <v>343360</v>
      </c>
    </row>
    <row r="149" spans="1:81">
      <c r="A149" s="29" t="s">
        <v>131</v>
      </c>
      <c r="B149" s="5">
        <f>15*B17</f>
        <v>13950</v>
      </c>
      <c r="C149" s="11"/>
      <c r="D149" s="11"/>
      <c r="E149" s="11"/>
      <c r="F149" s="11"/>
      <c r="G149" s="11"/>
      <c r="H149" s="11"/>
      <c r="I149" s="5">
        <f t="shared" si="432"/>
        <v>13950</v>
      </c>
      <c r="K149" s="5">
        <f>15*K17</f>
        <v>15480</v>
      </c>
      <c r="L149" s="11"/>
      <c r="M149" s="11"/>
      <c r="N149" s="11"/>
      <c r="O149" s="11"/>
      <c r="P149" s="11"/>
      <c r="Q149" s="11"/>
      <c r="R149" s="5">
        <f t="shared" si="433"/>
        <v>15480</v>
      </c>
      <c r="T149" s="5">
        <f>15*T17</f>
        <v>18675</v>
      </c>
      <c r="U149" s="11"/>
      <c r="V149" s="11"/>
      <c r="W149" s="11"/>
      <c r="X149" s="11"/>
      <c r="Y149" s="11"/>
      <c r="Z149" s="11"/>
      <c r="AA149" s="5">
        <f t="shared" si="434"/>
        <v>18675</v>
      </c>
      <c r="AC149" s="5">
        <f>15*AC17</f>
        <v>37725</v>
      </c>
      <c r="AD149" s="11"/>
      <c r="AE149" s="11"/>
      <c r="AF149" s="11"/>
      <c r="AG149" s="11"/>
      <c r="AH149" s="11"/>
      <c r="AI149" s="11"/>
      <c r="AJ149" s="5">
        <f t="shared" si="435"/>
        <v>37725</v>
      </c>
      <c r="AL149" s="5">
        <f>15*AL17</f>
        <v>35565</v>
      </c>
      <c r="AM149" s="11"/>
      <c r="AN149" s="11"/>
      <c r="AO149" s="11"/>
      <c r="AP149" s="11"/>
      <c r="AQ149" s="11"/>
      <c r="AR149" s="11"/>
      <c r="AS149" s="5">
        <f t="shared" si="436"/>
        <v>35565</v>
      </c>
      <c r="AU149" s="5">
        <f>15*AU17</f>
        <v>2100</v>
      </c>
      <c r="AV149" s="11"/>
      <c r="AW149" s="11"/>
      <c r="AX149" s="11"/>
      <c r="AY149" s="11"/>
      <c r="AZ149" s="11"/>
      <c r="BA149" s="11"/>
      <c r="BB149" s="5">
        <f t="shared" si="437"/>
        <v>2100</v>
      </c>
      <c r="BD149" s="5">
        <f>15*BD17</f>
        <v>6315</v>
      </c>
      <c r="BE149" s="11"/>
      <c r="BF149" s="11"/>
      <c r="BG149" s="11"/>
      <c r="BH149" s="11"/>
      <c r="BI149" s="11"/>
      <c r="BJ149" s="11"/>
      <c r="BK149" s="5">
        <f t="shared" si="438"/>
        <v>6315</v>
      </c>
      <c r="BM149" s="5">
        <f>15*BM17</f>
        <v>0</v>
      </c>
      <c r="BN149" s="11"/>
      <c r="BO149" s="11"/>
      <c r="BP149" s="11"/>
      <c r="BQ149" s="11"/>
      <c r="BR149" s="11"/>
      <c r="BS149" s="11"/>
      <c r="BT149" s="5">
        <f t="shared" si="439"/>
        <v>0</v>
      </c>
      <c r="BV149" s="5">
        <f t="shared" si="440"/>
        <v>129810</v>
      </c>
      <c r="BW149" s="5">
        <f t="shared" si="440"/>
        <v>0</v>
      </c>
      <c r="BX149" s="5">
        <f t="shared" si="440"/>
        <v>0</v>
      </c>
      <c r="BY149" s="5">
        <f t="shared" si="440"/>
        <v>0</v>
      </c>
      <c r="BZ149" s="5">
        <f t="shared" si="440"/>
        <v>0</v>
      </c>
      <c r="CA149" s="5">
        <f t="shared" si="440"/>
        <v>0</v>
      </c>
      <c r="CB149" s="11"/>
      <c r="CC149" s="5">
        <f t="shared" si="441"/>
        <v>129810</v>
      </c>
    </row>
    <row r="150" spans="1:81">
      <c r="A150" s="29" t="s">
        <v>132</v>
      </c>
      <c r="B150" s="5">
        <f>8*B17</f>
        <v>7440</v>
      </c>
      <c r="C150" s="11"/>
      <c r="D150" s="11"/>
      <c r="E150" s="11"/>
      <c r="F150" s="11"/>
      <c r="G150" s="11"/>
      <c r="H150" s="11"/>
      <c r="I150" s="5">
        <f t="shared" si="432"/>
        <v>7440</v>
      </c>
      <c r="K150" s="5">
        <f>8*K17</f>
        <v>8256</v>
      </c>
      <c r="L150" s="11"/>
      <c r="M150" s="11"/>
      <c r="N150" s="11"/>
      <c r="O150" s="11"/>
      <c r="P150" s="11"/>
      <c r="Q150" s="11"/>
      <c r="R150" s="5">
        <f t="shared" si="433"/>
        <v>8256</v>
      </c>
      <c r="T150" s="5">
        <f>8*T17</f>
        <v>9960</v>
      </c>
      <c r="U150" s="11"/>
      <c r="V150" s="11"/>
      <c r="W150" s="11"/>
      <c r="X150" s="11"/>
      <c r="Y150" s="11"/>
      <c r="Z150" s="11"/>
      <c r="AA150" s="5">
        <f t="shared" si="434"/>
        <v>9960</v>
      </c>
      <c r="AC150" s="5">
        <f>8*AC17</f>
        <v>20120</v>
      </c>
      <c r="AD150" s="11"/>
      <c r="AE150" s="11"/>
      <c r="AF150" s="11"/>
      <c r="AG150" s="11"/>
      <c r="AH150" s="11"/>
      <c r="AI150" s="11"/>
      <c r="AJ150" s="5">
        <f t="shared" si="435"/>
        <v>20120</v>
      </c>
      <c r="AL150" s="5">
        <f>8*AL17</f>
        <v>18968</v>
      </c>
      <c r="AM150" s="11"/>
      <c r="AN150" s="11"/>
      <c r="AO150" s="11"/>
      <c r="AP150" s="11"/>
      <c r="AQ150" s="11"/>
      <c r="AR150" s="11"/>
      <c r="AS150" s="5">
        <f t="shared" si="436"/>
        <v>18968</v>
      </c>
      <c r="AU150" s="5">
        <v>0</v>
      </c>
      <c r="AV150" s="11"/>
      <c r="AW150" s="11"/>
      <c r="AX150" s="11"/>
      <c r="AY150" s="11"/>
      <c r="AZ150" s="11"/>
      <c r="BA150" s="11"/>
      <c r="BB150" s="5">
        <f t="shared" si="437"/>
        <v>0</v>
      </c>
      <c r="BD150" s="5">
        <f>8*BD17</f>
        <v>3368</v>
      </c>
      <c r="BE150" s="11"/>
      <c r="BF150" s="11"/>
      <c r="BG150" s="11"/>
      <c r="BH150" s="11"/>
      <c r="BI150" s="11"/>
      <c r="BJ150" s="11"/>
      <c r="BK150" s="5">
        <f t="shared" si="438"/>
        <v>3368</v>
      </c>
      <c r="BM150" s="5">
        <f>8*BM17</f>
        <v>0</v>
      </c>
      <c r="BN150" s="11"/>
      <c r="BO150" s="11"/>
      <c r="BP150" s="11"/>
      <c r="BQ150" s="11"/>
      <c r="BR150" s="11"/>
      <c r="BS150" s="11"/>
      <c r="BT150" s="5">
        <f t="shared" si="439"/>
        <v>0</v>
      </c>
      <c r="BV150" s="5">
        <f t="shared" si="440"/>
        <v>68112</v>
      </c>
      <c r="BW150" s="5">
        <f t="shared" si="440"/>
        <v>0</v>
      </c>
      <c r="BX150" s="5">
        <f t="shared" si="440"/>
        <v>0</v>
      </c>
      <c r="BY150" s="5">
        <f t="shared" si="440"/>
        <v>0</v>
      </c>
      <c r="BZ150" s="5">
        <f t="shared" si="440"/>
        <v>0</v>
      </c>
      <c r="CA150" s="5">
        <f t="shared" si="440"/>
        <v>0</v>
      </c>
      <c r="CB150" s="11"/>
      <c r="CC150" s="5">
        <f t="shared" si="441"/>
        <v>68112</v>
      </c>
    </row>
    <row r="151" spans="1:81">
      <c r="A151" s="29" t="s">
        <v>133</v>
      </c>
      <c r="B151" s="5">
        <f>129*B20</f>
        <v>0</v>
      </c>
      <c r="C151" s="11">
        <f>150*(C20)</f>
        <v>18651.381215469617</v>
      </c>
      <c r="D151" s="11"/>
      <c r="E151" s="11"/>
      <c r="F151" s="11"/>
      <c r="G151" s="11"/>
      <c r="H151" s="11"/>
      <c r="I151" s="5">
        <f t="shared" si="432"/>
        <v>18651.381215469617</v>
      </c>
      <c r="K151" s="5">
        <f>129*K20</f>
        <v>0</v>
      </c>
      <c r="L151" s="11">
        <f>150*(L20)</f>
        <v>11057.142857142857</v>
      </c>
      <c r="M151" s="11"/>
      <c r="N151" s="11"/>
      <c r="O151" s="11"/>
      <c r="P151" s="11"/>
      <c r="Q151" s="11"/>
      <c r="R151" s="5">
        <f t="shared" si="433"/>
        <v>11057.142857142857</v>
      </c>
      <c r="T151" s="5">
        <f>129*T20</f>
        <v>0</v>
      </c>
      <c r="U151" s="11">
        <f>150*(U20)</f>
        <v>16906.119027661356</v>
      </c>
      <c r="V151" s="11"/>
      <c r="W151" s="11"/>
      <c r="X151" s="11"/>
      <c r="Y151" s="11"/>
      <c r="Z151" s="11"/>
      <c r="AA151" s="5">
        <f t="shared" si="434"/>
        <v>16906.119027661356</v>
      </c>
      <c r="AC151" s="5">
        <f>129*AC20</f>
        <v>0</v>
      </c>
      <c r="AD151" s="11">
        <f>150*(AD20)</f>
        <v>44856.928999144562</v>
      </c>
      <c r="AE151" s="11"/>
      <c r="AF151" s="11"/>
      <c r="AG151" s="11"/>
      <c r="AH151" s="11"/>
      <c r="AI151" s="11"/>
      <c r="AJ151" s="5">
        <f t="shared" si="435"/>
        <v>44856.928999144562</v>
      </c>
      <c r="AL151" s="5">
        <f>129*AL20</f>
        <v>0</v>
      </c>
      <c r="AM151" s="11">
        <f>150*(AM20)</f>
        <v>33356.869220607659</v>
      </c>
      <c r="AN151" s="11"/>
      <c r="AO151" s="11"/>
      <c r="AP151" s="11"/>
      <c r="AQ151" s="11"/>
      <c r="AR151" s="11"/>
      <c r="AS151" s="5">
        <f t="shared" si="436"/>
        <v>33356.869220607659</v>
      </c>
      <c r="AU151" s="5"/>
      <c r="AV151" s="11">
        <f>150*(AV20)</f>
        <v>2800</v>
      </c>
      <c r="AW151" s="11"/>
      <c r="AX151" s="11"/>
      <c r="AY151" s="11"/>
      <c r="AZ151" s="11"/>
      <c r="BA151" s="11"/>
      <c r="BB151" s="5">
        <f t="shared" si="437"/>
        <v>2800</v>
      </c>
      <c r="BD151" s="5">
        <f>129*BD20</f>
        <v>0</v>
      </c>
      <c r="BE151" s="11">
        <f>150*(BE20)</f>
        <v>4035.9022556390978</v>
      </c>
      <c r="BF151" s="11"/>
      <c r="BG151" s="11"/>
      <c r="BH151" s="11"/>
      <c r="BI151" s="11"/>
      <c r="BJ151" s="11"/>
      <c r="BK151" s="5">
        <f t="shared" si="438"/>
        <v>4035.9022556390978</v>
      </c>
      <c r="BM151" s="5">
        <f>129*BM20</f>
        <v>0</v>
      </c>
      <c r="BN151" s="11">
        <f>150*(BN20)</f>
        <v>0</v>
      </c>
      <c r="BO151" s="11"/>
      <c r="BP151" s="11"/>
      <c r="BQ151" s="11"/>
      <c r="BR151" s="11"/>
      <c r="BS151" s="11"/>
      <c r="BT151" s="5">
        <f t="shared" si="439"/>
        <v>0</v>
      </c>
      <c r="BV151" s="5">
        <f t="shared" si="440"/>
        <v>0</v>
      </c>
      <c r="BW151" s="5">
        <f t="shared" si="440"/>
        <v>131664.34357566515</v>
      </c>
      <c r="BX151" s="5">
        <f t="shared" si="440"/>
        <v>0</v>
      </c>
      <c r="BY151" s="5">
        <f t="shared" si="440"/>
        <v>0</v>
      </c>
      <c r="BZ151" s="5">
        <f t="shared" si="440"/>
        <v>0</v>
      </c>
      <c r="CA151" s="5">
        <f t="shared" si="440"/>
        <v>0</v>
      </c>
      <c r="CB151" s="11"/>
      <c r="CC151" s="5">
        <f t="shared" si="441"/>
        <v>131664.34357566515</v>
      </c>
    </row>
    <row r="152" spans="1:81">
      <c r="A152" s="29" t="s">
        <v>134</v>
      </c>
      <c r="B152" s="5">
        <v>0</v>
      </c>
      <c r="C152" s="5"/>
      <c r="D152" s="5"/>
      <c r="E152" s="5"/>
      <c r="F152" s="5"/>
      <c r="G152" s="5"/>
      <c r="H152" s="5"/>
      <c r="I152" s="5">
        <f t="shared" si="432"/>
        <v>0</v>
      </c>
      <c r="K152" s="5">
        <v>0</v>
      </c>
      <c r="L152" s="5"/>
      <c r="M152" s="5"/>
      <c r="N152" s="5"/>
      <c r="O152" s="5"/>
      <c r="P152" s="5"/>
      <c r="Q152" s="5"/>
      <c r="R152" s="5">
        <f t="shared" si="433"/>
        <v>0</v>
      </c>
      <c r="T152" s="5">
        <v>0</v>
      </c>
      <c r="U152" s="5"/>
      <c r="V152" s="5"/>
      <c r="W152" s="5"/>
      <c r="X152" s="5"/>
      <c r="Y152" s="5"/>
      <c r="Z152" s="5"/>
      <c r="AA152" s="5">
        <f t="shared" si="434"/>
        <v>0</v>
      </c>
      <c r="AC152" s="5">
        <v>100000</v>
      </c>
      <c r="AD152" s="5"/>
      <c r="AE152" s="5"/>
      <c r="AF152" s="5"/>
      <c r="AG152" s="5"/>
      <c r="AH152" s="5"/>
      <c r="AI152" s="5"/>
      <c r="AJ152" s="5">
        <f t="shared" si="435"/>
        <v>100000</v>
      </c>
      <c r="AL152" s="5">
        <v>110000</v>
      </c>
      <c r="AM152" s="5"/>
      <c r="AN152" s="5"/>
      <c r="AO152" s="5"/>
      <c r="AP152" s="5"/>
      <c r="AQ152" s="5"/>
      <c r="AR152" s="5"/>
      <c r="AS152" s="5">
        <f t="shared" si="436"/>
        <v>110000</v>
      </c>
      <c r="AU152" s="5">
        <v>0</v>
      </c>
      <c r="AV152" s="5"/>
      <c r="AW152" s="5"/>
      <c r="AX152" s="5"/>
      <c r="AY152" s="5"/>
      <c r="AZ152" s="5"/>
      <c r="BA152" s="5"/>
      <c r="BB152" s="5">
        <f t="shared" si="437"/>
        <v>0</v>
      </c>
      <c r="BD152" s="5">
        <v>0</v>
      </c>
      <c r="BE152" s="5"/>
      <c r="BF152" s="5"/>
      <c r="BG152" s="5"/>
      <c r="BH152" s="5"/>
      <c r="BI152" s="5"/>
      <c r="BJ152" s="5"/>
      <c r="BK152" s="5">
        <f t="shared" si="438"/>
        <v>0</v>
      </c>
      <c r="BM152" s="5">
        <v>0</v>
      </c>
      <c r="BN152" s="5"/>
      <c r="BO152" s="5"/>
      <c r="BP152" s="5"/>
      <c r="BQ152" s="5"/>
      <c r="BR152" s="5"/>
      <c r="BS152" s="5"/>
      <c r="BT152" s="5">
        <f t="shared" si="439"/>
        <v>0</v>
      </c>
      <c r="BV152" s="5">
        <f t="shared" si="440"/>
        <v>210000</v>
      </c>
      <c r="BW152" s="5">
        <f t="shared" si="440"/>
        <v>0</v>
      </c>
      <c r="BX152" s="5">
        <f t="shared" si="440"/>
        <v>0</v>
      </c>
      <c r="BY152" s="5">
        <f t="shared" si="440"/>
        <v>0</v>
      </c>
      <c r="BZ152" s="5">
        <f t="shared" si="440"/>
        <v>0</v>
      </c>
      <c r="CA152" s="5">
        <f t="shared" si="440"/>
        <v>0</v>
      </c>
      <c r="CB152" s="5"/>
      <c r="CC152" s="5">
        <f t="shared" si="441"/>
        <v>210000</v>
      </c>
    </row>
    <row r="153" spans="1:81">
      <c r="A153" s="78" t="s">
        <v>135</v>
      </c>
      <c r="B153" s="79">
        <f>50*B17</f>
        <v>46500</v>
      </c>
      <c r="C153" s="5"/>
      <c r="D153" s="5"/>
      <c r="E153" s="5"/>
      <c r="F153" s="5"/>
      <c r="G153" s="5"/>
      <c r="H153" s="5"/>
      <c r="I153" s="5">
        <f>SUM(B153:H153)</f>
        <v>46500</v>
      </c>
      <c r="K153" s="79">
        <f>50*K17</f>
        <v>51600</v>
      </c>
      <c r="L153" s="5"/>
      <c r="M153" s="5"/>
      <c r="N153" s="5"/>
      <c r="O153" s="5"/>
      <c r="P153" s="5"/>
      <c r="Q153" s="5"/>
      <c r="R153" s="5">
        <f>SUM(K153:Q153)</f>
        <v>51600</v>
      </c>
      <c r="T153" s="79">
        <f>45*T17</f>
        <v>56025</v>
      </c>
      <c r="U153" s="5"/>
      <c r="V153" s="5"/>
      <c r="W153" s="5"/>
      <c r="X153" s="5"/>
      <c r="Y153" s="5"/>
      <c r="Z153" s="5"/>
      <c r="AA153" s="5">
        <f>SUM(T153:Z153)</f>
        <v>56025</v>
      </c>
      <c r="AC153" s="79">
        <f>45*AC17</f>
        <v>113175</v>
      </c>
      <c r="AD153" s="5"/>
      <c r="AE153" s="5"/>
      <c r="AF153" s="5"/>
      <c r="AG153" s="5"/>
      <c r="AH153" s="5"/>
      <c r="AI153" s="5"/>
      <c r="AJ153" s="5">
        <f>SUM(AC153:AI153)</f>
        <v>113175</v>
      </c>
      <c r="AL153" s="79">
        <f>45*AL17</f>
        <v>106695</v>
      </c>
      <c r="AM153" s="5"/>
      <c r="AN153" s="5"/>
      <c r="AO153" s="5"/>
      <c r="AP153" s="5"/>
      <c r="AQ153" s="5"/>
      <c r="AR153" s="5"/>
      <c r="AS153" s="5">
        <f>SUM(AL153:AR153)</f>
        <v>106695</v>
      </c>
      <c r="AU153" s="79">
        <v>0</v>
      </c>
      <c r="AV153" s="5"/>
      <c r="AW153" s="5"/>
      <c r="AX153" s="5"/>
      <c r="AY153" s="5"/>
      <c r="AZ153" s="5"/>
      <c r="BA153" s="5"/>
      <c r="BB153" s="5">
        <f>SUM(AU153:BA153)</f>
        <v>0</v>
      </c>
      <c r="BD153" s="79">
        <f>45*BD17</f>
        <v>18945</v>
      </c>
      <c r="BE153" s="5"/>
      <c r="BF153" s="5"/>
      <c r="BG153" s="5"/>
      <c r="BH153" s="5"/>
      <c r="BI153" s="5"/>
      <c r="BJ153" s="5"/>
      <c r="BK153" s="5">
        <f>SUM(BD153:BJ153)</f>
        <v>18945</v>
      </c>
      <c r="BM153" s="79">
        <f>45*BM17</f>
        <v>0</v>
      </c>
      <c r="BN153" s="5"/>
      <c r="BO153" s="5"/>
      <c r="BP153" s="5"/>
      <c r="BQ153" s="5"/>
      <c r="BR153" s="5"/>
      <c r="BS153" s="5"/>
      <c r="BT153" s="5">
        <f>SUM(BM153:BS153)</f>
        <v>0</v>
      </c>
      <c r="BV153" s="5">
        <f t="shared" si="440"/>
        <v>392940</v>
      </c>
      <c r="BW153" s="5">
        <f t="shared" si="440"/>
        <v>0</v>
      </c>
      <c r="BX153" s="5">
        <f t="shared" si="440"/>
        <v>0</v>
      </c>
      <c r="BY153" s="5">
        <f t="shared" si="440"/>
        <v>0</v>
      </c>
      <c r="BZ153" s="5">
        <f t="shared" si="440"/>
        <v>0</v>
      </c>
      <c r="CA153" s="5">
        <f t="shared" si="440"/>
        <v>0</v>
      </c>
      <c r="CB153" s="5"/>
      <c r="CC153" s="5">
        <f>SUM(BV153:CB153)</f>
        <v>392940</v>
      </c>
    </row>
    <row r="154" spans="1:81" ht="15">
      <c r="A154" s="70" t="s">
        <v>136</v>
      </c>
      <c r="B154" s="71">
        <f>SUM(B144:B153)</f>
        <v>323640</v>
      </c>
      <c r="C154" s="71">
        <f t="shared" ref="C154:I154" si="442">SUM(C144:C153)</f>
        <v>18651.381215469617</v>
      </c>
      <c r="D154" s="71">
        <f t="shared" si="442"/>
        <v>3500</v>
      </c>
      <c r="E154" s="71">
        <f t="shared" si="442"/>
        <v>0</v>
      </c>
      <c r="F154" s="71">
        <f t="shared" si="442"/>
        <v>0</v>
      </c>
      <c r="G154" s="71">
        <f t="shared" si="442"/>
        <v>0</v>
      </c>
      <c r="H154" s="71">
        <f t="shared" si="442"/>
        <v>0</v>
      </c>
      <c r="I154" s="71">
        <f t="shared" si="442"/>
        <v>345791.38121546962</v>
      </c>
      <c r="J154" s="7"/>
      <c r="K154" s="71">
        <f>SUM(K144:K153)</f>
        <v>359136</v>
      </c>
      <c r="L154" s="71">
        <f t="shared" ref="L154:R154" si="443">SUM(L144:L153)</f>
        <v>11057.142857142857</v>
      </c>
      <c r="M154" s="71">
        <f t="shared" si="443"/>
        <v>2500</v>
      </c>
      <c r="N154" s="71"/>
      <c r="O154" s="71">
        <f t="shared" si="443"/>
        <v>0</v>
      </c>
      <c r="P154" s="71">
        <f t="shared" si="443"/>
        <v>0</v>
      </c>
      <c r="Q154" s="71">
        <f t="shared" si="443"/>
        <v>0</v>
      </c>
      <c r="R154" s="71">
        <f t="shared" si="443"/>
        <v>372693.14285714284</v>
      </c>
      <c r="T154" s="71">
        <f>SUM(T144:T153)</f>
        <v>427035</v>
      </c>
      <c r="U154" s="71">
        <f t="shared" ref="U154:AA154" si="444">SUM(U144:U153)</f>
        <v>16906.119027661356</v>
      </c>
      <c r="V154" s="71">
        <f t="shared" si="444"/>
        <v>0</v>
      </c>
      <c r="W154" s="71"/>
      <c r="X154" s="71">
        <f t="shared" si="444"/>
        <v>0</v>
      </c>
      <c r="Y154" s="71">
        <f t="shared" si="444"/>
        <v>0</v>
      </c>
      <c r="Z154" s="71">
        <f t="shared" si="444"/>
        <v>0</v>
      </c>
      <c r="AA154" s="71">
        <f t="shared" si="444"/>
        <v>443941.11902766133</v>
      </c>
      <c r="AC154" s="71">
        <f>SUM(AC144:AC153)</f>
        <v>1277645</v>
      </c>
      <c r="AD154" s="71">
        <f t="shared" ref="AD154:AJ154" si="445">SUM(AD144:AD153)</f>
        <v>44856.928999144562</v>
      </c>
      <c r="AE154" s="71">
        <f t="shared" si="445"/>
        <v>3500</v>
      </c>
      <c r="AF154" s="71">
        <f t="shared" si="445"/>
        <v>0</v>
      </c>
      <c r="AG154" s="71">
        <f t="shared" si="445"/>
        <v>0</v>
      </c>
      <c r="AH154" s="71">
        <f t="shared" si="445"/>
        <v>0</v>
      </c>
      <c r="AI154" s="71">
        <f t="shared" si="445"/>
        <v>0</v>
      </c>
      <c r="AJ154" s="71">
        <f t="shared" si="445"/>
        <v>1326001.9289991446</v>
      </c>
      <c r="AL154" s="71">
        <f>SUM(AL144:AL153)</f>
        <v>1258253</v>
      </c>
      <c r="AM154" s="71">
        <f t="shared" ref="AM154:AS154" si="446">SUM(AM144:AM153)</f>
        <v>33356.869220607659</v>
      </c>
      <c r="AN154" s="71">
        <f t="shared" si="446"/>
        <v>3500</v>
      </c>
      <c r="AO154" s="71"/>
      <c r="AP154" s="71">
        <f t="shared" si="446"/>
        <v>0</v>
      </c>
      <c r="AQ154" s="71">
        <f t="shared" si="446"/>
        <v>0</v>
      </c>
      <c r="AR154" s="71">
        <f t="shared" si="446"/>
        <v>0</v>
      </c>
      <c r="AS154" s="71">
        <f t="shared" si="446"/>
        <v>1295109.8692206077</v>
      </c>
      <c r="AU154" s="71">
        <f>SUM(AU144:AU153)</f>
        <v>53800</v>
      </c>
      <c r="AV154" s="71">
        <f t="shared" ref="AV154:BB154" si="447">SUM(AV144:AV153)</f>
        <v>2800</v>
      </c>
      <c r="AW154" s="71">
        <f t="shared" si="447"/>
        <v>0</v>
      </c>
      <c r="AX154" s="71">
        <f t="shared" si="447"/>
        <v>0</v>
      </c>
      <c r="AY154" s="71">
        <f t="shared" si="447"/>
        <v>0</v>
      </c>
      <c r="AZ154" s="71">
        <f t="shared" si="447"/>
        <v>0</v>
      </c>
      <c r="BA154" s="71">
        <f t="shared" si="447"/>
        <v>0</v>
      </c>
      <c r="BB154" s="71">
        <f t="shared" si="447"/>
        <v>56600</v>
      </c>
      <c r="BD154" s="71">
        <f>SUM(BD144:BD153)</f>
        <v>274403</v>
      </c>
      <c r="BE154" s="71">
        <f t="shared" ref="BE154:BK154" si="448">SUM(BE144:BE153)</f>
        <v>4035.9022556390978</v>
      </c>
      <c r="BF154" s="71">
        <f t="shared" si="448"/>
        <v>2500</v>
      </c>
      <c r="BG154" s="71">
        <f t="shared" si="448"/>
        <v>0</v>
      </c>
      <c r="BH154" s="71">
        <f t="shared" si="448"/>
        <v>0</v>
      </c>
      <c r="BI154" s="71">
        <f t="shared" si="448"/>
        <v>0</v>
      </c>
      <c r="BJ154" s="71">
        <f t="shared" si="448"/>
        <v>0</v>
      </c>
      <c r="BK154" s="71">
        <f t="shared" si="448"/>
        <v>280938.90225563908</v>
      </c>
      <c r="BM154" s="71">
        <f>SUM(BM144:BM153)</f>
        <v>0</v>
      </c>
      <c r="BN154" s="71">
        <f t="shared" ref="BN154:BT154" si="449">SUM(BN144:BN153)</f>
        <v>0</v>
      </c>
      <c r="BO154" s="71">
        <f t="shared" si="449"/>
        <v>0</v>
      </c>
      <c r="BP154" s="71">
        <f t="shared" si="449"/>
        <v>0</v>
      </c>
      <c r="BQ154" s="71">
        <f t="shared" si="449"/>
        <v>0</v>
      </c>
      <c r="BR154" s="71">
        <f t="shared" si="449"/>
        <v>0</v>
      </c>
      <c r="BS154" s="71">
        <f t="shared" si="449"/>
        <v>0</v>
      </c>
      <c r="BT154" s="71">
        <f t="shared" si="449"/>
        <v>0</v>
      </c>
      <c r="BV154" s="71">
        <f>SUM(BV144:BV153)</f>
        <v>3973912</v>
      </c>
      <c r="BW154" s="71">
        <f t="shared" ref="BW154:CC154" si="450">SUM(BW144:BW153)</f>
        <v>131664.34357566515</v>
      </c>
      <c r="BX154" s="71">
        <f t="shared" si="450"/>
        <v>15500</v>
      </c>
      <c r="BY154" s="71">
        <f t="shared" si="450"/>
        <v>0</v>
      </c>
      <c r="BZ154" s="71">
        <f t="shared" si="450"/>
        <v>0</v>
      </c>
      <c r="CA154" s="71">
        <f t="shared" si="450"/>
        <v>0</v>
      </c>
      <c r="CB154" s="71">
        <f t="shared" si="450"/>
        <v>0</v>
      </c>
      <c r="CC154" s="71">
        <f t="shared" si="450"/>
        <v>4121076.3435756653</v>
      </c>
    </row>
    <row r="155" spans="1:81" ht="15">
      <c r="A155" s="75" t="s">
        <v>137</v>
      </c>
      <c r="B155" s="18" t="str">
        <f t="shared" ref="B155:I155" si="451">B1</f>
        <v>Operating</v>
      </c>
      <c r="C155" s="18" t="str">
        <f t="shared" si="451"/>
        <v>SPED</v>
      </c>
      <c r="D155" s="18" t="str">
        <f t="shared" si="451"/>
        <v>NSLP</v>
      </c>
      <c r="E155" s="18" t="str">
        <f t="shared" si="451"/>
        <v>Other</v>
      </c>
      <c r="F155" s="18" t="str">
        <f t="shared" si="451"/>
        <v>Title I</v>
      </c>
      <c r="G155" s="18" t="str">
        <f t="shared" si="451"/>
        <v>SGF</v>
      </c>
      <c r="H155" s="18" t="str">
        <f t="shared" si="451"/>
        <v>Title III</v>
      </c>
      <c r="I155" s="18" t="str">
        <f t="shared" si="451"/>
        <v>Horizon</v>
      </c>
      <c r="J155" s="7"/>
      <c r="K155" s="18" t="str">
        <f t="shared" ref="K155:R155" si="452">K1</f>
        <v>Operating</v>
      </c>
      <c r="L155" s="18" t="str">
        <f t="shared" si="452"/>
        <v>SPED</v>
      </c>
      <c r="M155" s="18" t="str">
        <f t="shared" si="452"/>
        <v>NSLP</v>
      </c>
      <c r="N155" s="18" t="str">
        <f t="shared" si="452"/>
        <v>Other</v>
      </c>
      <c r="O155" s="18" t="str">
        <f t="shared" si="452"/>
        <v>Title I</v>
      </c>
      <c r="P155" s="18" t="str">
        <f t="shared" si="452"/>
        <v>SGF</v>
      </c>
      <c r="Q155" s="18" t="str">
        <f t="shared" si="452"/>
        <v>Title III</v>
      </c>
      <c r="R155" s="18" t="str">
        <f t="shared" si="452"/>
        <v>St. Rose</v>
      </c>
      <c r="T155" s="18" t="str">
        <f t="shared" ref="T155:AA155" si="453">T1</f>
        <v>Operating</v>
      </c>
      <c r="U155" s="18" t="str">
        <f t="shared" si="453"/>
        <v>SPED</v>
      </c>
      <c r="V155" s="18" t="str">
        <f t="shared" si="453"/>
        <v>NSLP</v>
      </c>
      <c r="W155" s="18" t="str">
        <f t="shared" si="453"/>
        <v>Other</v>
      </c>
      <c r="X155" s="18" t="str">
        <f t="shared" si="453"/>
        <v>Title I</v>
      </c>
      <c r="Y155" s="18" t="str">
        <f t="shared" si="453"/>
        <v>SGF</v>
      </c>
      <c r="Z155" s="18" t="str">
        <f t="shared" si="453"/>
        <v>Title III</v>
      </c>
      <c r="AA155" s="18" t="str">
        <f t="shared" si="453"/>
        <v>Inspirada</v>
      </c>
      <c r="AC155" s="18" t="str">
        <f t="shared" ref="AC155:AJ155" si="454">AC1</f>
        <v>Operating</v>
      </c>
      <c r="AD155" s="18" t="str">
        <f t="shared" si="454"/>
        <v>SPED</v>
      </c>
      <c r="AE155" s="18" t="str">
        <f t="shared" si="454"/>
        <v>NSLP</v>
      </c>
      <c r="AF155" s="18" t="str">
        <f t="shared" si="454"/>
        <v>Other</v>
      </c>
      <c r="AG155" s="18" t="str">
        <f t="shared" si="454"/>
        <v>Title I</v>
      </c>
      <c r="AH155" s="18" t="str">
        <f t="shared" si="454"/>
        <v>SGF</v>
      </c>
      <c r="AI155" s="18" t="str">
        <f t="shared" si="454"/>
        <v>Title III</v>
      </c>
      <c r="AJ155" s="18" t="str">
        <f t="shared" si="454"/>
        <v>Cadence</v>
      </c>
      <c r="AL155" s="18" t="str">
        <f t="shared" ref="AL155:AS155" si="455">AL1</f>
        <v>Operating</v>
      </c>
      <c r="AM155" s="18" t="str">
        <f t="shared" si="455"/>
        <v>SPED</v>
      </c>
      <c r="AN155" s="18" t="str">
        <f t="shared" si="455"/>
        <v>NSLP</v>
      </c>
      <c r="AO155" s="18" t="str">
        <f t="shared" si="455"/>
        <v>Other</v>
      </c>
      <c r="AP155" s="18" t="str">
        <f t="shared" si="455"/>
        <v>Title I</v>
      </c>
      <c r="AQ155" s="18" t="str">
        <f t="shared" si="455"/>
        <v>SGF</v>
      </c>
      <c r="AR155" s="18" t="str">
        <f t="shared" si="455"/>
        <v>Title III</v>
      </c>
      <c r="AS155" s="18" t="str">
        <f t="shared" si="455"/>
        <v>Sloan</v>
      </c>
      <c r="AU155" s="18" t="str">
        <f t="shared" ref="AU155:BB155" si="456">AU1</f>
        <v>Operating</v>
      </c>
      <c r="AV155" s="18" t="str">
        <f t="shared" si="456"/>
        <v>SPED</v>
      </c>
      <c r="AW155" s="18" t="str">
        <f t="shared" si="456"/>
        <v>NSLP</v>
      </c>
      <c r="AX155" s="18" t="str">
        <f t="shared" si="456"/>
        <v>Other</v>
      </c>
      <c r="AY155" s="18" t="str">
        <f t="shared" si="456"/>
        <v>Title I</v>
      </c>
      <c r="AZ155" s="18" t="str">
        <f t="shared" si="456"/>
        <v>SGF</v>
      </c>
      <c r="BA155" s="18" t="str">
        <f t="shared" si="456"/>
        <v>Title III</v>
      </c>
      <c r="BB155" s="18" t="str">
        <f t="shared" si="456"/>
        <v>Virtual</v>
      </c>
      <c r="BD155" s="18" t="str">
        <f t="shared" ref="BD155:BK155" si="457">BD1</f>
        <v>Operating</v>
      </c>
      <c r="BE155" s="18" t="str">
        <f t="shared" si="457"/>
        <v>SPED</v>
      </c>
      <c r="BF155" s="18" t="str">
        <f t="shared" si="457"/>
        <v>NSLP</v>
      </c>
      <c r="BG155" s="18" t="str">
        <f t="shared" si="457"/>
        <v>Other</v>
      </c>
      <c r="BH155" s="18" t="str">
        <f t="shared" si="457"/>
        <v>Title I</v>
      </c>
      <c r="BI155" s="18" t="str">
        <f t="shared" si="457"/>
        <v>SGF</v>
      </c>
      <c r="BJ155" s="18" t="str">
        <f t="shared" si="457"/>
        <v>Title III</v>
      </c>
      <c r="BK155" s="18" t="str">
        <f t="shared" si="457"/>
        <v>Springs</v>
      </c>
      <c r="BM155" s="18" t="str">
        <f t="shared" ref="BM155:BT155" si="458">BM1</f>
        <v>Operating</v>
      </c>
      <c r="BN155" s="18" t="str">
        <f t="shared" si="458"/>
        <v>SPED</v>
      </c>
      <c r="BO155" s="18" t="str">
        <f t="shared" si="458"/>
        <v>NSLP</v>
      </c>
      <c r="BP155" s="18" t="str">
        <f t="shared" si="458"/>
        <v>Other</v>
      </c>
      <c r="BQ155" s="18" t="str">
        <f t="shared" si="458"/>
        <v>Title I</v>
      </c>
      <c r="BR155" s="18" t="str">
        <f t="shared" si="458"/>
        <v>SGF</v>
      </c>
      <c r="BS155" s="18" t="str">
        <f t="shared" si="458"/>
        <v>Title III</v>
      </c>
      <c r="BT155" s="18" t="str">
        <f t="shared" si="458"/>
        <v>Exec. Office</v>
      </c>
      <c r="BV155" s="18" t="str">
        <f t="shared" ref="BV155:CC155" si="459">BV1</f>
        <v>Operating</v>
      </c>
      <c r="BW155" s="18" t="str">
        <f t="shared" si="459"/>
        <v>SPED</v>
      </c>
      <c r="BX155" s="18" t="str">
        <f t="shared" si="459"/>
        <v>NSLP</v>
      </c>
      <c r="BY155" s="18" t="str">
        <f t="shared" si="459"/>
        <v>Other</v>
      </c>
      <c r="BZ155" s="18" t="str">
        <f t="shared" si="459"/>
        <v>Title I</v>
      </c>
      <c r="CA155" s="18" t="str">
        <f t="shared" si="459"/>
        <v>SGF</v>
      </c>
      <c r="CB155" s="18" t="str">
        <f t="shared" si="459"/>
        <v>Title III</v>
      </c>
      <c r="CC155" s="18" t="str">
        <f t="shared" si="459"/>
        <v>Systemwide</v>
      </c>
    </row>
    <row r="156" spans="1:81">
      <c r="A156" s="29" t="s">
        <v>138</v>
      </c>
      <c r="B156" s="62">
        <f>'25-26'!B156*1.05</f>
        <v>15655.5</v>
      </c>
      <c r="C156" s="11"/>
      <c r="D156" s="11"/>
      <c r="E156" s="11"/>
      <c r="F156" s="11"/>
      <c r="G156" s="11"/>
      <c r="H156" s="11"/>
      <c r="I156" s="5">
        <f t="shared" ref="I156:I169" si="460">SUM(B156:H156)</f>
        <v>15655.5</v>
      </c>
      <c r="K156" s="62">
        <f>'25-26'!K156*1.05</f>
        <v>25357.5</v>
      </c>
      <c r="L156" s="11"/>
      <c r="M156" s="11"/>
      <c r="N156" s="11"/>
      <c r="O156" s="11"/>
      <c r="P156" s="11"/>
      <c r="Q156" s="11"/>
      <c r="R156" s="5">
        <f t="shared" ref="R156:R169" si="461">SUM(K156:Q156)</f>
        <v>25357.5</v>
      </c>
      <c r="T156" s="62">
        <f>'25-26'!T156*1.05</f>
        <v>19845</v>
      </c>
      <c r="U156" s="11"/>
      <c r="V156" s="11"/>
      <c r="W156" s="11"/>
      <c r="X156" s="11"/>
      <c r="Y156" s="11"/>
      <c r="Z156" s="11"/>
      <c r="AA156" s="5">
        <f t="shared" ref="AA156:AA169" si="462">SUM(T156:Z156)</f>
        <v>19845</v>
      </c>
      <c r="AC156" s="62">
        <f>'25-26'!AC156*1.05</f>
        <v>38587.5</v>
      </c>
      <c r="AD156" s="11"/>
      <c r="AE156" s="11"/>
      <c r="AF156" s="11"/>
      <c r="AG156" s="11"/>
      <c r="AH156" s="11"/>
      <c r="AI156" s="11"/>
      <c r="AJ156" s="5">
        <f t="shared" ref="AJ156:AJ169" si="463">SUM(AC156:AI156)</f>
        <v>38587.5</v>
      </c>
      <c r="AL156" s="62">
        <f>'25-26'!AL156*1.05</f>
        <v>33075</v>
      </c>
      <c r="AM156" s="11"/>
      <c r="AN156" s="11"/>
      <c r="AO156" s="11"/>
      <c r="AP156" s="11"/>
      <c r="AQ156" s="11"/>
      <c r="AR156" s="11"/>
      <c r="AS156" s="5">
        <f t="shared" ref="AS156:AS169" si="464">SUM(AL156:AR156)</f>
        <v>33075</v>
      </c>
      <c r="AU156" s="62">
        <f>'25-26'!AU156*1.05</f>
        <v>10473.75</v>
      </c>
      <c r="AV156" s="11"/>
      <c r="AW156" s="11"/>
      <c r="AX156" s="11"/>
      <c r="AY156" s="11"/>
      <c r="AZ156" s="11"/>
      <c r="BA156" s="11"/>
      <c r="BB156" s="5">
        <f t="shared" ref="BB156:BB169" si="465">SUM(AU156:BA156)</f>
        <v>10473.75</v>
      </c>
      <c r="BD156" s="62">
        <f>'25-26'!BD156*1.05</f>
        <v>3307.5</v>
      </c>
      <c r="BE156" s="11"/>
      <c r="BF156" s="11"/>
      <c r="BG156" s="11"/>
      <c r="BH156" s="11"/>
      <c r="BI156" s="11"/>
      <c r="BJ156" s="11"/>
      <c r="BK156" s="5">
        <f t="shared" ref="BK156:BK169" si="466">SUM(BD156:BJ156)</f>
        <v>3307.5</v>
      </c>
      <c r="BM156" s="11">
        <v>0</v>
      </c>
      <c r="BN156" s="11"/>
      <c r="BO156" s="11"/>
      <c r="BP156" s="11"/>
      <c r="BQ156" s="11"/>
      <c r="BR156" s="11"/>
      <c r="BS156" s="11"/>
      <c r="BT156" s="5">
        <f t="shared" ref="BT156:BT169" si="467">SUM(BM156:BS156)</f>
        <v>0</v>
      </c>
      <c r="BV156" s="5">
        <f t="shared" ref="BV156:CA169" si="468">B156+K156+T156+AC156+AL156+AU156+BD156+BM156</f>
        <v>146301.75</v>
      </c>
      <c r="BW156" s="5">
        <f t="shared" si="468"/>
        <v>0</v>
      </c>
      <c r="BX156" s="5">
        <f t="shared" si="468"/>
        <v>0</v>
      </c>
      <c r="BY156" s="5">
        <f t="shared" si="468"/>
        <v>0</v>
      </c>
      <c r="BZ156" s="5">
        <f t="shared" si="468"/>
        <v>0</v>
      </c>
      <c r="CA156" s="5">
        <f t="shared" si="468"/>
        <v>0</v>
      </c>
      <c r="CB156" s="11"/>
      <c r="CC156" s="5">
        <f t="shared" ref="CC156:CC169" si="469">SUM(BV156:CB156)</f>
        <v>146301.75</v>
      </c>
    </row>
    <row r="157" spans="1:81">
      <c r="A157" s="29" t="s">
        <v>139</v>
      </c>
      <c r="B157" s="11">
        <v>0</v>
      </c>
      <c r="C157" s="11">
        <f>575*B17</f>
        <v>534750</v>
      </c>
      <c r="D157" s="5"/>
      <c r="E157" s="5"/>
      <c r="F157" s="5"/>
      <c r="G157" s="5"/>
      <c r="H157" s="5"/>
      <c r="I157" s="5">
        <f t="shared" si="460"/>
        <v>534750</v>
      </c>
      <c r="K157" s="11">
        <v>0</v>
      </c>
      <c r="L157" s="11">
        <f>160*K17</f>
        <v>165120</v>
      </c>
      <c r="M157" s="5"/>
      <c r="N157" s="5"/>
      <c r="O157" s="5"/>
      <c r="P157" s="5"/>
      <c r="Q157" s="5"/>
      <c r="R157" s="5">
        <f t="shared" si="461"/>
        <v>165120</v>
      </c>
      <c r="T157" s="11">
        <v>0</v>
      </c>
      <c r="U157" s="11">
        <f>80*T17</f>
        <v>99600</v>
      </c>
      <c r="V157" s="5"/>
      <c r="W157" s="5"/>
      <c r="X157" s="5"/>
      <c r="Y157" s="5"/>
      <c r="Z157" s="5"/>
      <c r="AA157" s="5">
        <f t="shared" si="462"/>
        <v>99600</v>
      </c>
      <c r="AC157" s="11">
        <v>0</v>
      </c>
      <c r="AD157" s="11">
        <f>140*AC17</f>
        <v>352100</v>
      </c>
      <c r="AE157" s="5"/>
      <c r="AF157" s="5"/>
      <c r="AG157" s="5"/>
      <c r="AH157" s="5"/>
      <c r="AI157" s="5"/>
      <c r="AJ157" s="5">
        <f t="shared" si="463"/>
        <v>352100</v>
      </c>
      <c r="AL157" s="11">
        <v>0</v>
      </c>
      <c r="AM157" s="11">
        <f>225*AL17</f>
        <v>533475</v>
      </c>
      <c r="AN157" s="5"/>
      <c r="AO157" s="5"/>
      <c r="AP157" s="5"/>
      <c r="AQ157" s="5"/>
      <c r="AR157" s="5"/>
      <c r="AS157" s="5">
        <f t="shared" si="464"/>
        <v>533475</v>
      </c>
      <c r="AU157" s="11">
        <v>0</v>
      </c>
      <c r="AV157" s="11">
        <f>200*AU17</f>
        <v>28000</v>
      </c>
      <c r="AW157" s="5"/>
      <c r="AX157" s="5"/>
      <c r="AY157" s="5"/>
      <c r="AZ157" s="5"/>
      <c r="BA157" s="5"/>
      <c r="BB157" s="5">
        <f t="shared" si="465"/>
        <v>28000</v>
      </c>
      <c r="BD157" s="11">
        <v>0</v>
      </c>
      <c r="BE157" s="11">
        <f>750*BD17+60000</f>
        <v>375750</v>
      </c>
      <c r="BF157" s="5"/>
      <c r="BG157" s="5"/>
      <c r="BH157" s="5"/>
      <c r="BI157" s="5"/>
      <c r="BJ157" s="5"/>
      <c r="BK157" s="5">
        <f t="shared" si="466"/>
        <v>375750</v>
      </c>
      <c r="BM157" s="11">
        <v>0</v>
      </c>
      <c r="BN157" s="5">
        <f>375*BM17</f>
        <v>0</v>
      </c>
      <c r="BO157" s="5"/>
      <c r="BP157" s="5"/>
      <c r="BQ157" s="5"/>
      <c r="BR157" s="5"/>
      <c r="BS157" s="5"/>
      <c r="BT157" s="5">
        <f t="shared" si="467"/>
        <v>0</v>
      </c>
      <c r="BV157" s="5">
        <f t="shared" si="468"/>
        <v>0</v>
      </c>
      <c r="BW157" s="5">
        <f t="shared" si="468"/>
        <v>2088795</v>
      </c>
      <c r="BX157" s="5">
        <f t="shared" si="468"/>
        <v>0</v>
      </c>
      <c r="BY157" s="5">
        <f t="shared" si="468"/>
        <v>0</v>
      </c>
      <c r="BZ157" s="5">
        <f t="shared" si="468"/>
        <v>0</v>
      </c>
      <c r="CA157" s="5">
        <f t="shared" si="468"/>
        <v>0</v>
      </c>
      <c r="CB157" s="5"/>
      <c r="CC157" s="5">
        <f t="shared" si="469"/>
        <v>2088795</v>
      </c>
    </row>
    <row r="158" spans="1:81">
      <c r="A158" s="29" t="s">
        <v>279</v>
      </c>
      <c r="B158" s="11">
        <v>0</v>
      </c>
      <c r="C158" s="5"/>
      <c r="D158" s="5"/>
      <c r="E158" s="5"/>
      <c r="F158" s="5"/>
      <c r="G158" s="5"/>
      <c r="H158" s="5"/>
      <c r="I158" s="5">
        <f t="shared" si="460"/>
        <v>0</v>
      </c>
      <c r="K158" s="11">
        <f>(1705*10*2)*1.03</f>
        <v>35123</v>
      </c>
      <c r="L158" s="5"/>
      <c r="M158" s="5"/>
      <c r="N158" s="5"/>
      <c r="O158" s="5"/>
      <c r="P158" s="5"/>
      <c r="Q158" s="5"/>
      <c r="R158" s="5">
        <f t="shared" si="461"/>
        <v>35123</v>
      </c>
      <c r="T158" s="11">
        <v>0</v>
      </c>
      <c r="U158" s="5"/>
      <c r="V158" s="5"/>
      <c r="W158" s="5"/>
      <c r="X158" s="5"/>
      <c r="Y158" s="5"/>
      <c r="Z158" s="5"/>
      <c r="AA158" s="5">
        <f t="shared" si="462"/>
        <v>0</v>
      </c>
      <c r="AC158" s="11">
        <v>0</v>
      </c>
      <c r="AD158" s="5"/>
      <c r="AE158" s="5"/>
      <c r="AF158" s="5"/>
      <c r="AG158" s="5"/>
      <c r="AH158" s="5"/>
      <c r="AI158" s="5"/>
      <c r="AJ158" s="5">
        <f t="shared" si="463"/>
        <v>0</v>
      </c>
      <c r="AL158" s="11">
        <v>0</v>
      </c>
      <c r="AM158" s="5"/>
      <c r="AN158" s="5"/>
      <c r="AO158" s="5"/>
      <c r="AP158" s="5"/>
      <c r="AQ158" s="5"/>
      <c r="AR158" s="5"/>
      <c r="AS158" s="5">
        <f t="shared" si="464"/>
        <v>0</v>
      </c>
      <c r="AU158" s="105">
        <f>(100*12)*AU17</f>
        <v>168000</v>
      </c>
      <c r="AV158" s="11"/>
      <c r="AW158" s="5"/>
      <c r="AX158" s="5"/>
      <c r="AY158" s="5"/>
      <c r="AZ158" s="5"/>
      <c r="BA158" s="5"/>
      <c r="BB158" s="5">
        <f t="shared" si="465"/>
        <v>168000</v>
      </c>
      <c r="BD158" s="11">
        <v>0</v>
      </c>
      <c r="BE158" s="5"/>
      <c r="BF158" s="5"/>
      <c r="BG158" s="5"/>
      <c r="BH158" s="5"/>
      <c r="BI158" s="5"/>
      <c r="BJ158" s="5"/>
      <c r="BK158" s="5">
        <f t="shared" si="466"/>
        <v>0</v>
      </c>
      <c r="BM158" s="11">
        <v>0</v>
      </c>
      <c r="BN158" s="5"/>
      <c r="BO158" s="5"/>
      <c r="BP158" s="5"/>
      <c r="BQ158" s="5"/>
      <c r="BR158" s="5"/>
      <c r="BS158" s="5"/>
      <c r="BT158" s="5">
        <f t="shared" si="467"/>
        <v>0</v>
      </c>
      <c r="BV158" s="5">
        <f t="shared" si="468"/>
        <v>203123</v>
      </c>
      <c r="BW158" s="5">
        <f t="shared" si="468"/>
        <v>0</v>
      </c>
      <c r="BX158" s="5">
        <f t="shared" si="468"/>
        <v>0</v>
      </c>
      <c r="BY158" s="5">
        <f t="shared" si="468"/>
        <v>0</v>
      </c>
      <c r="BZ158" s="5">
        <f t="shared" si="468"/>
        <v>0</v>
      </c>
      <c r="CA158" s="5">
        <f t="shared" si="468"/>
        <v>0</v>
      </c>
      <c r="CB158" s="5"/>
      <c r="CC158" s="5">
        <f t="shared" si="469"/>
        <v>203123</v>
      </c>
    </row>
    <row r="159" spans="1:81">
      <c r="A159" s="29" t="s">
        <v>280</v>
      </c>
      <c r="B159" s="11">
        <v>0</v>
      </c>
      <c r="C159" s="5"/>
      <c r="D159" s="5"/>
      <c r="E159" s="5"/>
      <c r="F159" s="5"/>
      <c r="G159" s="5"/>
      <c r="H159" s="5"/>
      <c r="I159" s="5">
        <f t="shared" si="460"/>
        <v>0</v>
      </c>
      <c r="K159" s="11">
        <v>0</v>
      </c>
      <c r="L159" s="5"/>
      <c r="M159" s="5"/>
      <c r="N159" s="5"/>
      <c r="O159" s="5"/>
      <c r="P159" s="5"/>
      <c r="Q159" s="5"/>
      <c r="R159" s="5">
        <f t="shared" si="461"/>
        <v>0</v>
      </c>
      <c r="T159" s="11">
        <v>0</v>
      </c>
      <c r="U159" s="5"/>
      <c r="V159" s="5"/>
      <c r="W159" s="5"/>
      <c r="X159" s="5"/>
      <c r="Y159" s="5"/>
      <c r="Z159" s="5"/>
      <c r="AA159" s="5">
        <f t="shared" si="462"/>
        <v>0</v>
      </c>
      <c r="AC159" s="11">
        <v>0</v>
      </c>
      <c r="AD159" s="5"/>
      <c r="AE159" s="5"/>
      <c r="AF159" s="5"/>
      <c r="AG159" s="5"/>
      <c r="AH159" s="5"/>
      <c r="AI159" s="5"/>
      <c r="AJ159" s="5">
        <f t="shared" si="463"/>
        <v>0</v>
      </c>
      <c r="AL159" s="11">
        <v>0</v>
      </c>
      <c r="AM159" s="5"/>
      <c r="AN159" s="5"/>
      <c r="AO159" s="5"/>
      <c r="AP159" s="5"/>
      <c r="AQ159" s="5"/>
      <c r="AR159" s="5"/>
      <c r="AS159" s="5">
        <f t="shared" si="464"/>
        <v>0</v>
      </c>
      <c r="AU159" s="11">
        <f>800*AU17</f>
        <v>112000</v>
      </c>
      <c r="AV159" s="11"/>
      <c r="AW159" s="5"/>
      <c r="AX159" s="5"/>
      <c r="AY159" s="5"/>
      <c r="AZ159" s="5"/>
      <c r="BA159" s="5"/>
      <c r="BB159" s="5">
        <f t="shared" si="465"/>
        <v>112000</v>
      </c>
      <c r="BD159" s="11">
        <v>0</v>
      </c>
      <c r="BE159" s="5"/>
      <c r="BF159" s="5"/>
      <c r="BG159" s="5"/>
      <c r="BH159" s="5"/>
      <c r="BI159" s="5"/>
      <c r="BJ159" s="5"/>
      <c r="BK159" s="5">
        <f t="shared" si="466"/>
        <v>0</v>
      </c>
      <c r="BM159" s="11">
        <v>0</v>
      </c>
      <c r="BN159" s="5"/>
      <c r="BO159" s="5"/>
      <c r="BP159" s="5"/>
      <c r="BQ159" s="5"/>
      <c r="BR159" s="5"/>
      <c r="BS159" s="5"/>
      <c r="BT159" s="5">
        <f t="shared" si="467"/>
        <v>0</v>
      </c>
      <c r="BV159" s="5">
        <f t="shared" si="468"/>
        <v>112000</v>
      </c>
      <c r="BW159" s="5">
        <f t="shared" si="468"/>
        <v>0</v>
      </c>
      <c r="BX159" s="5">
        <f t="shared" si="468"/>
        <v>0</v>
      </c>
      <c r="BY159" s="5">
        <f t="shared" si="468"/>
        <v>0</v>
      </c>
      <c r="BZ159" s="5">
        <f t="shared" si="468"/>
        <v>0</v>
      </c>
      <c r="CA159" s="5">
        <f t="shared" si="468"/>
        <v>0</v>
      </c>
      <c r="CB159" s="5"/>
      <c r="CC159" s="5">
        <f t="shared" si="469"/>
        <v>112000</v>
      </c>
    </row>
    <row r="160" spans="1:81">
      <c r="A160" s="29" t="s">
        <v>140</v>
      </c>
      <c r="B160" s="11">
        <f>495*B17</f>
        <v>460350</v>
      </c>
      <c r="C160" s="5"/>
      <c r="D160" s="5"/>
      <c r="E160" s="5"/>
      <c r="F160" s="5"/>
      <c r="G160" s="5"/>
      <c r="H160" s="5"/>
      <c r="I160" s="5">
        <f t="shared" si="460"/>
        <v>460350</v>
      </c>
      <c r="K160" s="11">
        <f>495*K17</f>
        <v>510840</v>
      </c>
      <c r="L160" s="5"/>
      <c r="M160" s="5"/>
      <c r="N160" s="5"/>
      <c r="O160" s="5"/>
      <c r="P160" s="5"/>
      <c r="Q160" s="5"/>
      <c r="R160" s="5">
        <f t="shared" si="461"/>
        <v>510840</v>
      </c>
      <c r="T160" s="11">
        <f>495*T17</f>
        <v>616275</v>
      </c>
      <c r="U160" s="5"/>
      <c r="V160" s="5"/>
      <c r="W160" s="5"/>
      <c r="X160" s="5"/>
      <c r="Y160" s="5"/>
      <c r="Z160" s="5"/>
      <c r="AA160" s="5">
        <f t="shared" si="462"/>
        <v>616275</v>
      </c>
      <c r="AC160" s="11">
        <f>495*AC17</f>
        <v>1244925</v>
      </c>
      <c r="AD160" s="5"/>
      <c r="AE160" s="5"/>
      <c r="AF160" s="5"/>
      <c r="AG160" s="5"/>
      <c r="AH160" s="5"/>
      <c r="AI160" s="5"/>
      <c r="AJ160" s="5">
        <f t="shared" si="463"/>
        <v>1244925</v>
      </c>
      <c r="AL160" s="11">
        <f>495*AL17</f>
        <v>1173645</v>
      </c>
      <c r="AM160" s="5"/>
      <c r="AN160" s="5"/>
      <c r="AO160" s="5"/>
      <c r="AP160" s="5"/>
      <c r="AQ160" s="5"/>
      <c r="AR160" s="5"/>
      <c r="AS160" s="5">
        <f t="shared" si="464"/>
        <v>1173645</v>
      </c>
      <c r="AU160" s="11">
        <f>495*AU17</f>
        <v>69300</v>
      </c>
      <c r="AV160" s="5"/>
      <c r="AW160" s="5"/>
      <c r="AX160" s="5"/>
      <c r="AY160" s="5"/>
      <c r="AZ160" s="5"/>
      <c r="BA160" s="5"/>
      <c r="BB160" s="5">
        <f t="shared" si="465"/>
        <v>69300</v>
      </c>
      <c r="BD160" s="11">
        <f>495*BD17</f>
        <v>208395</v>
      </c>
      <c r="BE160" s="5"/>
      <c r="BF160" s="5"/>
      <c r="BG160" s="5"/>
      <c r="BH160" s="5"/>
      <c r="BI160" s="5"/>
      <c r="BJ160" s="5"/>
      <c r="BK160" s="5">
        <f t="shared" si="466"/>
        <v>208395</v>
      </c>
      <c r="BM160" s="11">
        <f>450*BM17</f>
        <v>0</v>
      </c>
      <c r="BN160" s="5"/>
      <c r="BO160" s="5"/>
      <c r="BP160" s="5"/>
      <c r="BQ160" s="5"/>
      <c r="BR160" s="5"/>
      <c r="BS160" s="5"/>
      <c r="BT160" s="5">
        <f t="shared" si="467"/>
        <v>0</v>
      </c>
      <c r="BV160" s="5">
        <f t="shared" si="468"/>
        <v>4283730</v>
      </c>
      <c r="BW160" s="5">
        <f t="shared" si="468"/>
        <v>0</v>
      </c>
      <c r="BX160" s="5">
        <f t="shared" si="468"/>
        <v>0</v>
      </c>
      <c r="BY160" s="5">
        <f t="shared" si="468"/>
        <v>0</v>
      </c>
      <c r="BZ160" s="5">
        <f t="shared" si="468"/>
        <v>0</v>
      </c>
      <c r="CA160" s="5">
        <f t="shared" si="468"/>
        <v>0</v>
      </c>
      <c r="CB160" s="5"/>
      <c r="CC160" s="5">
        <f t="shared" si="469"/>
        <v>4283730</v>
      </c>
    </row>
    <row r="161" spans="1:81">
      <c r="A161" s="29" t="s">
        <v>141</v>
      </c>
      <c r="B161" s="62">
        <f>'25-26'!B161*1.05</f>
        <v>23152.5</v>
      </c>
      <c r="C161" s="62">
        <f>'25-26'!C161*1.05</f>
        <v>3307.5</v>
      </c>
      <c r="D161" s="11">
        <v>0</v>
      </c>
      <c r="E161" s="11"/>
      <c r="F161" s="11">
        <f>(240*F65)</f>
        <v>0</v>
      </c>
      <c r="G161" s="11">
        <f>(240*G65)</f>
        <v>0</v>
      </c>
      <c r="H161" s="11">
        <f>(240*H65)</f>
        <v>0</v>
      </c>
      <c r="I161" s="5">
        <f t="shared" si="460"/>
        <v>26460</v>
      </c>
      <c r="K161" s="62">
        <f>'25-26'!K161*1.05</f>
        <v>24255</v>
      </c>
      <c r="L161" s="62">
        <f>'25-26'!L161*1.05</f>
        <v>3307.5</v>
      </c>
      <c r="M161" s="11">
        <v>0</v>
      </c>
      <c r="N161" s="11"/>
      <c r="O161" s="11">
        <f>(240*O65)</f>
        <v>0</v>
      </c>
      <c r="P161" s="11">
        <f>(240*P65)</f>
        <v>0</v>
      </c>
      <c r="Q161" s="11">
        <f>(240*Q65)</f>
        <v>0</v>
      </c>
      <c r="R161" s="5">
        <f t="shared" si="461"/>
        <v>27562.5</v>
      </c>
      <c r="T161" s="62">
        <f>'25-26'!T161*1.05</f>
        <v>27011.25</v>
      </c>
      <c r="U161" s="62">
        <f>'25-26'!U161*1.05</f>
        <v>3858.75</v>
      </c>
      <c r="V161" s="11">
        <v>0</v>
      </c>
      <c r="W161" s="11"/>
      <c r="X161" s="11">
        <f>(240*X65)</f>
        <v>0</v>
      </c>
      <c r="Y161" s="11">
        <f>(240*Y65)</f>
        <v>0</v>
      </c>
      <c r="Z161" s="11">
        <f>(240*Z65)</f>
        <v>0</v>
      </c>
      <c r="AA161" s="5">
        <f t="shared" si="462"/>
        <v>30870</v>
      </c>
      <c r="AC161" s="62">
        <f>'25-26'!AC161*1.05</f>
        <v>55125</v>
      </c>
      <c r="AD161" s="62">
        <f>'25-26'!AD161*1.05</f>
        <v>7717.5</v>
      </c>
      <c r="AE161" s="11"/>
      <c r="AF161" s="11"/>
      <c r="AG161" s="11">
        <f>(240*AG65)</f>
        <v>0</v>
      </c>
      <c r="AH161" s="11">
        <f>(240*AH65)</f>
        <v>0</v>
      </c>
      <c r="AI161" s="11">
        <f>(240*AI65)</f>
        <v>0</v>
      </c>
      <c r="AJ161" s="5">
        <f t="shared" si="463"/>
        <v>62842.5</v>
      </c>
      <c r="AL161" s="62">
        <f>'25-26'!AL161*1.05</f>
        <v>41895</v>
      </c>
      <c r="AM161" s="62">
        <f>'25-26'!AM161*1.05</f>
        <v>6063.75</v>
      </c>
      <c r="AN161" s="11">
        <v>0</v>
      </c>
      <c r="AO161" s="11"/>
      <c r="AP161" s="11">
        <f>(240*AP65)</f>
        <v>0</v>
      </c>
      <c r="AQ161" s="11">
        <f>(240*AQ65)</f>
        <v>0</v>
      </c>
      <c r="AR161" s="11">
        <f>(240*AR65)</f>
        <v>0</v>
      </c>
      <c r="AS161" s="5">
        <f t="shared" si="464"/>
        <v>47958.75</v>
      </c>
      <c r="AU161" s="62">
        <f>'24-25'!AU161*1.05</f>
        <v>3150</v>
      </c>
      <c r="AV161" s="62">
        <f>'24-25'!AV161*1.05</f>
        <v>1155</v>
      </c>
      <c r="AW161" s="11">
        <v>0</v>
      </c>
      <c r="AX161" s="11"/>
      <c r="AY161" s="11">
        <f>(240*AY65)</f>
        <v>0</v>
      </c>
      <c r="AZ161" s="11">
        <f>(240*AZ65)</f>
        <v>0</v>
      </c>
      <c r="BA161" s="11">
        <f>(240*BA65)</f>
        <v>0</v>
      </c>
      <c r="BB161" s="5">
        <f t="shared" si="465"/>
        <v>4305</v>
      </c>
      <c r="BD161" s="62">
        <f>'25-26'!BD161*1.05</f>
        <v>3858.75</v>
      </c>
      <c r="BE161" s="62">
        <f>'25-26'!BE161*1.05</f>
        <v>826.875</v>
      </c>
      <c r="BF161" s="11">
        <v>0</v>
      </c>
      <c r="BG161" s="11"/>
      <c r="BH161" s="11">
        <v>0</v>
      </c>
      <c r="BI161" s="11">
        <f>(240*BI65)</f>
        <v>0</v>
      </c>
      <c r="BJ161" s="11">
        <f>(240*BJ65)</f>
        <v>0</v>
      </c>
      <c r="BK161" s="5">
        <f t="shared" si="466"/>
        <v>4685.625</v>
      </c>
      <c r="BM161" s="62">
        <f>'25-26'!BM161*1.05</f>
        <v>2205</v>
      </c>
      <c r="BN161" s="11"/>
      <c r="BO161" s="11">
        <v>0</v>
      </c>
      <c r="BP161" s="11"/>
      <c r="BQ161" s="11">
        <f>(240*BQ65)</f>
        <v>0</v>
      </c>
      <c r="BR161" s="11">
        <f>(240*BR65)</f>
        <v>0</v>
      </c>
      <c r="BS161" s="11">
        <f>(240*BS65)</f>
        <v>0</v>
      </c>
      <c r="BT161" s="5">
        <f t="shared" si="467"/>
        <v>2205</v>
      </c>
      <c r="BV161" s="5">
        <f t="shared" si="468"/>
        <v>180652.5</v>
      </c>
      <c r="BW161" s="5">
        <f t="shared" si="468"/>
        <v>26236.875</v>
      </c>
      <c r="BX161" s="5">
        <f t="shared" si="468"/>
        <v>0</v>
      </c>
      <c r="BY161" s="5">
        <f t="shared" si="468"/>
        <v>0</v>
      </c>
      <c r="BZ161" s="5">
        <f t="shared" si="468"/>
        <v>0</v>
      </c>
      <c r="CA161" s="5">
        <f t="shared" si="468"/>
        <v>0</v>
      </c>
      <c r="CB161" s="11">
        <f>(240*CB65)</f>
        <v>0</v>
      </c>
      <c r="CC161" s="5">
        <f t="shared" si="469"/>
        <v>206889.375</v>
      </c>
    </row>
    <row r="162" spans="1:81">
      <c r="A162" s="29" t="s">
        <v>142</v>
      </c>
      <c r="B162" s="62">
        <f>'25-26'!B162*1.05</f>
        <v>22601.25</v>
      </c>
      <c r="C162" s="5"/>
      <c r="D162" s="5"/>
      <c r="E162" s="5"/>
      <c r="F162" s="5"/>
      <c r="G162" s="5"/>
      <c r="H162" s="5"/>
      <c r="I162" s="5">
        <f t="shared" si="460"/>
        <v>22601.25</v>
      </c>
      <c r="K162" s="62">
        <f>'25-26'!K162*1.05</f>
        <v>22601.25</v>
      </c>
      <c r="L162" s="5"/>
      <c r="M162" s="5"/>
      <c r="N162" s="5"/>
      <c r="O162" s="5"/>
      <c r="P162" s="5"/>
      <c r="Q162" s="5"/>
      <c r="R162" s="5">
        <f t="shared" si="461"/>
        <v>22601.25</v>
      </c>
      <c r="T162" s="62">
        <f>'25-26'!T162*1.05</f>
        <v>22601.25</v>
      </c>
      <c r="U162" s="5"/>
      <c r="V162" s="5"/>
      <c r="W162" s="5"/>
      <c r="X162" s="5"/>
      <c r="Y162" s="5"/>
      <c r="Z162" s="5"/>
      <c r="AA162" s="5">
        <f t="shared" si="462"/>
        <v>22601.25</v>
      </c>
      <c r="AC162" s="62">
        <f>'25-26'!AC162*1.05</f>
        <v>22601.25</v>
      </c>
      <c r="AD162" s="5"/>
      <c r="AE162" s="5"/>
      <c r="AF162" s="5"/>
      <c r="AG162" s="5"/>
      <c r="AH162" s="5"/>
      <c r="AI162" s="5"/>
      <c r="AJ162" s="5">
        <f t="shared" si="463"/>
        <v>22601.25</v>
      </c>
      <c r="AL162" s="62">
        <f>'25-26'!AL162*1.05</f>
        <v>22601.25</v>
      </c>
      <c r="AM162" s="5"/>
      <c r="AN162" s="5"/>
      <c r="AO162" s="5"/>
      <c r="AP162" s="5"/>
      <c r="AQ162" s="5"/>
      <c r="AR162" s="5"/>
      <c r="AS162" s="5">
        <f t="shared" si="464"/>
        <v>22601.25</v>
      </c>
      <c r="AU162" s="62">
        <f>'24-25'!AU162*1.05</f>
        <v>21525</v>
      </c>
      <c r="AV162" s="5"/>
      <c r="AW162" s="5"/>
      <c r="AX162" s="5"/>
      <c r="AY162" s="5"/>
      <c r="AZ162" s="5"/>
      <c r="BA162" s="5"/>
      <c r="BB162" s="5">
        <f t="shared" si="465"/>
        <v>21525</v>
      </c>
      <c r="BD162" s="62">
        <f>'25-26'!BD162*1.05</f>
        <v>5512.5</v>
      </c>
      <c r="BE162" s="5"/>
      <c r="BF162" s="5"/>
      <c r="BG162" s="5"/>
      <c r="BH162" s="5"/>
      <c r="BI162" s="5"/>
      <c r="BJ162" s="5"/>
      <c r="BK162" s="5">
        <f t="shared" si="466"/>
        <v>5512.5</v>
      </c>
      <c r="BM162" s="11">
        <v>0</v>
      </c>
      <c r="BN162" s="5"/>
      <c r="BO162" s="5"/>
      <c r="BP162" s="5"/>
      <c r="BQ162" s="5"/>
      <c r="BR162" s="5"/>
      <c r="BS162" s="5"/>
      <c r="BT162" s="5">
        <f t="shared" si="467"/>
        <v>0</v>
      </c>
      <c r="BV162" s="5">
        <f t="shared" si="468"/>
        <v>140043.75</v>
      </c>
      <c r="BW162" s="5">
        <f t="shared" si="468"/>
        <v>0</v>
      </c>
      <c r="BX162" s="5">
        <f t="shared" si="468"/>
        <v>0</v>
      </c>
      <c r="BY162" s="5">
        <f t="shared" si="468"/>
        <v>0</v>
      </c>
      <c r="BZ162" s="5">
        <f t="shared" si="468"/>
        <v>0</v>
      </c>
      <c r="CA162" s="5">
        <f t="shared" si="468"/>
        <v>0</v>
      </c>
      <c r="CB162" s="5"/>
      <c r="CC162" s="5">
        <f t="shared" si="469"/>
        <v>140043.75</v>
      </c>
    </row>
    <row r="163" spans="1:81">
      <c r="A163" s="29" t="s">
        <v>143</v>
      </c>
      <c r="B163" s="11">
        <v>7500</v>
      </c>
      <c r="C163" s="5"/>
      <c r="D163" s="5"/>
      <c r="E163" s="5"/>
      <c r="F163" s="5"/>
      <c r="G163" s="5"/>
      <c r="H163" s="5"/>
      <c r="I163" s="5">
        <f t="shared" si="460"/>
        <v>7500</v>
      </c>
      <c r="K163" s="11">
        <v>8000</v>
      </c>
      <c r="L163" s="5"/>
      <c r="M163" s="5"/>
      <c r="N163" s="5"/>
      <c r="O163" s="5"/>
      <c r="P163" s="5"/>
      <c r="Q163" s="5"/>
      <c r="R163" s="5">
        <f t="shared" si="461"/>
        <v>8000</v>
      </c>
      <c r="T163" s="11">
        <v>8000</v>
      </c>
      <c r="U163" s="5"/>
      <c r="V163" s="5"/>
      <c r="W163" s="5"/>
      <c r="X163" s="5"/>
      <c r="Y163" s="5"/>
      <c r="Z163" s="5"/>
      <c r="AA163" s="5">
        <f t="shared" si="462"/>
        <v>8000</v>
      </c>
      <c r="AC163" s="11">
        <v>12000</v>
      </c>
      <c r="AD163" s="5"/>
      <c r="AE163" s="5"/>
      <c r="AF163" s="5"/>
      <c r="AG163" s="5"/>
      <c r="AH163" s="5"/>
      <c r="AI163" s="5"/>
      <c r="AJ163" s="5">
        <f t="shared" si="463"/>
        <v>12000</v>
      </c>
      <c r="AL163" s="11">
        <v>7500</v>
      </c>
      <c r="AM163" s="5"/>
      <c r="AN163" s="5"/>
      <c r="AO163" s="5"/>
      <c r="AP163" s="5"/>
      <c r="AQ163" s="5"/>
      <c r="AR163" s="5"/>
      <c r="AS163" s="5">
        <f t="shared" si="464"/>
        <v>7500</v>
      </c>
      <c r="AU163" s="11">
        <v>6000</v>
      </c>
      <c r="AV163" s="5"/>
      <c r="AW163" s="5"/>
      <c r="AX163" s="5"/>
      <c r="AY163" s="5"/>
      <c r="AZ163" s="5"/>
      <c r="BA163" s="5"/>
      <c r="BB163" s="5">
        <f t="shared" si="465"/>
        <v>6000</v>
      </c>
      <c r="BD163" s="11">
        <v>4500</v>
      </c>
      <c r="BE163" s="5"/>
      <c r="BF163" s="5"/>
      <c r="BG163" s="5"/>
      <c r="BH163" s="5"/>
      <c r="BI163" s="5"/>
      <c r="BJ163" s="5"/>
      <c r="BK163" s="5">
        <f t="shared" si="466"/>
        <v>4500</v>
      </c>
      <c r="BM163" s="11">
        <v>0</v>
      </c>
      <c r="BN163" s="5"/>
      <c r="BO163" s="5"/>
      <c r="BP163" s="5"/>
      <c r="BQ163" s="5"/>
      <c r="BR163" s="5"/>
      <c r="BS163" s="5"/>
      <c r="BT163" s="5">
        <f t="shared" si="467"/>
        <v>0</v>
      </c>
      <c r="BV163" s="5">
        <f t="shared" si="468"/>
        <v>53500</v>
      </c>
      <c r="BW163" s="5">
        <f t="shared" si="468"/>
        <v>0</v>
      </c>
      <c r="BX163" s="5">
        <f t="shared" si="468"/>
        <v>0</v>
      </c>
      <c r="BY163" s="5">
        <f t="shared" si="468"/>
        <v>0</v>
      </c>
      <c r="BZ163" s="5">
        <f t="shared" si="468"/>
        <v>0</v>
      </c>
      <c r="CA163" s="5">
        <f t="shared" si="468"/>
        <v>0</v>
      </c>
      <c r="CB163" s="5"/>
      <c r="CC163" s="5">
        <f t="shared" si="469"/>
        <v>53500</v>
      </c>
    </row>
    <row r="164" spans="1:81">
      <c r="A164" s="29" t="s">
        <v>144</v>
      </c>
      <c r="B164" s="11">
        <f>48*B17+(60*12)</f>
        <v>45360</v>
      </c>
      <c r="C164" s="5"/>
      <c r="D164" s="5"/>
      <c r="E164" s="5"/>
      <c r="F164" s="5"/>
      <c r="G164" s="5"/>
      <c r="H164" s="5"/>
      <c r="I164" s="5">
        <f t="shared" si="460"/>
        <v>45360</v>
      </c>
      <c r="K164" s="11">
        <f>48*K17+(60*12)</f>
        <v>50256</v>
      </c>
      <c r="L164" s="5"/>
      <c r="M164" s="5"/>
      <c r="N164" s="5"/>
      <c r="O164" s="5"/>
      <c r="P164" s="5"/>
      <c r="Q164" s="5"/>
      <c r="R164" s="5">
        <f t="shared" si="461"/>
        <v>50256</v>
      </c>
      <c r="T164" s="11">
        <f>48*T17+(60*12)</f>
        <v>60480</v>
      </c>
      <c r="U164" s="5"/>
      <c r="V164" s="5"/>
      <c r="W164" s="5"/>
      <c r="X164" s="5"/>
      <c r="Y164" s="5"/>
      <c r="Z164" s="5"/>
      <c r="AA164" s="5">
        <f t="shared" si="462"/>
        <v>60480</v>
      </c>
      <c r="AC164" s="11">
        <f>48*AC17+(60*12)</f>
        <v>121440</v>
      </c>
      <c r="AD164" s="5"/>
      <c r="AE164" s="5"/>
      <c r="AF164" s="5"/>
      <c r="AG164" s="5"/>
      <c r="AH164" s="5"/>
      <c r="AI164" s="5"/>
      <c r="AJ164" s="5">
        <f t="shared" si="463"/>
        <v>121440</v>
      </c>
      <c r="AL164" s="11">
        <f>48*AL17+(60*12)</f>
        <v>114528</v>
      </c>
      <c r="AM164" s="5"/>
      <c r="AN164" s="5"/>
      <c r="AO164" s="5"/>
      <c r="AP164" s="5"/>
      <c r="AQ164" s="5"/>
      <c r="AR164" s="5"/>
      <c r="AS164" s="5">
        <f t="shared" si="464"/>
        <v>114528</v>
      </c>
      <c r="AU164" s="11">
        <f>48*AU17+(60*12)</f>
        <v>7440</v>
      </c>
      <c r="AV164" s="5"/>
      <c r="AW164" s="5"/>
      <c r="AX164" s="5"/>
      <c r="AY164" s="5"/>
      <c r="AZ164" s="5"/>
      <c r="BA164" s="5"/>
      <c r="BB164" s="5">
        <f t="shared" si="465"/>
        <v>7440</v>
      </c>
      <c r="BD164" s="11">
        <f>48*BD17+(60*12)</f>
        <v>20928</v>
      </c>
      <c r="BE164" s="5"/>
      <c r="BF164" s="5"/>
      <c r="BG164" s="5"/>
      <c r="BH164" s="5"/>
      <c r="BI164" s="5"/>
      <c r="BJ164" s="5"/>
      <c r="BK164" s="5">
        <f t="shared" si="466"/>
        <v>20928</v>
      </c>
      <c r="BM164" s="11">
        <v>0</v>
      </c>
      <c r="BN164" s="5"/>
      <c r="BO164" s="5"/>
      <c r="BP164" s="5"/>
      <c r="BQ164" s="5"/>
      <c r="BR164" s="5"/>
      <c r="BS164" s="5"/>
      <c r="BT164" s="5">
        <f t="shared" si="467"/>
        <v>0</v>
      </c>
      <c r="BV164" s="5">
        <f t="shared" si="468"/>
        <v>420432</v>
      </c>
      <c r="BW164" s="5">
        <f t="shared" si="468"/>
        <v>0</v>
      </c>
      <c r="BX164" s="5">
        <f t="shared" si="468"/>
        <v>0</v>
      </c>
      <c r="BY164" s="5">
        <f t="shared" si="468"/>
        <v>0</v>
      </c>
      <c r="BZ164" s="5">
        <f t="shared" si="468"/>
        <v>0</v>
      </c>
      <c r="CA164" s="5">
        <f t="shared" si="468"/>
        <v>0</v>
      </c>
      <c r="CB164" s="5"/>
      <c r="CC164" s="5">
        <f t="shared" si="469"/>
        <v>420432</v>
      </c>
    </row>
    <row r="165" spans="1:81">
      <c r="A165" s="29" t="s">
        <v>145</v>
      </c>
      <c r="B165" s="11">
        <v>25000</v>
      </c>
      <c r="C165" s="5"/>
      <c r="D165" s="5"/>
      <c r="E165" s="5"/>
      <c r="F165" s="5"/>
      <c r="G165" s="5"/>
      <c r="H165" s="5"/>
      <c r="I165" s="5">
        <f t="shared" si="460"/>
        <v>25000</v>
      </c>
      <c r="K165" s="11">
        <v>27500</v>
      </c>
      <c r="L165" s="5"/>
      <c r="M165" s="5"/>
      <c r="N165" s="5"/>
      <c r="O165" s="5"/>
      <c r="P165" s="5"/>
      <c r="Q165" s="5"/>
      <c r="R165" s="5">
        <f t="shared" si="461"/>
        <v>27500</v>
      </c>
      <c r="T165" s="11">
        <v>30000</v>
      </c>
      <c r="U165" s="5"/>
      <c r="V165" s="5"/>
      <c r="W165" s="5"/>
      <c r="X165" s="5"/>
      <c r="Y165" s="5"/>
      <c r="Z165" s="5"/>
      <c r="AA165" s="5">
        <f t="shared" si="462"/>
        <v>30000</v>
      </c>
      <c r="AC165" s="11">
        <v>32500</v>
      </c>
      <c r="AD165" s="5"/>
      <c r="AE165" s="5"/>
      <c r="AF165" s="5"/>
      <c r="AG165" s="5"/>
      <c r="AH165" s="5"/>
      <c r="AI165" s="5"/>
      <c r="AJ165" s="5">
        <f t="shared" si="463"/>
        <v>32500</v>
      </c>
      <c r="AL165" s="11">
        <v>40000</v>
      </c>
      <c r="AM165" s="5"/>
      <c r="AN165" s="5"/>
      <c r="AO165" s="5"/>
      <c r="AP165" s="5"/>
      <c r="AQ165" s="5"/>
      <c r="AR165" s="5"/>
      <c r="AS165" s="5">
        <f t="shared" si="464"/>
        <v>40000</v>
      </c>
      <c r="AU165" s="11">
        <v>17000</v>
      </c>
      <c r="AV165" s="5"/>
      <c r="AW165" s="5"/>
      <c r="AX165" s="5"/>
      <c r="AY165" s="5"/>
      <c r="AZ165" s="5"/>
      <c r="BA165" s="5"/>
      <c r="BB165" s="5">
        <f t="shared" si="465"/>
        <v>17000</v>
      </c>
      <c r="BD165" s="11">
        <v>8500</v>
      </c>
      <c r="BE165" s="5"/>
      <c r="BF165" s="5"/>
      <c r="BG165" s="5"/>
      <c r="BH165" s="5"/>
      <c r="BI165" s="5"/>
      <c r="BJ165" s="5"/>
      <c r="BK165" s="5">
        <f t="shared" si="466"/>
        <v>8500</v>
      </c>
      <c r="BM165" s="11">
        <v>0</v>
      </c>
      <c r="BN165" s="5"/>
      <c r="BO165" s="5"/>
      <c r="BP165" s="5"/>
      <c r="BQ165" s="5"/>
      <c r="BR165" s="5"/>
      <c r="BS165" s="5"/>
      <c r="BT165" s="5">
        <f t="shared" si="467"/>
        <v>0</v>
      </c>
      <c r="BV165" s="5">
        <f t="shared" si="468"/>
        <v>180500</v>
      </c>
      <c r="BW165" s="5">
        <f t="shared" si="468"/>
        <v>0</v>
      </c>
      <c r="BX165" s="5">
        <f t="shared" si="468"/>
        <v>0</v>
      </c>
      <c r="BY165" s="5">
        <f t="shared" si="468"/>
        <v>0</v>
      </c>
      <c r="BZ165" s="5">
        <f t="shared" si="468"/>
        <v>0</v>
      </c>
      <c r="CA165" s="5">
        <f t="shared" si="468"/>
        <v>0</v>
      </c>
      <c r="CB165" s="5"/>
      <c r="CC165" s="5">
        <f t="shared" si="469"/>
        <v>180500</v>
      </c>
    </row>
    <row r="166" spans="1:81">
      <c r="A166" s="29" t="s">
        <v>146</v>
      </c>
      <c r="B166" s="11">
        <f>B74*0.0125</f>
        <v>112762.5</v>
      </c>
      <c r="C166" s="5"/>
      <c r="D166" s="5"/>
      <c r="E166" s="5"/>
      <c r="F166" s="5"/>
      <c r="G166" s="5"/>
      <c r="H166" s="5"/>
      <c r="I166" s="5">
        <f t="shared" si="460"/>
        <v>112762.5</v>
      </c>
      <c r="J166" s="80"/>
      <c r="K166" s="11">
        <f>K74*0.0125</f>
        <v>125130</v>
      </c>
      <c r="L166" s="5"/>
      <c r="M166" s="5"/>
      <c r="N166" s="5"/>
      <c r="O166" s="5"/>
      <c r="P166" s="5"/>
      <c r="Q166" s="5"/>
      <c r="R166" s="5">
        <f t="shared" si="461"/>
        <v>125130</v>
      </c>
      <c r="T166" s="11">
        <f>T74*0.0125</f>
        <v>150956.25</v>
      </c>
      <c r="U166" s="5"/>
      <c r="V166" s="5"/>
      <c r="W166" s="5"/>
      <c r="X166" s="5"/>
      <c r="Y166" s="5"/>
      <c r="Z166" s="5"/>
      <c r="AA166" s="5">
        <f t="shared" si="462"/>
        <v>150956.25</v>
      </c>
      <c r="AC166" s="11">
        <f>AC74*0.0125</f>
        <v>304943.75</v>
      </c>
      <c r="AD166" s="5"/>
      <c r="AE166" s="5"/>
      <c r="AF166" s="5"/>
      <c r="AG166" s="5"/>
      <c r="AH166" s="5"/>
      <c r="AI166" s="5"/>
      <c r="AJ166" s="5">
        <f t="shared" si="463"/>
        <v>304943.75</v>
      </c>
      <c r="AL166" s="11">
        <f>AL74*0.0125</f>
        <v>287483.75</v>
      </c>
      <c r="AM166" s="5"/>
      <c r="AN166" s="5"/>
      <c r="AO166" s="5"/>
      <c r="AP166" s="5"/>
      <c r="AQ166" s="5"/>
      <c r="AR166" s="5"/>
      <c r="AS166" s="5">
        <f t="shared" si="464"/>
        <v>287483.75</v>
      </c>
      <c r="AU166" s="11">
        <f>AU74*0.0125</f>
        <v>16975</v>
      </c>
      <c r="AV166" s="5"/>
      <c r="AW166" s="5"/>
      <c r="AX166" s="5"/>
      <c r="AY166" s="5"/>
      <c r="AZ166" s="5"/>
      <c r="BA166" s="5"/>
      <c r="BB166" s="5">
        <f t="shared" si="465"/>
        <v>16975</v>
      </c>
      <c r="BD166" s="11">
        <f>BD74*0.0125</f>
        <v>51046.25</v>
      </c>
      <c r="BE166" s="5"/>
      <c r="BF166" s="5"/>
      <c r="BG166" s="5"/>
      <c r="BH166" s="5"/>
      <c r="BI166" s="5"/>
      <c r="BJ166" s="5"/>
      <c r="BK166" s="5">
        <f t="shared" si="466"/>
        <v>51046.25</v>
      </c>
      <c r="BM166" s="11">
        <f>BM74*0.0125</f>
        <v>0</v>
      </c>
      <c r="BN166" s="5"/>
      <c r="BO166" s="5"/>
      <c r="BP166" s="5"/>
      <c r="BQ166" s="5"/>
      <c r="BR166" s="5"/>
      <c r="BS166" s="5"/>
      <c r="BT166" s="5">
        <f t="shared" si="467"/>
        <v>0</v>
      </c>
      <c r="BV166" s="5">
        <f t="shared" si="468"/>
        <v>1049297.5</v>
      </c>
      <c r="BW166" s="5">
        <f t="shared" si="468"/>
        <v>0</v>
      </c>
      <c r="BX166" s="5">
        <f t="shared" si="468"/>
        <v>0</v>
      </c>
      <c r="BY166" s="5">
        <f t="shared" si="468"/>
        <v>0</v>
      </c>
      <c r="BZ166" s="5">
        <f t="shared" si="468"/>
        <v>0</v>
      </c>
      <c r="CA166" s="5">
        <f t="shared" si="468"/>
        <v>0</v>
      </c>
      <c r="CB166" s="5"/>
      <c r="CC166" s="5">
        <f t="shared" si="469"/>
        <v>1049297.5</v>
      </c>
    </row>
    <row r="167" spans="1:81">
      <c r="A167" s="29" t="s">
        <v>147</v>
      </c>
      <c r="B167" s="11">
        <f>B74*0.005</f>
        <v>45105</v>
      </c>
      <c r="C167" s="5"/>
      <c r="D167" s="5"/>
      <c r="E167" s="5"/>
      <c r="F167" s="5"/>
      <c r="G167" s="5"/>
      <c r="H167" s="5"/>
      <c r="I167" s="5">
        <f t="shared" si="460"/>
        <v>45105</v>
      </c>
      <c r="J167" s="80"/>
      <c r="K167" s="11">
        <f>K74*0.005</f>
        <v>50052</v>
      </c>
      <c r="L167" s="5"/>
      <c r="M167" s="5"/>
      <c r="N167" s="5"/>
      <c r="O167" s="5"/>
      <c r="P167" s="5"/>
      <c r="Q167" s="5"/>
      <c r="R167" s="5">
        <f t="shared" si="461"/>
        <v>50052</v>
      </c>
      <c r="T167" s="11">
        <f>T74*0.005</f>
        <v>60382.5</v>
      </c>
      <c r="U167" s="5"/>
      <c r="V167" s="5"/>
      <c r="W167" s="5"/>
      <c r="X167" s="5"/>
      <c r="Y167" s="5"/>
      <c r="Z167" s="5"/>
      <c r="AA167" s="5">
        <f t="shared" si="462"/>
        <v>60382.5</v>
      </c>
      <c r="AC167" s="11">
        <f>AC74*0.005</f>
        <v>121977.5</v>
      </c>
      <c r="AD167" s="5"/>
      <c r="AE167" s="5"/>
      <c r="AF167" s="5"/>
      <c r="AG167" s="5"/>
      <c r="AH167" s="5"/>
      <c r="AI167" s="5"/>
      <c r="AJ167" s="5">
        <f t="shared" si="463"/>
        <v>121977.5</v>
      </c>
      <c r="AL167" s="11">
        <f>AL74*0.005</f>
        <v>114993.5</v>
      </c>
      <c r="AM167" s="5"/>
      <c r="AN167" s="5"/>
      <c r="AO167" s="5"/>
      <c r="AP167" s="5"/>
      <c r="AQ167" s="5"/>
      <c r="AR167" s="5"/>
      <c r="AS167" s="5">
        <f t="shared" si="464"/>
        <v>114993.5</v>
      </c>
      <c r="AU167" s="11">
        <f>AU74*0.005</f>
        <v>6790</v>
      </c>
      <c r="AV167" s="5"/>
      <c r="AW167" s="5"/>
      <c r="AX167" s="5"/>
      <c r="AY167" s="5"/>
      <c r="AZ167" s="5"/>
      <c r="BA167" s="5"/>
      <c r="BB167" s="5">
        <f t="shared" si="465"/>
        <v>6790</v>
      </c>
      <c r="BD167" s="11">
        <f>BD74*0.005</f>
        <v>20418.5</v>
      </c>
      <c r="BE167" s="5"/>
      <c r="BF167" s="5"/>
      <c r="BG167" s="5"/>
      <c r="BH167" s="5"/>
      <c r="BI167" s="5"/>
      <c r="BJ167" s="5"/>
      <c r="BK167" s="5">
        <f t="shared" si="466"/>
        <v>20418.5</v>
      </c>
      <c r="BM167" s="11">
        <f>BM74*0.005</f>
        <v>0</v>
      </c>
      <c r="BN167" s="5"/>
      <c r="BO167" s="5"/>
      <c r="BP167" s="5"/>
      <c r="BQ167" s="5"/>
      <c r="BR167" s="5"/>
      <c r="BS167" s="5"/>
      <c r="BT167" s="5">
        <f t="shared" si="467"/>
        <v>0</v>
      </c>
      <c r="BV167" s="5">
        <f t="shared" si="468"/>
        <v>419719</v>
      </c>
      <c r="BW167" s="5">
        <f t="shared" si="468"/>
        <v>0</v>
      </c>
      <c r="BX167" s="5">
        <f t="shared" si="468"/>
        <v>0</v>
      </c>
      <c r="BY167" s="5">
        <f t="shared" si="468"/>
        <v>0</v>
      </c>
      <c r="BZ167" s="5">
        <f t="shared" si="468"/>
        <v>0</v>
      </c>
      <c r="CA167" s="5">
        <f t="shared" si="468"/>
        <v>0</v>
      </c>
      <c r="CB167" s="5"/>
      <c r="CC167" s="5">
        <f t="shared" si="469"/>
        <v>419719</v>
      </c>
    </row>
    <row r="168" spans="1:81">
      <c r="A168" s="29" t="s">
        <v>148</v>
      </c>
      <c r="B168" s="11">
        <f>B74*0.005</f>
        <v>45105</v>
      </c>
      <c r="C168" s="5"/>
      <c r="D168" s="5"/>
      <c r="E168" s="5"/>
      <c r="F168" s="5"/>
      <c r="G168" s="5"/>
      <c r="H168" s="5"/>
      <c r="I168" s="5">
        <f t="shared" si="460"/>
        <v>45105</v>
      </c>
      <c r="J168" s="80"/>
      <c r="K168" s="11">
        <f>K74*0.005</f>
        <v>50052</v>
      </c>
      <c r="L168" s="5"/>
      <c r="M168" s="5"/>
      <c r="N168" s="5"/>
      <c r="O168" s="5"/>
      <c r="P168" s="5"/>
      <c r="Q168" s="5"/>
      <c r="R168" s="5">
        <f t="shared" si="461"/>
        <v>50052</v>
      </c>
      <c r="T168" s="11">
        <f>T74*0.005</f>
        <v>60382.5</v>
      </c>
      <c r="U168" s="5"/>
      <c r="V168" s="5"/>
      <c r="W168" s="5"/>
      <c r="X168" s="5"/>
      <c r="Y168" s="5"/>
      <c r="Z168" s="5"/>
      <c r="AA168" s="5">
        <f t="shared" si="462"/>
        <v>60382.5</v>
      </c>
      <c r="AC168" s="11">
        <f>AC74*0.005</f>
        <v>121977.5</v>
      </c>
      <c r="AD168" s="5"/>
      <c r="AE168" s="5"/>
      <c r="AF168" s="5"/>
      <c r="AG168" s="5"/>
      <c r="AH168" s="5"/>
      <c r="AI168" s="5"/>
      <c r="AJ168" s="5">
        <f t="shared" si="463"/>
        <v>121977.5</v>
      </c>
      <c r="AL168" s="11">
        <f>AL74*0.005</f>
        <v>114993.5</v>
      </c>
      <c r="AM168" s="5"/>
      <c r="AN168" s="5"/>
      <c r="AO168" s="5"/>
      <c r="AP168" s="5"/>
      <c r="AQ168" s="5"/>
      <c r="AR168" s="5"/>
      <c r="AS168" s="5">
        <f t="shared" si="464"/>
        <v>114993.5</v>
      </c>
      <c r="AU168" s="11">
        <f>AU74*0.005</f>
        <v>6790</v>
      </c>
      <c r="AV168" s="5"/>
      <c r="AW168" s="5"/>
      <c r="AX168" s="5"/>
      <c r="AY168" s="5"/>
      <c r="AZ168" s="5"/>
      <c r="BA168" s="5"/>
      <c r="BB168" s="5">
        <f t="shared" si="465"/>
        <v>6790</v>
      </c>
      <c r="BD168" s="11">
        <f>BD74*0.005</f>
        <v>20418.5</v>
      </c>
      <c r="BE168" s="5"/>
      <c r="BF168" s="5"/>
      <c r="BG168" s="5"/>
      <c r="BH168" s="5"/>
      <c r="BI168" s="5"/>
      <c r="BJ168" s="5"/>
      <c r="BK168" s="5">
        <f t="shared" si="466"/>
        <v>20418.5</v>
      </c>
      <c r="BM168" s="11">
        <f>BM74*0.005</f>
        <v>0</v>
      </c>
      <c r="BN168" s="5"/>
      <c r="BO168" s="5"/>
      <c r="BP168" s="5"/>
      <c r="BQ168" s="5"/>
      <c r="BR168" s="5"/>
      <c r="BS168" s="5"/>
      <c r="BT168" s="5">
        <f t="shared" si="467"/>
        <v>0</v>
      </c>
      <c r="BV168" s="5">
        <f t="shared" si="468"/>
        <v>419719</v>
      </c>
      <c r="BW168" s="5">
        <f t="shared" si="468"/>
        <v>0</v>
      </c>
      <c r="BX168" s="5">
        <f t="shared" si="468"/>
        <v>0</v>
      </c>
      <c r="BY168" s="5">
        <f t="shared" si="468"/>
        <v>0</v>
      </c>
      <c r="BZ168" s="5">
        <f t="shared" si="468"/>
        <v>0</v>
      </c>
      <c r="CA168" s="5">
        <f t="shared" si="468"/>
        <v>0</v>
      </c>
      <c r="CB168" s="5"/>
      <c r="CC168" s="5">
        <f t="shared" si="469"/>
        <v>419719</v>
      </c>
    </row>
    <row r="169" spans="1:81">
      <c r="A169" s="78" t="s">
        <v>149</v>
      </c>
      <c r="B169" s="11">
        <v>0</v>
      </c>
      <c r="C169" s="5"/>
      <c r="D169" s="5"/>
      <c r="E169" s="5"/>
      <c r="F169" s="5"/>
      <c r="G169" s="5"/>
      <c r="H169" s="5"/>
      <c r="I169" s="5">
        <f t="shared" si="460"/>
        <v>0</v>
      </c>
      <c r="J169" s="80"/>
      <c r="K169" s="11">
        <v>0</v>
      </c>
      <c r="L169" s="5"/>
      <c r="M169" s="5"/>
      <c r="N169" s="5"/>
      <c r="O169" s="5"/>
      <c r="P169" s="5"/>
      <c r="Q169" s="5"/>
      <c r="R169" s="5">
        <f t="shared" si="461"/>
        <v>0</v>
      </c>
      <c r="T169" s="11">
        <v>0</v>
      </c>
      <c r="U169" s="5"/>
      <c r="V169" s="5"/>
      <c r="W169" s="5"/>
      <c r="X169" s="5"/>
      <c r="Y169" s="5"/>
      <c r="Z169" s="5"/>
      <c r="AA169" s="5">
        <f t="shared" si="462"/>
        <v>0</v>
      </c>
      <c r="AC169" s="11">
        <v>0</v>
      </c>
      <c r="AD169" s="5"/>
      <c r="AE169" s="5"/>
      <c r="AF169" s="5"/>
      <c r="AG169" s="5"/>
      <c r="AH169" s="5"/>
      <c r="AI169" s="5"/>
      <c r="AJ169" s="5">
        <f t="shared" si="463"/>
        <v>0</v>
      </c>
      <c r="AL169" s="11">
        <v>0</v>
      </c>
      <c r="AM169" s="5"/>
      <c r="AN169" s="5"/>
      <c r="AO169" s="5"/>
      <c r="AP169" s="5"/>
      <c r="AQ169" s="5"/>
      <c r="AR169" s="5"/>
      <c r="AS169" s="5">
        <f t="shared" si="464"/>
        <v>0</v>
      </c>
      <c r="AU169" s="11">
        <v>0</v>
      </c>
      <c r="AV169" s="5"/>
      <c r="AW169" s="5"/>
      <c r="AX169" s="5"/>
      <c r="AY169" s="5"/>
      <c r="AZ169" s="5"/>
      <c r="BA169" s="5"/>
      <c r="BB169" s="5">
        <f t="shared" si="465"/>
        <v>0</v>
      </c>
      <c r="BD169" s="11">
        <v>0</v>
      </c>
      <c r="BE169" s="5"/>
      <c r="BF169" s="5"/>
      <c r="BG169" s="5"/>
      <c r="BH169" s="5"/>
      <c r="BI169" s="5"/>
      <c r="BJ169" s="5"/>
      <c r="BK169" s="5">
        <f t="shared" si="466"/>
        <v>0</v>
      </c>
      <c r="BM169" s="11">
        <v>0</v>
      </c>
      <c r="BN169" s="5"/>
      <c r="BO169" s="5"/>
      <c r="BP169" s="5"/>
      <c r="BQ169" s="5"/>
      <c r="BR169" s="5"/>
      <c r="BS169" s="5"/>
      <c r="BT169" s="5">
        <f t="shared" si="467"/>
        <v>0</v>
      </c>
      <c r="BV169" s="5">
        <f t="shared" si="468"/>
        <v>0</v>
      </c>
      <c r="BW169" s="5">
        <f t="shared" si="468"/>
        <v>0</v>
      </c>
      <c r="BX169" s="5">
        <f t="shared" si="468"/>
        <v>0</v>
      </c>
      <c r="BY169" s="5">
        <f t="shared" si="468"/>
        <v>0</v>
      </c>
      <c r="BZ169" s="5">
        <f t="shared" si="468"/>
        <v>0</v>
      </c>
      <c r="CA169" s="5">
        <f t="shared" si="468"/>
        <v>0</v>
      </c>
      <c r="CB169" s="5"/>
      <c r="CC169" s="5">
        <f t="shared" si="469"/>
        <v>0</v>
      </c>
    </row>
    <row r="170" spans="1:81" ht="15">
      <c r="A170" s="70" t="s">
        <v>150</v>
      </c>
      <c r="B170" s="71">
        <f>SUM(B156:B169)</f>
        <v>802591.75</v>
      </c>
      <c r="C170" s="71">
        <f t="shared" ref="C170:H170" si="470">SUM(C156:C169)</f>
        <v>538057.5</v>
      </c>
      <c r="D170" s="71">
        <f t="shared" si="470"/>
        <v>0</v>
      </c>
      <c r="E170" s="71">
        <f t="shared" si="470"/>
        <v>0</v>
      </c>
      <c r="F170" s="71">
        <f t="shared" si="470"/>
        <v>0</v>
      </c>
      <c r="G170" s="71">
        <f t="shared" si="470"/>
        <v>0</v>
      </c>
      <c r="H170" s="71">
        <f t="shared" si="470"/>
        <v>0</v>
      </c>
      <c r="I170" s="71">
        <f>SUM(I156:I169)</f>
        <v>1340649.25</v>
      </c>
      <c r="J170" s="7"/>
      <c r="K170" s="71">
        <f>SUM(K156:K169)</f>
        <v>929166.75</v>
      </c>
      <c r="L170" s="71">
        <f t="shared" ref="L170:Q170" si="471">SUM(L156:L169)</f>
        <v>168427.5</v>
      </c>
      <c r="M170" s="71">
        <f t="shared" si="471"/>
        <v>0</v>
      </c>
      <c r="N170" s="71">
        <f t="shared" si="471"/>
        <v>0</v>
      </c>
      <c r="O170" s="71">
        <f t="shared" si="471"/>
        <v>0</v>
      </c>
      <c r="P170" s="71">
        <f t="shared" si="471"/>
        <v>0</v>
      </c>
      <c r="Q170" s="71">
        <f t="shared" si="471"/>
        <v>0</v>
      </c>
      <c r="R170" s="71">
        <f>SUM(R156:R169)</f>
        <v>1097594.25</v>
      </c>
      <c r="T170" s="71">
        <f>SUM(T156:T169)</f>
        <v>1055933.75</v>
      </c>
      <c r="U170" s="71">
        <f t="shared" ref="U170:Z170" si="472">SUM(U156:U169)</f>
        <v>103458.75</v>
      </c>
      <c r="V170" s="71">
        <f t="shared" si="472"/>
        <v>0</v>
      </c>
      <c r="W170" s="71">
        <f t="shared" si="472"/>
        <v>0</v>
      </c>
      <c r="X170" s="71">
        <f t="shared" si="472"/>
        <v>0</v>
      </c>
      <c r="Y170" s="71">
        <f t="shared" si="472"/>
        <v>0</v>
      </c>
      <c r="Z170" s="71">
        <f t="shared" si="472"/>
        <v>0</v>
      </c>
      <c r="AA170" s="71">
        <f>SUM(AA156:AA169)</f>
        <v>1159392.5</v>
      </c>
      <c r="AC170" s="71">
        <f>SUM(AC156:AC169)</f>
        <v>2076077.5</v>
      </c>
      <c r="AD170" s="71">
        <f t="shared" ref="AD170:AI170" si="473">SUM(AD156:AD169)</f>
        <v>359817.5</v>
      </c>
      <c r="AE170" s="71">
        <f t="shared" si="473"/>
        <v>0</v>
      </c>
      <c r="AF170" s="71">
        <f t="shared" si="473"/>
        <v>0</v>
      </c>
      <c r="AG170" s="71">
        <f t="shared" si="473"/>
        <v>0</v>
      </c>
      <c r="AH170" s="71">
        <f t="shared" si="473"/>
        <v>0</v>
      </c>
      <c r="AI170" s="71">
        <f t="shared" si="473"/>
        <v>0</v>
      </c>
      <c r="AJ170" s="71">
        <f>SUM(AJ156:AJ169)</f>
        <v>2435895</v>
      </c>
      <c r="AL170" s="71">
        <f>SUM(AL156:AL169)</f>
        <v>1950715</v>
      </c>
      <c r="AM170" s="71">
        <f t="shared" ref="AM170:AR170" si="474">SUM(AM156:AM169)</f>
        <v>539538.75</v>
      </c>
      <c r="AN170" s="71">
        <f t="shared" si="474"/>
        <v>0</v>
      </c>
      <c r="AO170" s="71">
        <f t="shared" si="474"/>
        <v>0</v>
      </c>
      <c r="AP170" s="71">
        <f t="shared" si="474"/>
        <v>0</v>
      </c>
      <c r="AQ170" s="71">
        <f t="shared" si="474"/>
        <v>0</v>
      </c>
      <c r="AR170" s="71">
        <f t="shared" si="474"/>
        <v>0</v>
      </c>
      <c r="AS170" s="71">
        <f>SUM(AS156:AS169)</f>
        <v>2490253.75</v>
      </c>
      <c r="AU170" s="71">
        <f>SUM(AU156:AU169)</f>
        <v>445443.75</v>
      </c>
      <c r="AV170" s="71">
        <f t="shared" ref="AV170:BA170" si="475">SUM(AV156:AV169)</f>
        <v>29155</v>
      </c>
      <c r="AW170" s="71">
        <f t="shared" si="475"/>
        <v>0</v>
      </c>
      <c r="AX170" s="71">
        <f t="shared" si="475"/>
        <v>0</v>
      </c>
      <c r="AY170" s="71">
        <f t="shared" si="475"/>
        <v>0</v>
      </c>
      <c r="AZ170" s="71">
        <f t="shared" si="475"/>
        <v>0</v>
      </c>
      <c r="BA170" s="71">
        <f t="shared" si="475"/>
        <v>0</v>
      </c>
      <c r="BB170" s="71">
        <f>SUM(BB156:BB169)</f>
        <v>474598.75</v>
      </c>
      <c r="BD170" s="71">
        <f>SUM(BD156:BD169)</f>
        <v>346885</v>
      </c>
      <c r="BE170" s="71">
        <f t="shared" ref="BE170:BJ170" si="476">SUM(BE156:BE169)</f>
        <v>376576.875</v>
      </c>
      <c r="BF170" s="71">
        <f t="shared" si="476"/>
        <v>0</v>
      </c>
      <c r="BG170" s="71">
        <f t="shared" si="476"/>
        <v>0</v>
      </c>
      <c r="BH170" s="71">
        <f t="shared" si="476"/>
        <v>0</v>
      </c>
      <c r="BI170" s="71">
        <f t="shared" si="476"/>
        <v>0</v>
      </c>
      <c r="BJ170" s="71">
        <f t="shared" si="476"/>
        <v>0</v>
      </c>
      <c r="BK170" s="71">
        <f>SUM(BK156:BK169)</f>
        <v>723461.875</v>
      </c>
      <c r="BM170" s="71">
        <f>SUM(BM156:BM169)</f>
        <v>2205</v>
      </c>
      <c r="BN170" s="71">
        <f t="shared" ref="BN170:BS170" si="477">SUM(BN156:BN169)</f>
        <v>0</v>
      </c>
      <c r="BO170" s="71">
        <f t="shared" si="477"/>
        <v>0</v>
      </c>
      <c r="BP170" s="71">
        <f t="shared" si="477"/>
        <v>0</v>
      </c>
      <c r="BQ170" s="71">
        <f t="shared" si="477"/>
        <v>0</v>
      </c>
      <c r="BR170" s="71">
        <f t="shared" si="477"/>
        <v>0</v>
      </c>
      <c r="BS170" s="71">
        <f t="shared" si="477"/>
        <v>0</v>
      </c>
      <c r="BT170" s="71">
        <f>SUM(BT156:BT169)</f>
        <v>2205</v>
      </c>
      <c r="BV170" s="71">
        <f>SUM(BV156:BV169)</f>
        <v>7609018.5</v>
      </c>
      <c r="BW170" s="71">
        <f t="shared" ref="BW170:CB170" si="478">SUM(BW156:BW169)</f>
        <v>2115031.875</v>
      </c>
      <c r="BX170" s="71">
        <f t="shared" si="478"/>
        <v>0</v>
      </c>
      <c r="BY170" s="71">
        <f t="shared" si="478"/>
        <v>0</v>
      </c>
      <c r="BZ170" s="71">
        <f t="shared" si="478"/>
        <v>0</v>
      </c>
      <c r="CA170" s="71">
        <f t="shared" si="478"/>
        <v>0</v>
      </c>
      <c r="CB170" s="71">
        <f t="shared" si="478"/>
        <v>0</v>
      </c>
      <c r="CC170" s="71">
        <f>SUM(CC156:CC169)</f>
        <v>9724050.375</v>
      </c>
    </row>
    <row r="171" spans="1:81" ht="15">
      <c r="A171" s="75" t="s">
        <v>151</v>
      </c>
      <c r="B171" s="18" t="str">
        <f t="shared" ref="B171:I171" si="479">B1</f>
        <v>Operating</v>
      </c>
      <c r="C171" s="18" t="str">
        <f t="shared" si="479"/>
        <v>SPED</v>
      </c>
      <c r="D171" s="18" t="str">
        <f t="shared" si="479"/>
        <v>NSLP</v>
      </c>
      <c r="E171" s="18" t="str">
        <f t="shared" si="479"/>
        <v>Other</v>
      </c>
      <c r="F171" s="18" t="str">
        <f t="shared" si="479"/>
        <v>Title I</v>
      </c>
      <c r="G171" s="18" t="str">
        <f t="shared" si="479"/>
        <v>SGF</v>
      </c>
      <c r="H171" s="18" t="str">
        <f t="shared" si="479"/>
        <v>Title III</v>
      </c>
      <c r="I171" s="18" t="str">
        <f t="shared" si="479"/>
        <v>Horizon</v>
      </c>
      <c r="J171" s="7"/>
      <c r="K171" s="18" t="str">
        <f t="shared" ref="K171:R171" si="480">K1</f>
        <v>Operating</v>
      </c>
      <c r="L171" s="18" t="str">
        <f t="shared" si="480"/>
        <v>SPED</v>
      </c>
      <c r="M171" s="18" t="str">
        <f t="shared" si="480"/>
        <v>NSLP</v>
      </c>
      <c r="N171" s="18" t="str">
        <f t="shared" si="480"/>
        <v>Other</v>
      </c>
      <c r="O171" s="18" t="str">
        <f t="shared" si="480"/>
        <v>Title I</v>
      </c>
      <c r="P171" s="18" t="str">
        <f t="shared" si="480"/>
        <v>SGF</v>
      </c>
      <c r="Q171" s="18" t="str">
        <f t="shared" si="480"/>
        <v>Title III</v>
      </c>
      <c r="R171" s="18" t="str">
        <f t="shared" si="480"/>
        <v>St. Rose</v>
      </c>
      <c r="T171" s="18" t="str">
        <f t="shared" ref="T171:AA171" si="481">T1</f>
        <v>Operating</v>
      </c>
      <c r="U171" s="18" t="str">
        <f t="shared" si="481"/>
        <v>SPED</v>
      </c>
      <c r="V171" s="18" t="str">
        <f t="shared" si="481"/>
        <v>NSLP</v>
      </c>
      <c r="W171" s="18" t="str">
        <f t="shared" si="481"/>
        <v>Other</v>
      </c>
      <c r="X171" s="18" t="str">
        <f t="shared" si="481"/>
        <v>Title I</v>
      </c>
      <c r="Y171" s="18" t="str">
        <f t="shared" si="481"/>
        <v>SGF</v>
      </c>
      <c r="Z171" s="18" t="str">
        <f t="shared" si="481"/>
        <v>Title III</v>
      </c>
      <c r="AA171" s="18" t="str">
        <f t="shared" si="481"/>
        <v>Inspirada</v>
      </c>
      <c r="AC171" s="18" t="str">
        <f t="shared" ref="AC171:AJ171" si="482">AC1</f>
        <v>Operating</v>
      </c>
      <c r="AD171" s="18" t="str">
        <f t="shared" si="482"/>
        <v>SPED</v>
      </c>
      <c r="AE171" s="18" t="str">
        <f t="shared" si="482"/>
        <v>NSLP</v>
      </c>
      <c r="AF171" s="18" t="str">
        <f t="shared" si="482"/>
        <v>Other</v>
      </c>
      <c r="AG171" s="18" t="str">
        <f t="shared" si="482"/>
        <v>Title I</v>
      </c>
      <c r="AH171" s="18" t="str">
        <f t="shared" si="482"/>
        <v>SGF</v>
      </c>
      <c r="AI171" s="18" t="str">
        <f t="shared" si="482"/>
        <v>Title III</v>
      </c>
      <c r="AJ171" s="18" t="str">
        <f t="shared" si="482"/>
        <v>Cadence</v>
      </c>
      <c r="AL171" s="18" t="str">
        <f t="shared" ref="AL171:AS171" si="483">AL1</f>
        <v>Operating</v>
      </c>
      <c r="AM171" s="18" t="str">
        <f t="shared" si="483"/>
        <v>SPED</v>
      </c>
      <c r="AN171" s="18" t="str">
        <f t="shared" si="483"/>
        <v>NSLP</v>
      </c>
      <c r="AO171" s="18" t="str">
        <f t="shared" si="483"/>
        <v>Other</v>
      </c>
      <c r="AP171" s="18" t="str">
        <f t="shared" si="483"/>
        <v>Title I</v>
      </c>
      <c r="AQ171" s="18" t="str">
        <f t="shared" si="483"/>
        <v>SGF</v>
      </c>
      <c r="AR171" s="18" t="str">
        <f t="shared" si="483"/>
        <v>Title III</v>
      </c>
      <c r="AS171" s="18" t="str">
        <f t="shared" si="483"/>
        <v>Sloan</v>
      </c>
      <c r="AU171" s="18" t="str">
        <f t="shared" ref="AU171:BB171" si="484">AU1</f>
        <v>Operating</v>
      </c>
      <c r="AV171" s="18" t="str">
        <f t="shared" si="484"/>
        <v>SPED</v>
      </c>
      <c r="AW171" s="18" t="str">
        <f t="shared" si="484"/>
        <v>NSLP</v>
      </c>
      <c r="AX171" s="18" t="str">
        <f t="shared" si="484"/>
        <v>Other</v>
      </c>
      <c r="AY171" s="18" t="str">
        <f t="shared" si="484"/>
        <v>Title I</v>
      </c>
      <c r="AZ171" s="18" t="str">
        <f t="shared" si="484"/>
        <v>SGF</v>
      </c>
      <c r="BA171" s="18" t="str">
        <f t="shared" si="484"/>
        <v>Title III</v>
      </c>
      <c r="BB171" s="18" t="str">
        <f t="shared" si="484"/>
        <v>Virtual</v>
      </c>
      <c r="BD171" s="18" t="str">
        <f t="shared" ref="BD171:BK171" si="485">BD1</f>
        <v>Operating</v>
      </c>
      <c r="BE171" s="18" t="str">
        <f t="shared" si="485"/>
        <v>SPED</v>
      </c>
      <c r="BF171" s="18" t="str">
        <f t="shared" si="485"/>
        <v>NSLP</v>
      </c>
      <c r="BG171" s="18" t="str">
        <f t="shared" si="485"/>
        <v>Other</v>
      </c>
      <c r="BH171" s="18" t="str">
        <f t="shared" si="485"/>
        <v>Title I</v>
      </c>
      <c r="BI171" s="18" t="str">
        <f t="shared" si="485"/>
        <v>SGF</v>
      </c>
      <c r="BJ171" s="18" t="str">
        <f t="shared" si="485"/>
        <v>Title III</v>
      </c>
      <c r="BK171" s="18" t="str">
        <f t="shared" si="485"/>
        <v>Springs</v>
      </c>
      <c r="BM171" s="18" t="str">
        <f t="shared" ref="BM171:BT171" si="486">BM1</f>
        <v>Operating</v>
      </c>
      <c r="BN171" s="18" t="str">
        <f t="shared" si="486"/>
        <v>SPED</v>
      </c>
      <c r="BO171" s="18" t="str">
        <f t="shared" si="486"/>
        <v>NSLP</v>
      </c>
      <c r="BP171" s="18" t="str">
        <f t="shared" si="486"/>
        <v>Other</v>
      </c>
      <c r="BQ171" s="18" t="str">
        <f t="shared" si="486"/>
        <v>Title I</v>
      </c>
      <c r="BR171" s="18" t="str">
        <f t="shared" si="486"/>
        <v>SGF</v>
      </c>
      <c r="BS171" s="18" t="str">
        <f t="shared" si="486"/>
        <v>Title III</v>
      </c>
      <c r="BT171" s="18" t="str">
        <f t="shared" si="486"/>
        <v>Exec. Office</v>
      </c>
      <c r="BV171" s="18" t="str">
        <f t="shared" ref="BV171:CC171" si="487">BV1</f>
        <v>Operating</v>
      </c>
      <c r="BW171" s="18" t="str">
        <f t="shared" si="487"/>
        <v>SPED</v>
      </c>
      <c r="BX171" s="18" t="str">
        <f t="shared" si="487"/>
        <v>NSLP</v>
      </c>
      <c r="BY171" s="18" t="str">
        <f t="shared" si="487"/>
        <v>Other</v>
      </c>
      <c r="BZ171" s="18" t="str">
        <f t="shared" si="487"/>
        <v>Title I</v>
      </c>
      <c r="CA171" s="18" t="str">
        <f t="shared" si="487"/>
        <v>SGF</v>
      </c>
      <c r="CB171" s="18" t="str">
        <f t="shared" si="487"/>
        <v>Title III</v>
      </c>
      <c r="CC171" s="18" t="str">
        <f t="shared" si="487"/>
        <v>Systemwide</v>
      </c>
    </row>
    <row r="172" spans="1:81">
      <c r="A172" s="81" t="s">
        <v>152</v>
      </c>
      <c r="B172" s="62">
        <f>'25-26'!B172*1.05</f>
        <v>3100.78125</v>
      </c>
      <c r="C172" s="5"/>
      <c r="D172" s="5"/>
      <c r="E172" s="5"/>
      <c r="F172" s="5"/>
      <c r="G172" s="5"/>
      <c r="H172" s="5"/>
      <c r="I172" s="5">
        <f t="shared" ref="I172:I178" si="488">SUM(B172:H172)</f>
        <v>3100.78125</v>
      </c>
      <c r="K172" s="62">
        <f>'25-26'!K172*1.05</f>
        <v>3969</v>
      </c>
      <c r="L172" s="5"/>
      <c r="M172" s="5"/>
      <c r="N172" s="5"/>
      <c r="O172" s="5"/>
      <c r="P172" s="5"/>
      <c r="Q172" s="5"/>
      <c r="R172" s="5">
        <f t="shared" ref="R172:R178" si="489">SUM(K172:Q172)</f>
        <v>3969</v>
      </c>
      <c r="T172" s="62">
        <f>'25-26'!T172*1.05</f>
        <v>2976.75</v>
      </c>
      <c r="U172" s="5"/>
      <c r="V172" s="5"/>
      <c r="W172" s="5"/>
      <c r="X172" s="5"/>
      <c r="Y172" s="5"/>
      <c r="Z172" s="5"/>
      <c r="AA172" s="5">
        <f t="shared" ref="AA172:AA178" si="490">SUM(T172:Z172)</f>
        <v>2976.75</v>
      </c>
      <c r="AC172" s="62">
        <f>'25-26'!AC172*1.05</f>
        <v>7276.5</v>
      </c>
      <c r="AD172" s="5"/>
      <c r="AE172" s="5"/>
      <c r="AF172" s="5"/>
      <c r="AG172" s="5"/>
      <c r="AH172" s="5"/>
      <c r="AI172" s="5"/>
      <c r="AJ172" s="5">
        <f t="shared" ref="AJ172:AJ178" si="491">SUM(AC172:AI172)</f>
        <v>7276.5</v>
      </c>
      <c r="AL172" s="62">
        <f>'25-26'!AL172*1.05</f>
        <v>7276.5</v>
      </c>
      <c r="AM172" s="5"/>
      <c r="AN172" s="5"/>
      <c r="AO172" s="5"/>
      <c r="AP172" s="5"/>
      <c r="AQ172" s="5"/>
      <c r="AR172" s="5"/>
      <c r="AS172" s="5">
        <f t="shared" ref="AS172:AS178" si="492">SUM(AL172:AR172)</f>
        <v>7276.5</v>
      </c>
      <c r="AU172" s="79"/>
      <c r="AV172" s="5"/>
      <c r="AW172" s="5"/>
      <c r="AX172" s="5"/>
      <c r="AY172" s="5"/>
      <c r="AZ172" s="5"/>
      <c r="BA172" s="5"/>
      <c r="BB172" s="5">
        <f t="shared" ref="BB172:BB178" si="493">SUM(AU172:BA172)</f>
        <v>0</v>
      </c>
      <c r="BD172" s="62">
        <f>'25-26'!BD172*1.05</f>
        <v>2646</v>
      </c>
      <c r="BE172" s="5"/>
      <c r="BF172" s="5"/>
      <c r="BG172" s="5"/>
      <c r="BH172" s="5"/>
      <c r="BI172" s="5"/>
      <c r="BJ172" s="5"/>
      <c r="BK172" s="5">
        <f t="shared" ref="BK172:BK178" si="494">SUM(BD172:BJ172)</f>
        <v>2646</v>
      </c>
      <c r="BM172" s="79"/>
      <c r="BN172" s="5"/>
      <c r="BO172" s="5"/>
      <c r="BP172" s="5"/>
      <c r="BQ172" s="5"/>
      <c r="BR172" s="5"/>
      <c r="BS172" s="5"/>
      <c r="BT172" s="5">
        <f t="shared" ref="BT172:BT178" si="495">SUM(BM172:BS172)</f>
        <v>0</v>
      </c>
      <c r="BV172" s="5">
        <f t="shared" ref="BV172:CA187" si="496">B172+K172+T172+AC172+AL172+AU172+BD172+BM172</f>
        <v>27245.53125</v>
      </c>
      <c r="BW172" s="5">
        <f t="shared" si="496"/>
        <v>0</v>
      </c>
      <c r="BX172" s="5">
        <f t="shared" si="496"/>
        <v>0</v>
      </c>
      <c r="BY172" s="5">
        <f t="shared" si="496"/>
        <v>0</v>
      </c>
      <c r="BZ172" s="5">
        <f t="shared" si="496"/>
        <v>0</v>
      </c>
      <c r="CA172" s="5">
        <f t="shared" si="496"/>
        <v>0</v>
      </c>
      <c r="CB172" s="5"/>
      <c r="CC172" s="5">
        <f t="shared" ref="CC172:CC178" si="497">SUM(BV172:CB172)</f>
        <v>27245.53125</v>
      </c>
    </row>
    <row r="173" spans="1:81">
      <c r="A173" s="29" t="s">
        <v>153</v>
      </c>
      <c r="B173" s="62">
        <f>'25-26'!B173*1.05</f>
        <v>20671.875</v>
      </c>
      <c r="C173" s="5"/>
      <c r="D173" s="5"/>
      <c r="E173" s="5"/>
      <c r="F173" s="5"/>
      <c r="G173" s="5"/>
      <c r="H173" s="5"/>
      <c r="I173" s="5">
        <f t="shared" si="488"/>
        <v>20671.875</v>
      </c>
      <c r="K173" s="62">
        <f>'25-26'!K173*1.05</f>
        <v>19348.875</v>
      </c>
      <c r="L173" s="5"/>
      <c r="M173" s="5"/>
      <c r="N173" s="5"/>
      <c r="O173" s="5"/>
      <c r="P173" s="5"/>
      <c r="Q173" s="5"/>
      <c r="R173" s="5">
        <f t="shared" si="489"/>
        <v>19348.875</v>
      </c>
      <c r="T173" s="62">
        <f>'25-26'!T173*1.05</f>
        <v>29106</v>
      </c>
      <c r="U173" s="5"/>
      <c r="V173" s="5"/>
      <c r="W173" s="5"/>
      <c r="X173" s="5"/>
      <c r="Y173" s="5"/>
      <c r="Z173" s="5"/>
      <c r="AA173" s="5">
        <f t="shared" si="490"/>
        <v>29106</v>
      </c>
      <c r="AC173" s="62">
        <f>'25-26'!AC173*1.05</f>
        <v>17199</v>
      </c>
      <c r="AD173" s="5"/>
      <c r="AE173" s="5"/>
      <c r="AF173" s="5"/>
      <c r="AG173" s="5"/>
      <c r="AH173" s="5"/>
      <c r="AI173" s="5"/>
      <c r="AJ173" s="5">
        <f t="shared" si="491"/>
        <v>17199</v>
      </c>
      <c r="AL173" s="62">
        <f>'25-26'!AL173*1.05</f>
        <v>16537.5</v>
      </c>
      <c r="AM173" s="5"/>
      <c r="AN173" s="5"/>
      <c r="AO173" s="5"/>
      <c r="AP173" s="5"/>
      <c r="AQ173" s="5"/>
      <c r="AR173" s="5"/>
      <c r="AS173" s="5">
        <f t="shared" si="492"/>
        <v>16537.5</v>
      </c>
      <c r="AU173" s="62"/>
      <c r="AV173" s="5"/>
      <c r="AW173" s="5"/>
      <c r="AX173" s="5"/>
      <c r="AY173" s="5"/>
      <c r="AZ173" s="5"/>
      <c r="BA173" s="5"/>
      <c r="BB173" s="5">
        <f t="shared" si="493"/>
        <v>0</v>
      </c>
      <c r="BD173" s="62">
        <f>'25-26'!BD173*1.05</f>
        <v>9459.4500000000007</v>
      </c>
      <c r="BE173" s="5"/>
      <c r="BF173" s="5"/>
      <c r="BG173" s="5"/>
      <c r="BH173" s="5"/>
      <c r="BI173" s="5"/>
      <c r="BJ173" s="5"/>
      <c r="BK173" s="5">
        <f t="shared" si="494"/>
        <v>9459.4500000000007</v>
      </c>
      <c r="BM173" s="62"/>
      <c r="BN173" s="5"/>
      <c r="BO173" s="5"/>
      <c r="BP173" s="5"/>
      <c r="BQ173" s="5"/>
      <c r="BR173" s="5"/>
      <c r="BS173" s="5"/>
      <c r="BT173" s="5">
        <f t="shared" si="495"/>
        <v>0</v>
      </c>
      <c r="BV173" s="5">
        <f t="shared" si="496"/>
        <v>112322.7</v>
      </c>
      <c r="BW173" s="5">
        <f t="shared" si="496"/>
        <v>0</v>
      </c>
      <c r="BX173" s="5">
        <f t="shared" si="496"/>
        <v>0</v>
      </c>
      <c r="BY173" s="5">
        <f t="shared" si="496"/>
        <v>0</v>
      </c>
      <c r="BZ173" s="5">
        <f t="shared" si="496"/>
        <v>0</v>
      </c>
      <c r="CA173" s="5">
        <f t="shared" si="496"/>
        <v>0</v>
      </c>
      <c r="CB173" s="5"/>
      <c r="CC173" s="5">
        <f t="shared" si="497"/>
        <v>112322.7</v>
      </c>
    </row>
    <row r="174" spans="1:81">
      <c r="A174" s="29" t="s">
        <v>154</v>
      </c>
      <c r="B174" s="79"/>
      <c r="C174" s="5"/>
      <c r="D174" s="5"/>
      <c r="E174" s="5"/>
      <c r="F174" s="5"/>
      <c r="G174" s="5"/>
      <c r="H174" s="5"/>
      <c r="I174" s="5">
        <f t="shared" si="488"/>
        <v>0</v>
      </c>
      <c r="K174" s="79"/>
      <c r="L174" s="5"/>
      <c r="M174" s="5"/>
      <c r="N174" s="5"/>
      <c r="O174" s="5"/>
      <c r="P174" s="5"/>
      <c r="Q174" s="5"/>
      <c r="R174" s="5">
        <f t="shared" si="489"/>
        <v>0</v>
      </c>
      <c r="T174" s="79"/>
      <c r="U174" s="5"/>
      <c r="V174" s="5"/>
      <c r="W174" s="5"/>
      <c r="X174" s="5"/>
      <c r="Y174" s="5"/>
      <c r="Z174" s="5"/>
      <c r="AA174" s="5">
        <f t="shared" si="490"/>
        <v>0</v>
      </c>
      <c r="AC174" s="79"/>
      <c r="AD174" s="5"/>
      <c r="AE174" s="5"/>
      <c r="AF174" s="5"/>
      <c r="AG174" s="5"/>
      <c r="AH174" s="5"/>
      <c r="AI174" s="5"/>
      <c r="AJ174" s="5">
        <f t="shared" si="491"/>
        <v>0</v>
      </c>
      <c r="AL174" s="79"/>
      <c r="AM174" s="5"/>
      <c r="AN174" s="5"/>
      <c r="AO174" s="5"/>
      <c r="AP174" s="5"/>
      <c r="AQ174" s="5"/>
      <c r="AR174" s="5"/>
      <c r="AS174" s="5">
        <f t="shared" si="492"/>
        <v>0</v>
      </c>
      <c r="AU174" s="79"/>
      <c r="AV174" s="5"/>
      <c r="AW174" s="5"/>
      <c r="AX174" s="5"/>
      <c r="AY174" s="5"/>
      <c r="AZ174" s="5"/>
      <c r="BA174" s="5"/>
      <c r="BB174" s="5">
        <f t="shared" si="493"/>
        <v>0</v>
      </c>
      <c r="BD174" s="79"/>
      <c r="BE174" s="5"/>
      <c r="BF174" s="5"/>
      <c r="BG174" s="5"/>
      <c r="BH174" s="5"/>
      <c r="BI174" s="5"/>
      <c r="BJ174" s="5"/>
      <c r="BK174" s="5">
        <f t="shared" si="494"/>
        <v>0</v>
      </c>
      <c r="BM174" s="79"/>
      <c r="BN174" s="5"/>
      <c r="BO174" s="5"/>
      <c r="BP174" s="5"/>
      <c r="BQ174" s="5"/>
      <c r="BR174" s="5"/>
      <c r="BS174" s="5"/>
      <c r="BT174" s="5">
        <f t="shared" si="495"/>
        <v>0</v>
      </c>
      <c r="BV174" s="5">
        <f t="shared" si="496"/>
        <v>0</v>
      </c>
      <c r="BW174" s="5">
        <f t="shared" si="496"/>
        <v>0</v>
      </c>
      <c r="BX174" s="5">
        <f t="shared" si="496"/>
        <v>0</v>
      </c>
      <c r="BY174" s="5">
        <f t="shared" si="496"/>
        <v>0</v>
      </c>
      <c r="BZ174" s="5">
        <f t="shared" si="496"/>
        <v>0</v>
      </c>
      <c r="CA174" s="5">
        <f t="shared" si="496"/>
        <v>0</v>
      </c>
      <c r="CB174" s="5"/>
      <c r="CC174" s="5">
        <f t="shared" si="497"/>
        <v>0</v>
      </c>
    </row>
    <row r="175" spans="1:81">
      <c r="A175" s="29" t="s">
        <v>155</v>
      </c>
      <c r="B175" s="79">
        <v>1100</v>
      </c>
      <c r="C175" s="5"/>
      <c r="D175" s="5"/>
      <c r="E175" s="5"/>
      <c r="F175" s="5"/>
      <c r="G175" s="5"/>
      <c r="H175" s="5"/>
      <c r="I175" s="5">
        <f t="shared" si="488"/>
        <v>1100</v>
      </c>
      <c r="K175" s="79">
        <v>1250</v>
      </c>
      <c r="L175" s="5"/>
      <c r="M175" s="5"/>
      <c r="N175" s="5"/>
      <c r="O175" s="5"/>
      <c r="P175" s="5"/>
      <c r="Q175" s="5"/>
      <c r="R175" s="5">
        <f t="shared" si="489"/>
        <v>1250</v>
      </c>
      <c r="T175" s="79">
        <v>1250</v>
      </c>
      <c r="U175" s="5"/>
      <c r="V175" s="5"/>
      <c r="W175" s="5"/>
      <c r="X175" s="5"/>
      <c r="Y175" s="5"/>
      <c r="Z175" s="5"/>
      <c r="AA175" s="5">
        <f t="shared" si="490"/>
        <v>1250</v>
      </c>
      <c r="AC175" s="79">
        <v>2000</v>
      </c>
      <c r="AD175" s="5"/>
      <c r="AE175" s="5"/>
      <c r="AF175" s="5"/>
      <c r="AG175" s="5"/>
      <c r="AH175" s="5"/>
      <c r="AI175" s="5"/>
      <c r="AJ175" s="5">
        <f t="shared" si="491"/>
        <v>2000</v>
      </c>
      <c r="AL175" s="79">
        <v>1250</v>
      </c>
      <c r="AM175" s="5"/>
      <c r="AN175" s="5"/>
      <c r="AO175" s="5"/>
      <c r="AP175" s="5"/>
      <c r="AQ175" s="5"/>
      <c r="AR175" s="5"/>
      <c r="AS175" s="5">
        <f t="shared" si="492"/>
        <v>1250</v>
      </c>
      <c r="AU175" s="79"/>
      <c r="AV175" s="5"/>
      <c r="AW175" s="5"/>
      <c r="AX175" s="5"/>
      <c r="AY175" s="5"/>
      <c r="AZ175" s="5"/>
      <c r="BA175" s="5"/>
      <c r="BB175" s="5">
        <f t="shared" si="493"/>
        <v>0</v>
      </c>
      <c r="BD175" s="79">
        <v>1000</v>
      </c>
      <c r="BE175" s="5"/>
      <c r="BF175" s="5"/>
      <c r="BG175" s="5"/>
      <c r="BH175" s="5"/>
      <c r="BI175" s="5"/>
      <c r="BJ175" s="5"/>
      <c r="BK175" s="5">
        <f t="shared" si="494"/>
        <v>1000</v>
      </c>
      <c r="BM175" s="79"/>
      <c r="BN175" s="5"/>
      <c r="BO175" s="5"/>
      <c r="BP175" s="5"/>
      <c r="BQ175" s="5"/>
      <c r="BR175" s="5"/>
      <c r="BS175" s="5"/>
      <c r="BT175" s="5">
        <f t="shared" si="495"/>
        <v>0</v>
      </c>
      <c r="BV175" s="5">
        <f t="shared" si="496"/>
        <v>7850</v>
      </c>
      <c r="BW175" s="5">
        <f t="shared" si="496"/>
        <v>0</v>
      </c>
      <c r="BX175" s="5">
        <f t="shared" si="496"/>
        <v>0</v>
      </c>
      <c r="BY175" s="5">
        <f t="shared" si="496"/>
        <v>0</v>
      </c>
      <c r="BZ175" s="5">
        <f t="shared" si="496"/>
        <v>0</v>
      </c>
      <c r="CA175" s="5">
        <f t="shared" si="496"/>
        <v>0</v>
      </c>
      <c r="CB175" s="5"/>
      <c r="CC175" s="5">
        <f t="shared" si="497"/>
        <v>7850</v>
      </c>
    </row>
    <row r="176" spans="1:81">
      <c r="A176" s="29" t="s">
        <v>156</v>
      </c>
      <c r="B176" s="62">
        <f>'25-26'!B176*1.05</f>
        <v>7166.25</v>
      </c>
      <c r="C176" s="5"/>
      <c r="D176" s="5"/>
      <c r="E176" s="5"/>
      <c r="F176" s="5"/>
      <c r="G176" s="5"/>
      <c r="H176" s="5"/>
      <c r="I176" s="5">
        <f t="shared" si="488"/>
        <v>7166.25</v>
      </c>
      <c r="K176" s="62">
        <f>'25-26'!K176*1.05</f>
        <v>7166.25</v>
      </c>
      <c r="L176" s="5"/>
      <c r="M176" s="5"/>
      <c r="N176" s="5"/>
      <c r="O176" s="5"/>
      <c r="P176" s="5"/>
      <c r="Q176" s="5"/>
      <c r="R176" s="5">
        <f t="shared" si="489"/>
        <v>7166.25</v>
      </c>
      <c r="T176" s="62">
        <f>'25-26'!T176*1.05</f>
        <v>7166.25</v>
      </c>
      <c r="U176" s="5"/>
      <c r="V176" s="5"/>
      <c r="W176" s="5"/>
      <c r="X176" s="5"/>
      <c r="Y176" s="5"/>
      <c r="Z176" s="5"/>
      <c r="AA176" s="5">
        <f t="shared" si="490"/>
        <v>7166.25</v>
      </c>
      <c r="AC176" s="62">
        <f>'25-26'!AC176*1.05</f>
        <v>7166.25</v>
      </c>
      <c r="AD176" s="5"/>
      <c r="AE176" s="5"/>
      <c r="AF176" s="5"/>
      <c r="AG176" s="5"/>
      <c r="AH176" s="5"/>
      <c r="AI176" s="5"/>
      <c r="AJ176" s="5">
        <f t="shared" si="491"/>
        <v>7166.25</v>
      </c>
      <c r="AL176" s="62">
        <f>'25-26'!AL176*1.05</f>
        <v>6063.75</v>
      </c>
      <c r="AM176" s="5"/>
      <c r="AN176" s="5"/>
      <c r="AO176" s="5"/>
      <c r="AP176" s="5"/>
      <c r="AQ176" s="5"/>
      <c r="AR176" s="5"/>
      <c r="AS176" s="5">
        <f t="shared" si="492"/>
        <v>6063.75</v>
      </c>
      <c r="AU176" s="62">
        <f>'25-26'!AU176*1.05</f>
        <v>7166.25</v>
      </c>
      <c r="AV176" s="5"/>
      <c r="AW176" s="5"/>
      <c r="AX176" s="5"/>
      <c r="AY176" s="5"/>
      <c r="AZ176" s="5"/>
      <c r="BA176" s="5"/>
      <c r="BB176" s="5">
        <f t="shared" si="493"/>
        <v>7166.25</v>
      </c>
      <c r="BD176" s="62">
        <f>'25-26'!BD176*1.05</f>
        <v>7166.25</v>
      </c>
      <c r="BE176" s="5"/>
      <c r="BF176" s="5"/>
      <c r="BG176" s="5"/>
      <c r="BH176" s="5"/>
      <c r="BI176" s="5"/>
      <c r="BJ176" s="5"/>
      <c r="BK176" s="5">
        <f t="shared" si="494"/>
        <v>7166.25</v>
      </c>
      <c r="BM176" s="79"/>
      <c r="BN176" s="5"/>
      <c r="BO176" s="5"/>
      <c r="BP176" s="5"/>
      <c r="BQ176" s="5"/>
      <c r="BR176" s="5"/>
      <c r="BS176" s="5"/>
      <c r="BT176" s="5">
        <f t="shared" si="495"/>
        <v>0</v>
      </c>
      <c r="BV176" s="5">
        <f t="shared" si="496"/>
        <v>49061.25</v>
      </c>
      <c r="BW176" s="5">
        <f t="shared" si="496"/>
        <v>0</v>
      </c>
      <c r="BX176" s="5">
        <f t="shared" si="496"/>
        <v>0</v>
      </c>
      <c r="BY176" s="5">
        <f t="shared" si="496"/>
        <v>0</v>
      </c>
      <c r="BZ176" s="5">
        <f t="shared" si="496"/>
        <v>0</v>
      </c>
      <c r="CA176" s="5">
        <f t="shared" si="496"/>
        <v>0</v>
      </c>
      <c r="CB176" s="5"/>
      <c r="CC176" s="5">
        <f t="shared" si="497"/>
        <v>49061.25</v>
      </c>
    </row>
    <row r="177" spans="1:81">
      <c r="A177" s="29" t="s">
        <v>157</v>
      </c>
      <c r="B177" s="62">
        <f>'25-26'!B177*1.05</f>
        <v>49612.5</v>
      </c>
      <c r="C177" s="5"/>
      <c r="D177" s="5"/>
      <c r="E177" s="5"/>
      <c r="F177" s="5"/>
      <c r="G177" s="5"/>
      <c r="H177" s="5"/>
      <c r="I177" s="5">
        <f t="shared" si="488"/>
        <v>49612.5</v>
      </c>
      <c r="K177" s="62">
        <f>'25-26'!K177*1.05</f>
        <v>55125</v>
      </c>
      <c r="L177" s="5"/>
      <c r="M177" s="5"/>
      <c r="N177" s="5"/>
      <c r="O177" s="5"/>
      <c r="P177" s="5"/>
      <c r="Q177" s="5"/>
      <c r="R177" s="5">
        <f t="shared" si="489"/>
        <v>55125</v>
      </c>
      <c r="T177" s="62">
        <f>'25-26'!T177*1.05</f>
        <v>66150</v>
      </c>
      <c r="U177" s="5"/>
      <c r="V177" s="5"/>
      <c r="W177" s="5"/>
      <c r="X177" s="5"/>
      <c r="Y177" s="5"/>
      <c r="Z177" s="5"/>
      <c r="AA177" s="5">
        <f t="shared" si="490"/>
        <v>66150</v>
      </c>
      <c r="AC177" s="62">
        <f>'25-26'!AC177*1.05</f>
        <v>110250</v>
      </c>
      <c r="AD177" s="5"/>
      <c r="AE177" s="5"/>
      <c r="AF177" s="5"/>
      <c r="AG177" s="5"/>
      <c r="AH177" s="5"/>
      <c r="AI177" s="5"/>
      <c r="AJ177" s="5">
        <f t="shared" si="491"/>
        <v>110250</v>
      </c>
      <c r="AL177" s="62">
        <f>'25-26'!AL177*1.05</f>
        <v>110250</v>
      </c>
      <c r="AM177" s="5"/>
      <c r="AN177" s="5"/>
      <c r="AO177" s="5"/>
      <c r="AP177" s="5"/>
      <c r="AQ177" s="5"/>
      <c r="AR177" s="5"/>
      <c r="AS177" s="5">
        <f t="shared" si="492"/>
        <v>110250</v>
      </c>
      <c r="AU177" s="62"/>
      <c r="AV177" s="5"/>
      <c r="AW177" s="5"/>
      <c r="AX177" s="5"/>
      <c r="AY177" s="5"/>
      <c r="AZ177" s="5"/>
      <c r="BA177" s="5"/>
      <c r="BB177" s="5">
        <f t="shared" si="493"/>
        <v>0</v>
      </c>
      <c r="BD177" s="62">
        <f>'25-26'!BD177*1.05</f>
        <v>8268.75</v>
      </c>
      <c r="BE177" s="5"/>
      <c r="BF177" s="5"/>
      <c r="BG177" s="5"/>
      <c r="BH177" s="5"/>
      <c r="BI177" s="5"/>
      <c r="BJ177" s="5"/>
      <c r="BK177" s="5">
        <f t="shared" si="494"/>
        <v>8268.75</v>
      </c>
      <c r="BM177" s="62"/>
      <c r="BN177" s="5"/>
      <c r="BO177" s="5"/>
      <c r="BP177" s="5"/>
      <c r="BQ177" s="5"/>
      <c r="BR177" s="5"/>
      <c r="BS177" s="5"/>
      <c r="BT177" s="5">
        <f t="shared" si="495"/>
        <v>0</v>
      </c>
      <c r="BV177" s="5">
        <f t="shared" si="496"/>
        <v>399656.25</v>
      </c>
      <c r="BW177" s="5">
        <f t="shared" si="496"/>
        <v>0</v>
      </c>
      <c r="BX177" s="5">
        <f t="shared" si="496"/>
        <v>0</v>
      </c>
      <c r="BY177" s="5">
        <f t="shared" si="496"/>
        <v>0</v>
      </c>
      <c r="BZ177" s="5">
        <f t="shared" si="496"/>
        <v>0</v>
      </c>
      <c r="CA177" s="5">
        <f t="shared" si="496"/>
        <v>0</v>
      </c>
      <c r="CB177" s="5"/>
      <c r="CC177" s="5">
        <f t="shared" si="497"/>
        <v>399656.25</v>
      </c>
    </row>
    <row r="178" spans="1:81">
      <c r="A178" s="29" t="s">
        <v>158</v>
      </c>
      <c r="B178" s="62">
        <f>'25-26'!B178*1.05</f>
        <v>5771.5875000000005</v>
      </c>
      <c r="C178" s="5"/>
      <c r="D178" s="5"/>
      <c r="E178" s="5"/>
      <c r="F178" s="5"/>
      <c r="G178" s="5"/>
      <c r="H178" s="5"/>
      <c r="I178" s="5">
        <f t="shared" si="488"/>
        <v>5771.5875000000005</v>
      </c>
      <c r="K178" s="62">
        <f>'25-26'!K178*1.05</f>
        <v>6515.7750000000005</v>
      </c>
      <c r="L178" s="5"/>
      <c r="M178" s="5"/>
      <c r="N178" s="5"/>
      <c r="O178" s="5"/>
      <c r="P178" s="5"/>
      <c r="Q178" s="5"/>
      <c r="R178" s="5">
        <f t="shared" si="489"/>
        <v>6515.7750000000005</v>
      </c>
      <c r="T178" s="62">
        <f>'25-26'!T178*1.05</f>
        <v>7601.7375000000002</v>
      </c>
      <c r="U178" s="5"/>
      <c r="V178" s="5"/>
      <c r="W178" s="5"/>
      <c r="X178" s="5"/>
      <c r="Y178" s="5"/>
      <c r="Z178" s="5"/>
      <c r="AA178" s="5">
        <f t="shared" si="490"/>
        <v>7601.7375000000002</v>
      </c>
      <c r="AC178" s="62">
        <f>'25-26'!AC178*1.05</f>
        <v>14900.2875</v>
      </c>
      <c r="AD178" s="5"/>
      <c r="AE178" s="5"/>
      <c r="AF178" s="5"/>
      <c r="AG178" s="5"/>
      <c r="AH178" s="5"/>
      <c r="AI178" s="5"/>
      <c r="AJ178" s="5">
        <f t="shared" si="491"/>
        <v>14900.2875</v>
      </c>
      <c r="AL178" s="62">
        <f>'25-26'!AL178*1.05</f>
        <v>14448.262500000001</v>
      </c>
      <c r="AM178" s="5"/>
      <c r="AN178" s="5"/>
      <c r="AO178" s="5"/>
      <c r="AP178" s="5"/>
      <c r="AQ178" s="5"/>
      <c r="AR178" s="5"/>
      <c r="AS178" s="5">
        <f t="shared" si="492"/>
        <v>14448.262500000001</v>
      </c>
      <c r="AU178" s="62">
        <v>800</v>
      </c>
      <c r="AV178" s="5"/>
      <c r="AW178" s="5"/>
      <c r="AX178" s="5"/>
      <c r="AY178" s="5"/>
      <c r="AZ178" s="5"/>
      <c r="BA178" s="5"/>
      <c r="BB178" s="5">
        <f t="shared" si="493"/>
        <v>800</v>
      </c>
      <c r="BD178" s="62">
        <f>'25-26'!BD178*1.05</f>
        <v>1697.8500000000001</v>
      </c>
      <c r="BE178" s="5"/>
      <c r="BF178" s="5"/>
      <c r="BG178" s="5"/>
      <c r="BH178" s="5"/>
      <c r="BI178" s="5"/>
      <c r="BJ178" s="5"/>
      <c r="BK178" s="5">
        <f t="shared" si="494"/>
        <v>1697.8500000000001</v>
      </c>
      <c r="BM178" s="62"/>
      <c r="BN178" s="5"/>
      <c r="BO178" s="5"/>
      <c r="BP178" s="5"/>
      <c r="BQ178" s="5"/>
      <c r="BR178" s="5"/>
      <c r="BS178" s="5"/>
      <c r="BT178" s="5">
        <f t="shared" si="495"/>
        <v>0</v>
      </c>
      <c r="BV178" s="5">
        <f t="shared" si="496"/>
        <v>51735.500000000007</v>
      </c>
      <c r="BW178" s="5">
        <f t="shared" si="496"/>
        <v>0</v>
      </c>
      <c r="BX178" s="5">
        <f t="shared" si="496"/>
        <v>0</v>
      </c>
      <c r="BY178" s="5">
        <f t="shared" si="496"/>
        <v>0</v>
      </c>
      <c r="BZ178" s="5">
        <f t="shared" si="496"/>
        <v>0</v>
      </c>
      <c r="CA178" s="5">
        <f t="shared" si="496"/>
        <v>0</v>
      </c>
      <c r="CB178" s="5"/>
      <c r="CC178" s="5">
        <f t="shared" si="497"/>
        <v>51735.500000000007</v>
      </c>
    </row>
    <row r="179" spans="1:81">
      <c r="A179" s="29" t="s">
        <v>159</v>
      </c>
      <c r="B179" s="62"/>
      <c r="C179" s="5"/>
      <c r="D179" s="5"/>
      <c r="E179" s="5"/>
      <c r="F179" s="5"/>
      <c r="G179" s="5"/>
      <c r="H179" s="5"/>
      <c r="I179" s="5">
        <f>SUM(B179:H179)</f>
        <v>0</v>
      </c>
      <c r="K179" s="62"/>
      <c r="L179" s="5"/>
      <c r="M179" s="5"/>
      <c r="N179" s="5"/>
      <c r="O179" s="5"/>
      <c r="P179" s="5"/>
      <c r="Q179" s="5"/>
      <c r="R179" s="5">
        <f>SUM(K179:Q179)</f>
        <v>0</v>
      </c>
      <c r="T179" s="62"/>
      <c r="U179" s="5"/>
      <c r="V179" s="5"/>
      <c r="W179" s="5"/>
      <c r="X179" s="5"/>
      <c r="Y179" s="5"/>
      <c r="Z179" s="5"/>
      <c r="AA179" s="5">
        <f>SUM(T179:Z179)</f>
        <v>0</v>
      </c>
      <c r="AC179" s="62"/>
      <c r="AD179" s="5"/>
      <c r="AE179" s="5"/>
      <c r="AF179" s="5"/>
      <c r="AG179" s="5"/>
      <c r="AH179" s="5"/>
      <c r="AI179" s="5"/>
      <c r="AJ179" s="5">
        <f>SUM(AC179:AI179)</f>
        <v>0</v>
      </c>
      <c r="AL179" s="62"/>
      <c r="AM179" s="5"/>
      <c r="AN179" s="5"/>
      <c r="AO179" s="5"/>
      <c r="AP179" s="5"/>
      <c r="AQ179" s="5"/>
      <c r="AR179" s="5"/>
      <c r="AS179" s="5">
        <f>SUM(AL179:AR179)</f>
        <v>0</v>
      </c>
      <c r="AU179" s="62"/>
      <c r="AV179" s="5"/>
      <c r="AW179" s="5"/>
      <c r="AX179" s="5"/>
      <c r="AY179" s="5"/>
      <c r="AZ179" s="5"/>
      <c r="BA179" s="5"/>
      <c r="BB179" s="5">
        <f>SUM(AU179:BA179)</f>
        <v>0</v>
      </c>
      <c r="BD179" s="62"/>
      <c r="BE179" s="5"/>
      <c r="BF179" s="5"/>
      <c r="BG179" s="5"/>
      <c r="BH179" s="5"/>
      <c r="BI179" s="5"/>
      <c r="BJ179" s="5"/>
      <c r="BK179" s="5">
        <f>SUM(BD179:BJ179)</f>
        <v>0</v>
      </c>
      <c r="BM179" s="62"/>
      <c r="BN179" s="5"/>
      <c r="BO179" s="5"/>
      <c r="BP179" s="5"/>
      <c r="BQ179" s="5"/>
      <c r="BR179" s="5"/>
      <c r="BS179" s="5"/>
      <c r="BT179" s="5">
        <f>SUM(BM179:BS179)</f>
        <v>0</v>
      </c>
      <c r="BV179" s="5">
        <f t="shared" si="496"/>
        <v>0</v>
      </c>
      <c r="BW179" s="5">
        <f t="shared" si="496"/>
        <v>0</v>
      </c>
      <c r="BX179" s="5">
        <f t="shared" si="496"/>
        <v>0</v>
      </c>
      <c r="BY179" s="5">
        <f t="shared" si="496"/>
        <v>0</v>
      </c>
      <c r="BZ179" s="5">
        <f t="shared" si="496"/>
        <v>0</v>
      </c>
      <c r="CA179" s="5">
        <f t="shared" si="496"/>
        <v>0</v>
      </c>
      <c r="CB179" s="5"/>
      <c r="CC179" s="5">
        <f>SUM(BV179:CB179)</f>
        <v>0</v>
      </c>
    </row>
    <row r="180" spans="1:81">
      <c r="A180" s="29" t="s">
        <v>160</v>
      </c>
      <c r="B180" s="79"/>
      <c r="C180" s="5"/>
      <c r="D180" s="5"/>
      <c r="E180" s="5"/>
      <c r="F180" s="5"/>
      <c r="G180" s="5"/>
      <c r="H180" s="5"/>
      <c r="I180" s="5">
        <f>SUM(B180:H180)</f>
        <v>0</v>
      </c>
      <c r="K180" s="79"/>
      <c r="L180" s="5"/>
      <c r="M180" s="5"/>
      <c r="N180" s="5"/>
      <c r="O180" s="5"/>
      <c r="P180" s="5"/>
      <c r="Q180" s="5"/>
      <c r="R180" s="5">
        <f>SUM(K180:Q180)</f>
        <v>0</v>
      </c>
      <c r="T180" s="79"/>
      <c r="U180" s="5"/>
      <c r="V180" s="5"/>
      <c r="W180" s="5"/>
      <c r="X180" s="5"/>
      <c r="Y180" s="5"/>
      <c r="Z180" s="5"/>
      <c r="AA180" s="5">
        <f>SUM(T180:Z180)</f>
        <v>0</v>
      </c>
      <c r="AC180" s="79"/>
      <c r="AD180" s="5"/>
      <c r="AE180" s="5"/>
      <c r="AF180" s="5"/>
      <c r="AG180" s="5"/>
      <c r="AH180" s="5"/>
      <c r="AI180" s="5"/>
      <c r="AJ180" s="5">
        <f>SUM(AC180:AI180)</f>
        <v>0</v>
      </c>
      <c r="AL180" s="79"/>
      <c r="AM180" s="5"/>
      <c r="AN180" s="5"/>
      <c r="AO180" s="5"/>
      <c r="AP180" s="5"/>
      <c r="AQ180" s="5"/>
      <c r="AR180" s="5"/>
      <c r="AS180" s="5">
        <f>SUM(AL180:AR180)</f>
        <v>0</v>
      </c>
      <c r="AU180" s="79"/>
      <c r="AV180" s="5"/>
      <c r="AW180" s="5"/>
      <c r="AX180" s="5"/>
      <c r="AY180" s="5"/>
      <c r="AZ180" s="5"/>
      <c r="BA180" s="5"/>
      <c r="BB180" s="5">
        <f>SUM(AU180:BA180)</f>
        <v>0</v>
      </c>
      <c r="BD180" s="62"/>
      <c r="BE180" s="5"/>
      <c r="BF180" s="5"/>
      <c r="BG180" s="5"/>
      <c r="BH180" s="5"/>
      <c r="BI180" s="5"/>
      <c r="BJ180" s="5"/>
      <c r="BK180" s="5">
        <f>SUM(BD180:BJ180)</f>
        <v>0</v>
      </c>
      <c r="BM180" s="79"/>
      <c r="BN180" s="5"/>
      <c r="BO180" s="5"/>
      <c r="BP180" s="5"/>
      <c r="BQ180" s="5"/>
      <c r="BR180" s="5"/>
      <c r="BS180" s="5"/>
      <c r="BT180" s="5">
        <f>SUM(BM180:BS180)</f>
        <v>0</v>
      </c>
      <c r="BV180" s="5">
        <f t="shared" si="496"/>
        <v>0</v>
      </c>
      <c r="BW180" s="5">
        <f t="shared" si="496"/>
        <v>0</v>
      </c>
      <c r="BX180" s="5">
        <f t="shared" si="496"/>
        <v>0</v>
      </c>
      <c r="BY180" s="5">
        <f t="shared" si="496"/>
        <v>0</v>
      </c>
      <c r="BZ180" s="5">
        <f t="shared" si="496"/>
        <v>0</v>
      </c>
      <c r="CA180" s="5">
        <f t="shared" si="496"/>
        <v>0</v>
      </c>
      <c r="CB180" s="5"/>
      <c r="CC180" s="5">
        <f>SUM(BV180:CB180)</f>
        <v>0</v>
      </c>
    </row>
    <row r="181" spans="1:81">
      <c r="A181" s="29" t="s">
        <v>161</v>
      </c>
      <c r="B181" s="62">
        <f>'25-26'!B181*1.05</f>
        <v>58432.5</v>
      </c>
      <c r="C181" s="5"/>
      <c r="D181" s="5"/>
      <c r="E181" s="5"/>
      <c r="F181" s="5"/>
      <c r="G181" s="5"/>
      <c r="H181" s="5"/>
      <c r="I181" s="5">
        <f>SUM(B181:H181)</f>
        <v>58432.5</v>
      </c>
      <c r="K181" s="62">
        <f>'25-26'!K181*1.05</f>
        <v>66260.25</v>
      </c>
      <c r="L181" s="5"/>
      <c r="M181" s="5"/>
      <c r="N181" s="5"/>
      <c r="O181" s="5"/>
      <c r="P181" s="5"/>
      <c r="Q181" s="5"/>
      <c r="R181" s="5">
        <f>SUM(K181:Q181)</f>
        <v>66260.25</v>
      </c>
      <c r="T181" s="62">
        <f>'25-26'!T181*1.05</f>
        <v>77175</v>
      </c>
      <c r="U181" s="5"/>
      <c r="V181" s="5"/>
      <c r="W181" s="5"/>
      <c r="X181" s="5"/>
      <c r="Y181" s="5"/>
      <c r="Z181" s="5"/>
      <c r="AA181" s="5">
        <f>SUM(T181:Z181)</f>
        <v>77175</v>
      </c>
      <c r="AC181" s="62">
        <f>'25-26'!AC181*1.05</f>
        <v>148837.5</v>
      </c>
      <c r="AD181" s="5"/>
      <c r="AE181" s="5"/>
      <c r="AF181" s="5"/>
      <c r="AG181" s="5"/>
      <c r="AH181" s="5"/>
      <c r="AI181" s="5"/>
      <c r="AJ181" s="5">
        <f>SUM(AC181:AI181)</f>
        <v>148837.5</v>
      </c>
      <c r="AL181" s="62">
        <f>'25-26'!AL181*1.05</f>
        <v>127476.5625</v>
      </c>
      <c r="AM181" s="5"/>
      <c r="AN181" s="5"/>
      <c r="AO181" s="5"/>
      <c r="AP181" s="5"/>
      <c r="AQ181" s="5"/>
      <c r="AR181" s="5"/>
      <c r="AS181" s="5">
        <f>SUM(AL181:AR181)</f>
        <v>127476.5625</v>
      </c>
      <c r="AU181" s="62">
        <f>'25-26'!AU181*1.05</f>
        <v>9922.5</v>
      </c>
      <c r="AV181" s="5"/>
      <c r="AW181" s="5"/>
      <c r="AX181" s="5"/>
      <c r="AY181" s="5"/>
      <c r="AZ181" s="5"/>
      <c r="BA181" s="5"/>
      <c r="BB181" s="5">
        <f>SUM(AU181:BA181)</f>
        <v>9922.5</v>
      </c>
      <c r="BD181" s="62">
        <f>'25-26'!BD181*1.05</f>
        <v>12127.5</v>
      </c>
      <c r="BE181" s="5"/>
      <c r="BF181" s="5"/>
      <c r="BG181" s="5"/>
      <c r="BH181" s="5"/>
      <c r="BI181" s="5"/>
      <c r="BJ181" s="5"/>
      <c r="BK181" s="5">
        <f>SUM(BD181:BJ181)</f>
        <v>12127.5</v>
      </c>
      <c r="BM181" s="79"/>
      <c r="BN181" s="5"/>
      <c r="BO181" s="5"/>
      <c r="BP181" s="5"/>
      <c r="BQ181" s="5"/>
      <c r="BR181" s="5"/>
      <c r="BS181" s="5"/>
      <c r="BT181" s="5">
        <f>SUM(BM181:BS181)</f>
        <v>0</v>
      </c>
      <c r="BV181" s="5">
        <f t="shared" si="496"/>
        <v>500231.8125</v>
      </c>
      <c r="BW181" s="5">
        <f t="shared" si="496"/>
        <v>0</v>
      </c>
      <c r="BX181" s="5">
        <f t="shared" si="496"/>
        <v>0</v>
      </c>
      <c r="BY181" s="5">
        <f t="shared" si="496"/>
        <v>0</v>
      </c>
      <c r="BZ181" s="5">
        <f t="shared" si="496"/>
        <v>0</v>
      </c>
      <c r="CA181" s="5">
        <f t="shared" si="496"/>
        <v>0</v>
      </c>
      <c r="CB181" s="5"/>
      <c r="CC181" s="5">
        <f>SUM(BV181:CB181)</f>
        <v>500231.8125</v>
      </c>
    </row>
    <row r="182" spans="1:81">
      <c r="A182" s="29" t="s">
        <v>162</v>
      </c>
      <c r="B182" s="5"/>
      <c r="C182" s="5"/>
      <c r="D182" s="5"/>
      <c r="E182" s="5"/>
      <c r="F182" s="5"/>
      <c r="G182" s="5"/>
      <c r="H182" s="5"/>
      <c r="I182" s="5">
        <f t="shared" ref="I182:I190" si="498">SUM(B182:H182)</f>
        <v>0</v>
      </c>
      <c r="J182" s="82"/>
      <c r="K182" s="5"/>
      <c r="L182" s="5"/>
      <c r="M182" s="5">
        <v>0</v>
      </c>
      <c r="N182" s="5"/>
      <c r="O182" s="5"/>
      <c r="P182" s="5"/>
      <c r="Q182" s="5"/>
      <c r="R182" s="5">
        <f t="shared" ref="R182:R190" si="499">SUM(K182:Q182)</f>
        <v>0</v>
      </c>
      <c r="T182" s="5"/>
      <c r="U182" s="5"/>
      <c r="V182" s="5"/>
      <c r="W182" s="5"/>
      <c r="X182" s="5"/>
      <c r="Y182" s="5"/>
      <c r="Z182" s="5"/>
      <c r="AA182" s="5">
        <f t="shared" ref="AA182:AA190" si="500">SUM(T182:Z182)</f>
        <v>0</v>
      </c>
      <c r="AC182" s="5"/>
      <c r="AD182" s="5"/>
      <c r="AE182" s="5"/>
      <c r="AF182" s="5"/>
      <c r="AG182" s="5"/>
      <c r="AH182" s="5"/>
      <c r="AI182" s="5"/>
      <c r="AJ182" s="5">
        <f t="shared" ref="AJ182:AJ190" si="501">SUM(AC182:AI182)</f>
        <v>0</v>
      </c>
      <c r="AL182" s="5"/>
      <c r="AM182" s="5"/>
      <c r="AN182" s="5"/>
      <c r="AO182" s="5"/>
      <c r="AP182" s="5"/>
      <c r="AQ182" s="5"/>
      <c r="AR182" s="5"/>
      <c r="AS182" s="5">
        <f t="shared" ref="AS182:AS190" si="502">SUM(AL182:AR182)</f>
        <v>0</v>
      </c>
      <c r="AU182" s="5"/>
      <c r="AV182" s="5"/>
      <c r="AW182" s="5"/>
      <c r="AX182" s="5"/>
      <c r="AY182" s="5"/>
      <c r="AZ182" s="5"/>
      <c r="BA182" s="5"/>
      <c r="BB182" s="5">
        <f t="shared" ref="BB182:BB190" si="503">SUM(AU182:BA182)</f>
        <v>0</v>
      </c>
      <c r="BD182" s="5"/>
      <c r="BE182" s="5"/>
      <c r="BF182" s="11">
        <f>((BD17*0.93)*2.3*180)</f>
        <v>162093.42000000001</v>
      </c>
      <c r="BG182" s="5"/>
      <c r="BH182" s="5"/>
      <c r="BI182" s="5"/>
      <c r="BJ182" s="5"/>
      <c r="BK182" s="5">
        <f t="shared" ref="BK182:BK190" si="504">SUM(BD182:BJ182)</f>
        <v>162093.42000000001</v>
      </c>
      <c r="BM182" s="5"/>
      <c r="BN182" s="5"/>
      <c r="BO182" s="5"/>
      <c r="BP182" s="5"/>
      <c r="BQ182" s="5"/>
      <c r="BR182" s="5"/>
      <c r="BS182" s="5"/>
      <c r="BT182" s="5">
        <f t="shared" ref="BT182:BT190" si="505">SUM(BM182:BS182)</f>
        <v>0</v>
      </c>
      <c r="BV182" s="5">
        <f t="shared" si="496"/>
        <v>0</v>
      </c>
      <c r="BW182" s="5">
        <f t="shared" si="496"/>
        <v>0</v>
      </c>
      <c r="BX182" s="5">
        <f t="shared" si="496"/>
        <v>162093.42000000001</v>
      </c>
      <c r="BY182" s="5">
        <f t="shared" si="496"/>
        <v>0</v>
      </c>
      <c r="BZ182" s="5">
        <f t="shared" si="496"/>
        <v>0</v>
      </c>
      <c r="CA182" s="5">
        <f t="shared" si="496"/>
        <v>0</v>
      </c>
      <c r="CB182" s="5"/>
      <c r="CC182" s="5">
        <f t="shared" ref="CC182:CC190" si="506">SUM(BV182:CB182)</f>
        <v>162093.42000000001</v>
      </c>
    </row>
    <row r="183" spans="1:81">
      <c r="A183" s="29" t="s">
        <v>163</v>
      </c>
      <c r="B183" s="5"/>
      <c r="C183" s="5"/>
      <c r="D183" s="5">
        <f>((B17*0.5)*3.75*180)</f>
        <v>313875</v>
      </c>
      <c r="E183" s="5"/>
      <c r="F183" s="5"/>
      <c r="G183" s="5"/>
      <c r="H183" s="5"/>
      <c r="I183" s="5">
        <f t="shared" si="498"/>
        <v>313875</v>
      </c>
      <c r="J183" s="82"/>
      <c r="K183" s="5"/>
      <c r="L183" s="5"/>
      <c r="M183" s="11">
        <f>((K17*0.34)*3.75*180)</f>
        <v>236844.00000000003</v>
      </c>
      <c r="N183" s="5"/>
      <c r="O183" s="5"/>
      <c r="P183" s="5"/>
      <c r="Q183" s="5"/>
      <c r="R183" s="5">
        <f t="shared" si="499"/>
        <v>236844.00000000003</v>
      </c>
      <c r="T183" s="5"/>
      <c r="U183" s="5"/>
      <c r="V183" s="11">
        <f>((T17*0.165)*3.75*180)</f>
        <v>138661.875</v>
      </c>
      <c r="W183" s="5"/>
      <c r="X183" s="5"/>
      <c r="Y183" s="5"/>
      <c r="Z183" s="5"/>
      <c r="AA183" s="5">
        <f t="shared" si="500"/>
        <v>138661.875</v>
      </c>
      <c r="AC183" s="5"/>
      <c r="AD183" s="5"/>
      <c r="AE183" s="5">
        <f>((AC17*0.44)*3.75*180)</f>
        <v>746955</v>
      </c>
      <c r="AF183" s="5"/>
      <c r="AG183" s="5"/>
      <c r="AH183" s="5"/>
      <c r="AI183" s="5"/>
      <c r="AJ183" s="5">
        <f t="shared" si="501"/>
        <v>746955</v>
      </c>
      <c r="AL183" s="5"/>
      <c r="AM183" s="5"/>
      <c r="AN183" s="11">
        <f>((AL17*0.3)*3.75*180)</f>
        <v>480127.5</v>
      </c>
      <c r="AO183" s="5"/>
      <c r="AP183" s="5"/>
      <c r="AQ183" s="5"/>
      <c r="AR183" s="5"/>
      <c r="AS183" s="5">
        <f t="shared" si="502"/>
        <v>480127.5</v>
      </c>
      <c r="AU183" s="5"/>
      <c r="AV183" s="5"/>
      <c r="AW183" s="5">
        <f>((AU17*0.03)*3.75*180)</f>
        <v>2835</v>
      </c>
      <c r="AX183" s="5"/>
      <c r="AY183" s="5"/>
      <c r="AZ183" s="5"/>
      <c r="BA183" s="5"/>
      <c r="BB183" s="5">
        <f t="shared" si="503"/>
        <v>2835</v>
      </c>
      <c r="BD183" s="5"/>
      <c r="BE183" s="5"/>
      <c r="BF183" s="11">
        <f>((BD17*0.97)*3.75*180)</f>
        <v>275649.75</v>
      </c>
      <c r="BG183" s="5"/>
      <c r="BH183" s="5"/>
      <c r="BI183" s="5"/>
      <c r="BJ183" s="5"/>
      <c r="BK183" s="5">
        <f t="shared" si="504"/>
        <v>275649.75</v>
      </c>
      <c r="BM183" s="5"/>
      <c r="BN183" s="5"/>
      <c r="BO183" s="5">
        <f>((BM17*0.25)*3.75*180)</f>
        <v>0</v>
      </c>
      <c r="BP183" s="5"/>
      <c r="BQ183" s="5"/>
      <c r="BR183" s="5"/>
      <c r="BS183" s="5"/>
      <c r="BT183" s="5">
        <f t="shared" si="505"/>
        <v>0</v>
      </c>
      <c r="BV183" s="5">
        <f t="shared" si="496"/>
        <v>0</v>
      </c>
      <c r="BW183" s="5">
        <f t="shared" si="496"/>
        <v>0</v>
      </c>
      <c r="BX183" s="5">
        <f t="shared" si="496"/>
        <v>2194948.125</v>
      </c>
      <c r="BY183" s="5">
        <f t="shared" si="496"/>
        <v>0</v>
      </c>
      <c r="BZ183" s="5">
        <f t="shared" si="496"/>
        <v>0</v>
      </c>
      <c r="CA183" s="5">
        <f t="shared" si="496"/>
        <v>0</v>
      </c>
      <c r="CB183" s="5"/>
      <c r="CC183" s="5">
        <f t="shared" si="506"/>
        <v>2194948.125</v>
      </c>
    </row>
    <row r="184" spans="1:81">
      <c r="A184" s="29" t="s">
        <v>164</v>
      </c>
      <c r="B184" s="5">
        <v>7500</v>
      </c>
      <c r="C184" s="5"/>
      <c r="D184" s="5"/>
      <c r="E184" s="5"/>
      <c r="F184" s="5"/>
      <c r="G184" s="5"/>
      <c r="H184" s="5"/>
      <c r="I184" s="5">
        <f t="shared" si="498"/>
        <v>7500</v>
      </c>
      <c r="K184" s="5">
        <v>7500</v>
      </c>
      <c r="L184" s="5"/>
      <c r="M184" s="5"/>
      <c r="N184" s="5"/>
      <c r="O184" s="5"/>
      <c r="P184" s="5"/>
      <c r="Q184" s="5"/>
      <c r="R184" s="5">
        <f t="shared" si="499"/>
        <v>7500</v>
      </c>
      <c r="T184" s="5">
        <v>7500</v>
      </c>
      <c r="U184" s="5"/>
      <c r="V184" s="5"/>
      <c r="W184" s="5"/>
      <c r="X184" s="5"/>
      <c r="Y184" s="5"/>
      <c r="Z184" s="5"/>
      <c r="AA184" s="5">
        <f t="shared" si="500"/>
        <v>7500</v>
      </c>
      <c r="AC184" s="5">
        <v>10000</v>
      </c>
      <c r="AD184" s="5"/>
      <c r="AE184" s="5"/>
      <c r="AF184" s="5"/>
      <c r="AG184" s="5"/>
      <c r="AH184" s="5"/>
      <c r="AI184" s="5"/>
      <c r="AJ184" s="5">
        <f t="shared" si="501"/>
        <v>10000</v>
      </c>
      <c r="AL184" s="5">
        <v>7500</v>
      </c>
      <c r="AM184" s="5"/>
      <c r="AN184" s="5"/>
      <c r="AO184" s="5"/>
      <c r="AP184" s="5"/>
      <c r="AQ184" s="5"/>
      <c r="AR184" s="5"/>
      <c r="AS184" s="5">
        <f t="shared" si="502"/>
        <v>7500</v>
      </c>
      <c r="AU184" s="5">
        <v>15000</v>
      </c>
      <c r="AV184" s="5"/>
      <c r="AW184" s="5"/>
      <c r="AX184" s="5"/>
      <c r="AY184" s="5"/>
      <c r="AZ184" s="5"/>
      <c r="BA184" s="5"/>
      <c r="BB184" s="5">
        <f t="shared" si="503"/>
        <v>15000</v>
      </c>
      <c r="BD184" s="5">
        <v>5000</v>
      </c>
      <c r="BE184" s="5"/>
      <c r="BF184" s="5">
        <v>0</v>
      </c>
      <c r="BG184" s="5"/>
      <c r="BH184" s="5"/>
      <c r="BI184" s="5"/>
      <c r="BJ184" s="5"/>
      <c r="BK184" s="5">
        <f t="shared" si="504"/>
        <v>5000</v>
      </c>
      <c r="BM184" s="5"/>
      <c r="BN184" s="5"/>
      <c r="BO184" s="5"/>
      <c r="BP184" s="5"/>
      <c r="BQ184" s="5"/>
      <c r="BR184" s="5"/>
      <c r="BS184" s="5"/>
      <c r="BT184" s="5">
        <f t="shared" si="505"/>
        <v>0</v>
      </c>
      <c r="BV184" s="5">
        <f t="shared" si="496"/>
        <v>60000</v>
      </c>
      <c r="BW184" s="5">
        <f t="shared" si="496"/>
        <v>0</v>
      </c>
      <c r="BX184" s="5">
        <f t="shared" si="496"/>
        <v>0</v>
      </c>
      <c r="BY184" s="5">
        <f t="shared" si="496"/>
        <v>0</v>
      </c>
      <c r="BZ184" s="5">
        <f t="shared" si="496"/>
        <v>0</v>
      </c>
      <c r="CA184" s="5">
        <f t="shared" si="496"/>
        <v>0</v>
      </c>
      <c r="CB184" s="5"/>
      <c r="CC184" s="5">
        <f t="shared" si="506"/>
        <v>60000</v>
      </c>
    </row>
    <row r="185" spans="1:81">
      <c r="A185" s="29" t="s">
        <v>165</v>
      </c>
      <c r="B185" s="5">
        <v>2000</v>
      </c>
      <c r="C185" s="5"/>
      <c r="D185" s="5"/>
      <c r="E185" s="5"/>
      <c r="F185" s="5"/>
      <c r="G185" s="5"/>
      <c r="H185" s="5"/>
      <c r="I185" s="5">
        <f t="shared" si="498"/>
        <v>2000</v>
      </c>
      <c r="K185" s="5">
        <v>2000</v>
      </c>
      <c r="L185" s="5"/>
      <c r="M185" s="5"/>
      <c r="N185" s="5"/>
      <c r="O185" s="5"/>
      <c r="P185" s="5"/>
      <c r="Q185" s="5"/>
      <c r="R185" s="5">
        <f t="shared" si="499"/>
        <v>2000</v>
      </c>
      <c r="T185" s="5">
        <v>2000</v>
      </c>
      <c r="U185" s="5"/>
      <c r="V185" s="5"/>
      <c r="W185" s="5"/>
      <c r="X185" s="5"/>
      <c r="Y185" s="5"/>
      <c r="Z185" s="5"/>
      <c r="AA185" s="5">
        <f t="shared" si="500"/>
        <v>2000</v>
      </c>
      <c r="AC185" s="5">
        <v>2000</v>
      </c>
      <c r="AD185" s="5"/>
      <c r="AE185" s="5"/>
      <c r="AF185" s="5"/>
      <c r="AG185" s="5"/>
      <c r="AH185" s="5"/>
      <c r="AI185" s="5"/>
      <c r="AJ185" s="5">
        <f t="shared" si="501"/>
        <v>2000</v>
      </c>
      <c r="AL185" s="5">
        <v>2500</v>
      </c>
      <c r="AM185" s="5"/>
      <c r="AN185" s="5"/>
      <c r="AO185" s="5"/>
      <c r="AP185" s="5"/>
      <c r="AQ185" s="5"/>
      <c r="AR185" s="5"/>
      <c r="AS185" s="5">
        <f t="shared" si="502"/>
        <v>2500</v>
      </c>
      <c r="AU185" s="5">
        <v>1200</v>
      </c>
      <c r="AV185" s="5"/>
      <c r="AW185" s="5"/>
      <c r="AX185" s="5"/>
      <c r="AY185" s="5"/>
      <c r="AZ185" s="5"/>
      <c r="BA185" s="5"/>
      <c r="BB185" s="5">
        <f t="shared" si="503"/>
        <v>1200</v>
      </c>
      <c r="BD185" s="5">
        <v>1000</v>
      </c>
      <c r="BE185" s="5"/>
      <c r="BF185" s="5"/>
      <c r="BG185" s="5"/>
      <c r="BH185" s="5"/>
      <c r="BI185" s="5"/>
      <c r="BJ185" s="5"/>
      <c r="BK185" s="5">
        <f t="shared" si="504"/>
        <v>1000</v>
      </c>
      <c r="BM185" s="5">
        <v>2500</v>
      </c>
      <c r="BN185" s="5"/>
      <c r="BO185" s="5"/>
      <c r="BP185" s="5"/>
      <c r="BQ185" s="5"/>
      <c r="BR185" s="5"/>
      <c r="BS185" s="5"/>
      <c r="BT185" s="5">
        <f t="shared" si="505"/>
        <v>2500</v>
      </c>
      <c r="BV185" s="5">
        <f t="shared" si="496"/>
        <v>15200</v>
      </c>
      <c r="BW185" s="5">
        <f t="shared" si="496"/>
        <v>0</v>
      </c>
      <c r="BX185" s="5">
        <f t="shared" si="496"/>
        <v>0</v>
      </c>
      <c r="BY185" s="5">
        <f t="shared" si="496"/>
        <v>0</v>
      </c>
      <c r="BZ185" s="5">
        <f t="shared" si="496"/>
        <v>0</v>
      </c>
      <c r="CA185" s="5">
        <f t="shared" si="496"/>
        <v>0</v>
      </c>
      <c r="CB185" s="5"/>
      <c r="CC185" s="5">
        <f t="shared" si="506"/>
        <v>15200</v>
      </c>
    </row>
    <row r="186" spans="1:81">
      <c r="A186" s="29" t="s">
        <v>166</v>
      </c>
      <c r="B186" s="5">
        <v>1250</v>
      </c>
      <c r="C186" s="5">
        <v>0</v>
      </c>
      <c r="D186" s="5">
        <v>0</v>
      </c>
      <c r="E186" s="5"/>
      <c r="F186" s="5">
        <v>0</v>
      </c>
      <c r="G186" s="5">
        <v>0</v>
      </c>
      <c r="H186" s="5">
        <v>0</v>
      </c>
      <c r="I186" s="5">
        <f t="shared" si="498"/>
        <v>1250</v>
      </c>
      <c r="K186" s="5">
        <v>1500</v>
      </c>
      <c r="L186" s="5">
        <v>0</v>
      </c>
      <c r="M186" s="5">
        <v>0</v>
      </c>
      <c r="N186" s="5"/>
      <c r="O186" s="5">
        <v>0</v>
      </c>
      <c r="P186" s="5">
        <v>0</v>
      </c>
      <c r="Q186" s="5">
        <v>0</v>
      </c>
      <c r="R186" s="5">
        <f t="shared" si="499"/>
        <v>1500</v>
      </c>
      <c r="T186" s="5">
        <v>1500</v>
      </c>
      <c r="U186" s="5"/>
      <c r="V186" s="5"/>
      <c r="W186" s="5"/>
      <c r="X186" s="5">
        <v>0</v>
      </c>
      <c r="Y186" s="5">
        <v>0</v>
      </c>
      <c r="Z186" s="5">
        <v>0</v>
      </c>
      <c r="AA186" s="5">
        <f t="shared" si="500"/>
        <v>1500</v>
      </c>
      <c r="AC186" s="5">
        <v>5000</v>
      </c>
      <c r="AD186" s="5">
        <v>0</v>
      </c>
      <c r="AE186" s="5">
        <v>0</v>
      </c>
      <c r="AF186" s="5"/>
      <c r="AG186" s="5">
        <v>0</v>
      </c>
      <c r="AH186" s="5">
        <v>0</v>
      </c>
      <c r="AI186" s="5">
        <v>0</v>
      </c>
      <c r="AJ186" s="5">
        <f t="shared" si="501"/>
        <v>5000</v>
      </c>
      <c r="AL186" s="5">
        <v>2500</v>
      </c>
      <c r="AM186" s="5">
        <v>0</v>
      </c>
      <c r="AN186" s="5">
        <v>0</v>
      </c>
      <c r="AO186" s="5"/>
      <c r="AP186" s="5">
        <v>0</v>
      </c>
      <c r="AQ186" s="5">
        <v>0</v>
      </c>
      <c r="AR186" s="5">
        <v>0</v>
      </c>
      <c r="AS186" s="5">
        <f t="shared" si="502"/>
        <v>2500</v>
      </c>
      <c r="AU186" s="5">
        <v>500</v>
      </c>
      <c r="AV186" s="5">
        <v>0</v>
      </c>
      <c r="AW186" s="5">
        <v>0</v>
      </c>
      <c r="AX186" s="5"/>
      <c r="AY186" s="5">
        <v>0</v>
      </c>
      <c r="AZ186" s="5">
        <v>0</v>
      </c>
      <c r="BA186" s="5">
        <v>0</v>
      </c>
      <c r="BB186" s="5">
        <f t="shared" si="503"/>
        <v>500</v>
      </c>
      <c r="BD186" s="5">
        <v>800</v>
      </c>
      <c r="BE186" s="5">
        <v>0</v>
      </c>
      <c r="BF186" s="5">
        <v>0</v>
      </c>
      <c r="BG186" s="5"/>
      <c r="BH186" s="5">
        <v>0</v>
      </c>
      <c r="BI186" s="5">
        <v>0</v>
      </c>
      <c r="BJ186" s="5">
        <v>0</v>
      </c>
      <c r="BK186" s="5">
        <f t="shared" si="504"/>
        <v>800</v>
      </c>
      <c r="BM186" s="5"/>
      <c r="BN186" s="5">
        <v>0</v>
      </c>
      <c r="BO186" s="5">
        <v>0</v>
      </c>
      <c r="BP186" s="5"/>
      <c r="BQ186" s="5">
        <v>0</v>
      </c>
      <c r="BR186" s="5">
        <v>0</v>
      </c>
      <c r="BS186" s="5">
        <v>0</v>
      </c>
      <c r="BT186" s="5">
        <f t="shared" si="505"/>
        <v>0</v>
      </c>
      <c r="BV186" s="5">
        <f t="shared" si="496"/>
        <v>13050</v>
      </c>
      <c r="BW186" s="5">
        <f t="shared" si="496"/>
        <v>0</v>
      </c>
      <c r="BX186" s="5">
        <f t="shared" si="496"/>
        <v>0</v>
      </c>
      <c r="BY186" s="5">
        <f t="shared" si="496"/>
        <v>0</v>
      </c>
      <c r="BZ186" s="5">
        <f t="shared" si="496"/>
        <v>0</v>
      </c>
      <c r="CA186" s="5">
        <f t="shared" si="496"/>
        <v>0</v>
      </c>
      <c r="CB186" s="5">
        <v>0</v>
      </c>
      <c r="CC186" s="5">
        <f t="shared" si="506"/>
        <v>13050</v>
      </c>
    </row>
    <row r="187" spans="1:81">
      <c r="A187" s="29" t="s">
        <v>167</v>
      </c>
      <c r="B187" s="11">
        <f>(5*B17)+2000+3000+2000+2500</f>
        <v>14150</v>
      </c>
      <c r="C187" s="5"/>
      <c r="D187" s="5"/>
      <c r="E187" s="5"/>
      <c r="F187" s="5"/>
      <c r="G187" s="5"/>
      <c r="H187" s="5"/>
      <c r="I187" s="5">
        <f t="shared" si="498"/>
        <v>14150</v>
      </c>
      <c r="K187" s="11">
        <f>(5*K17)+1200+2000+3000+2500</f>
        <v>13860</v>
      </c>
      <c r="L187" s="5"/>
      <c r="M187" s="5"/>
      <c r="N187" s="5"/>
      <c r="O187" s="5"/>
      <c r="P187" s="5"/>
      <c r="Q187" s="5"/>
      <c r="R187" s="5">
        <f t="shared" si="499"/>
        <v>13860</v>
      </c>
      <c r="T187" s="11">
        <f>(5*T17)+2000+3000+2000+1500</f>
        <v>14725</v>
      </c>
      <c r="U187" s="5"/>
      <c r="V187" s="5"/>
      <c r="W187" s="5"/>
      <c r="X187" s="5"/>
      <c r="Y187" s="5"/>
      <c r="Z187" s="5"/>
      <c r="AA187" s="5">
        <f t="shared" si="500"/>
        <v>14725</v>
      </c>
      <c r="AC187" s="11">
        <f>(5*AC17)+3000+5000+2000+2000+2500</f>
        <v>27075</v>
      </c>
      <c r="AD187" s="5"/>
      <c r="AE187" s="5"/>
      <c r="AF187" s="5"/>
      <c r="AG187" s="5"/>
      <c r="AH187" s="5"/>
      <c r="AI187" s="5"/>
      <c r="AJ187" s="5">
        <f t="shared" si="501"/>
        <v>27075</v>
      </c>
      <c r="AL187" s="11">
        <f>(5*AL17)+3000+3000+2000+1500</f>
        <v>21355</v>
      </c>
      <c r="AM187" s="5"/>
      <c r="AN187" s="5"/>
      <c r="AO187" s="5"/>
      <c r="AP187" s="5"/>
      <c r="AQ187" s="5"/>
      <c r="AR187" s="5"/>
      <c r="AS187" s="5">
        <f t="shared" si="502"/>
        <v>21355</v>
      </c>
      <c r="AU187" s="11">
        <f>(5*AU17)+1200</f>
        <v>1900</v>
      </c>
      <c r="AV187" s="5"/>
      <c r="AW187" s="5"/>
      <c r="AX187" s="5"/>
      <c r="AY187" s="5"/>
      <c r="AZ187" s="5"/>
      <c r="BA187" s="5"/>
      <c r="BB187" s="5">
        <f t="shared" si="503"/>
        <v>1900</v>
      </c>
      <c r="BD187" s="11">
        <f>(5*BD17)+1200+1500</f>
        <v>4805</v>
      </c>
      <c r="BE187" s="5"/>
      <c r="BF187" s="5"/>
      <c r="BG187" s="5"/>
      <c r="BH187" s="5"/>
      <c r="BI187" s="5"/>
      <c r="BJ187" s="5"/>
      <c r="BK187" s="5">
        <f t="shared" si="504"/>
        <v>4805</v>
      </c>
      <c r="BM187" s="11"/>
      <c r="BN187" s="5"/>
      <c r="BO187" s="5"/>
      <c r="BP187" s="5"/>
      <c r="BQ187" s="5"/>
      <c r="BR187" s="5"/>
      <c r="BS187" s="5"/>
      <c r="BT187" s="5">
        <f t="shared" si="505"/>
        <v>0</v>
      </c>
      <c r="BV187" s="5">
        <f t="shared" si="496"/>
        <v>97870</v>
      </c>
      <c r="BW187" s="5">
        <f t="shared" si="496"/>
        <v>0</v>
      </c>
      <c r="BX187" s="5">
        <f t="shared" si="496"/>
        <v>0</v>
      </c>
      <c r="BY187" s="5">
        <f t="shared" si="496"/>
        <v>0</v>
      </c>
      <c r="BZ187" s="5">
        <f t="shared" si="496"/>
        <v>0</v>
      </c>
      <c r="CA187" s="5">
        <f t="shared" si="496"/>
        <v>0</v>
      </c>
      <c r="CB187" s="5"/>
      <c r="CC187" s="5">
        <f t="shared" si="506"/>
        <v>97870</v>
      </c>
    </row>
    <row r="188" spans="1:81">
      <c r="A188" s="29" t="s">
        <v>168</v>
      </c>
      <c r="B188" s="11"/>
      <c r="C188" s="5"/>
      <c r="D188" s="5"/>
      <c r="E188" s="5"/>
      <c r="F188" s="5"/>
      <c r="G188" s="5"/>
      <c r="H188" s="5"/>
      <c r="I188" s="5">
        <f t="shared" si="498"/>
        <v>0</v>
      </c>
      <c r="K188" s="11"/>
      <c r="L188" s="5"/>
      <c r="M188" s="5"/>
      <c r="N188" s="5"/>
      <c r="O188" s="5"/>
      <c r="P188" s="5"/>
      <c r="Q188" s="5"/>
      <c r="R188" s="5">
        <f t="shared" si="499"/>
        <v>0</v>
      </c>
      <c r="T188" s="11"/>
      <c r="U188" s="5"/>
      <c r="V188" s="5"/>
      <c r="W188" s="5"/>
      <c r="X188" s="5"/>
      <c r="Y188" s="5"/>
      <c r="Z188" s="5"/>
      <c r="AA188" s="5">
        <f t="shared" si="500"/>
        <v>0</v>
      </c>
      <c r="AC188" s="11"/>
      <c r="AD188" s="5"/>
      <c r="AE188" s="5"/>
      <c r="AF188" s="5"/>
      <c r="AG188" s="5"/>
      <c r="AH188" s="5"/>
      <c r="AI188" s="5"/>
      <c r="AJ188" s="5">
        <f t="shared" si="501"/>
        <v>0</v>
      </c>
      <c r="AL188" s="11"/>
      <c r="AM188" s="5"/>
      <c r="AN188" s="5"/>
      <c r="AO188" s="5"/>
      <c r="AP188" s="5"/>
      <c r="AQ188" s="5"/>
      <c r="AR188" s="5"/>
      <c r="AS188" s="5">
        <f t="shared" si="502"/>
        <v>0</v>
      </c>
      <c r="AU188" s="11"/>
      <c r="AV188" s="5"/>
      <c r="AW188" s="5"/>
      <c r="AX188" s="5"/>
      <c r="AY188" s="5"/>
      <c r="AZ188" s="5"/>
      <c r="BA188" s="5"/>
      <c r="BB188" s="5">
        <f t="shared" si="503"/>
        <v>0</v>
      </c>
      <c r="BD188" s="11"/>
      <c r="BE188" s="5"/>
      <c r="BF188" s="5"/>
      <c r="BG188" s="5"/>
      <c r="BH188" s="5"/>
      <c r="BI188" s="5"/>
      <c r="BJ188" s="5"/>
      <c r="BK188" s="5">
        <f t="shared" si="504"/>
        <v>0</v>
      </c>
      <c r="BM188" s="11"/>
      <c r="BN188" s="5"/>
      <c r="BO188" s="5"/>
      <c r="BP188" s="5"/>
      <c r="BQ188" s="5"/>
      <c r="BR188" s="5"/>
      <c r="BS188" s="5"/>
      <c r="BT188" s="5">
        <f t="shared" si="505"/>
        <v>0</v>
      </c>
      <c r="BV188" s="5">
        <f t="shared" ref="BV188:CA196" si="507">B188+K188+T188+AC188+AL188+AU188+BD188+BM188</f>
        <v>0</v>
      </c>
      <c r="BW188" s="5">
        <f t="shared" si="507"/>
        <v>0</v>
      </c>
      <c r="BX188" s="5">
        <f t="shared" si="507"/>
        <v>0</v>
      </c>
      <c r="BY188" s="5">
        <f t="shared" si="507"/>
        <v>0</v>
      </c>
      <c r="BZ188" s="5">
        <f t="shared" si="507"/>
        <v>0</v>
      </c>
      <c r="CA188" s="5">
        <f t="shared" si="507"/>
        <v>0</v>
      </c>
      <c r="CB188" s="5"/>
      <c r="CC188" s="5">
        <f t="shared" si="506"/>
        <v>0</v>
      </c>
    </row>
    <row r="189" spans="1:81">
      <c r="A189" s="29" t="s">
        <v>169</v>
      </c>
      <c r="B189" s="5"/>
      <c r="C189" s="5"/>
      <c r="D189" s="5"/>
      <c r="E189" s="5"/>
      <c r="F189" s="5"/>
      <c r="G189" s="5"/>
      <c r="H189" s="5"/>
      <c r="I189" s="5">
        <f t="shared" si="498"/>
        <v>0</v>
      </c>
      <c r="K189" s="5"/>
      <c r="L189" s="5"/>
      <c r="M189" s="5"/>
      <c r="N189" s="5"/>
      <c r="O189" s="5"/>
      <c r="P189" s="5"/>
      <c r="Q189" s="5"/>
      <c r="R189" s="5">
        <f t="shared" si="499"/>
        <v>0</v>
      </c>
      <c r="T189" s="5"/>
      <c r="U189" s="5"/>
      <c r="V189" s="5"/>
      <c r="W189" s="5"/>
      <c r="X189" s="5"/>
      <c r="Y189" s="5"/>
      <c r="Z189" s="5"/>
      <c r="AA189" s="5">
        <f t="shared" si="500"/>
        <v>0</v>
      </c>
      <c r="AC189" s="5">
        <v>30000</v>
      </c>
      <c r="AD189" s="5"/>
      <c r="AE189" s="5"/>
      <c r="AF189" s="5"/>
      <c r="AG189" s="5"/>
      <c r="AH189" s="5"/>
      <c r="AI189" s="5"/>
      <c r="AJ189" s="5">
        <f t="shared" si="501"/>
        <v>30000</v>
      </c>
      <c r="AL189" s="5">
        <v>30000</v>
      </c>
      <c r="AM189" s="5"/>
      <c r="AN189" s="5"/>
      <c r="AO189" s="5"/>
      <c r="AP189" s="5"/>
      <c r="AQ189" s="5"/>
      <c r="AR189" s="5"/>
      <c r="AS189" s="5">
        <f t="shared" si="502"/>
        <v>30000</v>
      </c>
      <c r="AU189" s="5"/>
      <c r="AV189" s="5"/>
      <c r="AW189" s="5"/>
      <c r="AX189" s="5"/>
      <c r="AY189" s="5"/>
      <c r="AZ189" s="5"/>
      <c r="BA189" s="5"/>
      <c r="BB189" s="5">
        <f t="shared" si="503"/>
        <v>0</v>
      </c>
      <c r="BD189" s="5"/>
      <c r="BE189" s="5"/>
      <c r="BF189" s="5"/>
      <c r="BG189" s="5"/>
      <c r="BH189" s="5"/>
      <c r="BI189" s="5"/>
      <c r="BJ189" s="5"/>
      <c r="BK189" s="5">
        <f t="shared" si="504"/>
        <v>0</v>
      </c>
      <c r="BM189" s="5"/>
      <c r="BN189" s="5"/>
      <c r="BO189" s="5"/>
      <c r="BP189" s="5"/>
      <c r="BQ189" s="5"/>
      <c r="BR189" s="5"/>
      <c r="BS189" s="5"/>
      <c r="BT189" s="5">
        <f t="shared" si="505"/>
        <v>0</v>
      </c>
      <c r="BV189" s="5">
        <f t="shared" si="507"/>
        <v>60000</v>
      </c>
      <c r="BW189" s="5">
        <f t="shared" si="507"/>
        <v>0</v>
      </c>
      <c r="BX189" s="5">
        <f t="shared" si="507"/>
        <v>0</v>
      </c>
      <c r="BY189" s="5">
        <f t="shared" si="507"/>
        <v>0</v>
      </c>
      <c r="BZ189" s="5">
        <f t="shared" si="507"/>
        <v>0</v>
      </c>
      <c r="CA189" s="5">
        <f t="shared" si="507"/>
        <v>0</v>
      </c>
      <c r="CB189" s="5"/>
      <c r="CC189" s="5">
        <f t="shared" si="506"/>
        <v>60000</v>
      </c>
    </row>
    <row r="190" spans="1:81">
      <c r="A190" s="29" t="s">
        <v>170</v>
      </c>
      <c r="B190" s="11">
        <v>0</v>
      </c>
      <c r="C190" s="5"/>
      <c r="D190" s="5"/>
      <c r="E190" s="5"/>
      <c r="F190" s="5"/>
      <c r="G190" s="5"/>
      <c r="H190" s="5"/>
      <c r="I190" s="5">
        <f t="shared" si="498"/>
        <v>0</v>
      </c>
      <c r="K190" s="11">
        <v>0</v>
      </c>
      <c r="L190" s="5"/>
      <c r="M190" s="5"/>
      <c r="N190" s="5"/>
      <c r="O190" s="5"/>
      <c r="P190" s="5"/>
      <c r="Q190" s="5"/>
      <c r="R190" s="5">
        <f t="shared" si="499"/>
        <v>0</v>
      </c>
      <c r="T190" s="11">
        <v>0</v>
      </c>
      <c r="U190" s="5"/>
      <c r="V190" s="5"/>
      <c r="W190" s="5"/>
      <c r="X190" s="5"/>
      <c r="Y190" s="5"/>
      <c r="Z190" s="5"/>
      <c r="AA190" s="5">
        <f t="shared" si="500"/>
        <v>0</v>
      </c>
      <c r="AC190" s="11">
        <v>0</v>
      </c>
      <c r="AD190" s="5"/>
      <c r="AE190" s="5"/>
      <c r="AF190" s="5"/>
      <c r="AG190" s="5"/>
      <c r="AH190" s="5"/>
      <c r="AI190" s="5"/>
      <c r="AJ190" s="5">
        <f t="shared" si="501"/>
        <v>0</v>
      </c>
      <c r="AL190" s="11">
        <v>0</v>
      </c>
      <c r="AM190" s="5"/>
      <c r="AN190" s="5"/>
      <c r="AO190" s="5"/>
      <c r="AP190" s="5"/>
      <c r="AQ190" s="5"/>
      <c r="AR190" s="5"/>
      <c r="AS190" s="5">
        <f t="shared" si="502"/>
        <v>0</v>
      </c>
      <c r="AU190" s="11">
        <v>0</v>
      </c>
      <c r="AV190" s="5"/>
      <c r="AW190" s="5"/>
      <c r="AX190" s="5"/>
      <c r="AY190" s="5"/>
      <c r="AZ190" s="5"/>
      <c r="BA190" s="5"/>
      <c r="BB190" s="5">
        <f t="shared" si="503"/>
        <v>0</v>
      </c>
      <c r="BD190" s="11">
        <v>0</v>
      </c>
      <c r="BE190" s="5"/>
      <c r="BF190" s="5"/>
      <c r="BG190" s="5"/>
      <c r="BH190" s="5"/>
      <c r="BI190" s="5"/>
      <c r="BJ190" s="5"/>
      <c r="BK190" s="5">
        <f t="shared" si="504"/>
        <v>0</v>
      </c>
      <c r="BM190" s="11"/>
      <c r="BN190" s="5"/>
      <c r="BO190" s="5"/>
      <c r="BP190" s="5"/>
      <c r="BQ190" s="5"/>
      <c r="BR190" s="5"/>
      <c r="BS190" s="5"/>
      <c r="BT190" s="5">
        <f t="shared" si="505"/>
        <v>0</v>
      </c>
      <c r="BV190" s="5">
        <f t="shared" si="507"/>
        <v>0</v>
      </c>
      <c r="BW190" s="5">
        <f t="shared" si="507"/>
        <v>0</v>
      </c>
      <c r="BX190" s="5">
        <f t="shared" si="507"/>
        <v>0</v>
      </c>
      <c r="BY190" s="5">
        <f t="shared" si="507"/>
        <v>0</v>
      </c>
      <c r="BZ190" s="5">
        <f t="shared" si="507"/>
        <v>0</v>
      </c>
      <c r="CA190" s="5">
        <f t="shared" si="507"/>
        <v>0</v>
      </c>
      <c r="CB190" s="5"/>
      <c r="CC190" s="5">
        <f t="shared" si="506"/>
        <v>0</v>
      </c>
    </row>
    <row r="191" spans="1:81">
      <c r="A191" s="29" t="s">
        <v>171</v>
      </c>
      <c r="B191" s="11">
        <v>0</v>
      </c>
      <c r="C191" s="11"/>
      <c r="D191" s="11"/>
      <c r="E191" s="11"/>
      <c r="F191" s="11"/>
      <c r="G191" s="11"/>
      <c r="H191" s="11"/>
      <c r="I191" s="5">
        <f>SUM(B191:H191)</f>
        <v>0</v>
      </c>
      <c r="K191" s="11">
        <v>0</v>
      </c>
      <c r="L191" s="11"/>
      <c r="M191" s="11"/>
      <c r="N191" s="11"/>
      <c r="O191" s="11"/>
      <c r="P191" s="11"/>
      <c r="Q191" s="11"/>
      <c r="R191" s="5">
        <f>SUM(K191:Q191)</f>
        <v>0</v>
      </c>
      <c r="T191" s="11">
        <v>0</v>
      </c>
      <c r="U191" s="11"/>
      <c r="V191" s="11"/>
      <c r="W191" s="11"/>
      <c r="X191" s="11"/>
      <c r="Y191" s="11"/>
      <c r="Z191" s="11"/>
      <c r="AA191" s="5">
        <f>SUM(T191:Z191)</f>
        <v>0</v>
      </c>
      <c r="AC191" s="11">
        <v>0</v>
      </c>
      <c r="AD191" s="11"/>
      <c r="AE191" s="11"/>
      <c r="AF191" s="11"/>
      <c r="AG191" s="11"/>
      <c r="AH191" s="11"/>
      <c r="AI191" s="11"/>
      <c r="AJ191" s="5">
        <f>SUM(AC191:AI191)</f>
        <v>0</v>
      </c>
      <c r="AL191" s="11">
        <v>120000</v>
      </c>
      <c r="AM191" s="11"/>
      <c r="AN191" s="11"/>
      <c r="AO191" s="11"/>
      <c r="AP191" s="11"/>
      <c r="AQ191" s="11"/>
      <c r="AR191" s="11"/>
      <c r="AS191" s="5">
        <f>SUM(AL191:AR191)</f>
        <v>120000</v>
      </c>
      <c r="AU191" s="11"/>
      <c r="AV191" s="11"/>
      <c r="AW191" s="11"/>
      <c r="AX191" s="11"/>
      <c r="AY191" s="11"/>
      <c r="AZ191" s="11"/>
      <c r="BA191" s="11"/>
      <c r="BB191" s="5">
        <f>SUM(AU191:BA191)</f>
        <v>0</v>
      </c>
      <c r="BD191" s="11">
        <v>0</v>
      </c>
      <c r="BE191" s="11"/>
      <c r="BF191" s="11"/>
      <c r="BG191" s="11"/>
      <c r="BH191" s="11"/>
      <c r="BI191" s="11"/>
      <c r="BJ191" s="11"/>
      <c r="BK191" s="5">
        <f>SUM(BD191:BJ191)</f>
        <v>0</v>
      </c>
      <c r="BM191" s="11"/>
      <c r="BN191" s="11"/>
      <c r="BO191" s="11"/>
      <c r="BP191" s="11"/>
      <c r="BQ191" s="11"/>
      <c r="BR191" s="11"/>
      <c r="BS191" s="11"/>
      <c r="BT191" s="5">
        <f>SUM(BM191:BS191)</f>
        <v>0</v>
      </c>
      <c r="BV191" s="5">
        <f t="shared" si="507"/>
        <v>120000</v>
      </c>
      <c r="BW191" s="5">
        <f t="shared" si="507"/>
        <v>0</v>
      </c>
      <c r="BX191" s="5">
        <f t="shared" si="507"/>
        <v>0</v>
      </c>
      <c r="BY191" s="5">
        <f t="shared" si="507"/>
        <v>0</v>
      </c>
      <c r="BZ191" s="5">
        <f t="shared" si="507"/>
        <v>0</v>
      </c>
      <c r="CA191" s="5">
        <f t="shared" si="507"/>
        <v>0</v>
      </c>
      <c r="CB191" s="11"/>
      <c r="CC191" s="5">
        <f>SUM(BV191:CB191)</f>
        <v>120000</v>
      </c>
    </row>
    <row r="192" spans="1:81">
      <c r="A192" s="29" t="s">
        <v>172</v>
      </c>
      <c r="B192" s="11"/>
      <c r="C192" s="5"/>
      <c r="D192" s="5"/>
      <c r="E192" s="5"/>
      <c r="F192" s="5"/>
      <c r="G192" s="5"/>
      <c r="H192" s="5"/>
      <c r="I192" s="5">
        <f t="shared" ref="I192:I196" si="508">SUM(B192:H192)</f>
        <v>0</v>
      </c>
      <c r="K192" s="11"/>
      <c r="L192" s="5"/>
      <c r="M192" s="5"/>
      <c r="N192" s="5"/>
      <c r="O192" s="5"/>
      <c r="P192" s="5"/>
      <c r="Q192" s="5"/>
      <c r="R192" s="5">
        <f t="shared" ref="R192:R196" si="509">SUM(K192:Q192)</f>
        <v>0</v>
      </c>
      <c r="T192" s="11"/>
      <c r="U192" s="5"/>
      <c r="V192" s="5"/>
      <c r="W192" s="5"/>
      <c r="X192" s="5"/>
      <c r="Y192" s="5"/>
      <c r="Z192" s="5"/>
      <c r="AA192" s="5">
        <f t="shared" ref="AA192:AA196" si="510">SUM(T192:Z192)</f>
        <v>0</v>
      </c>
      <c r="AC192" s="11"/>
      <c r="AD192" s="5"/>
      <c r="AE192" s="5"/>
      <c r="AF192" s="5"/>
      <c r="AG192" s="5"/>
      <c r="AH192" s="5"/>
      <c r="AI192" s="5"/>
      <c r="AJ192" s="5">
        <f t="shared" ref="AJ192:AJ196" si="511">SUM(AC192:AI192)</f>
        <v>0</v>
      </c>
      <c r="AL192" s="11"/>
      <c r="AM192" s="5"/>
      <c r="AN192" s="5"/>
      <c r="AO192" s="5"/>
      <c r="AP192" s="5"/>
      <c r="AQ192" s="5"/>
      <c r="AR192" s="5"/>
      <c r="AS192" s="5">
        <f t="shared" ref="AS192:AS196" si="512">SUM(AL192:AR192)</f>
        <v>0</v>
      </c>
      <c r="AU192" s="11"/>
      <c r="AV192" s="5"/>
      <c r="AW192" s="5"/>
      <c r="AX192" s="5"/>
      <c r="AY192" s="5"/>
      <c r="AZ192" s="5"/>
      <c r="BA192" s="5"/>
      <c r="BB192" s="5">
        <f t="shared" ref="BB192:BB196" si="513">SUM(AU192:BA192)</f>
        <v>0</v>
      </c>
      <c r="BD192" s="11"/>
      <c r="BE192" s="5"/>
      <c r="BF192" s="5"/>
      <c r="BG192" s="5"/>
      <c r="BH192" s="5"/>
      <c r="BI192" s="5"/>
      <c r="BJ192" s="5"/>
      <c r="BK192" s="5">
        <f t="shared" ref="BK192:BK196" si="514">SUM(BD192:BJ192)</f>
        <v>0</v>
      </c>
      <c r="BM192" s="11"/>
      <c r="BN192" s="5"/>
      <c r="BO192" s="5"/>
      <c r="BP192" s="5"/>
      <c r="BQ192" s="5"/>
      <c r="BR192" s="5"/>
      <c r="BS192" s="5"/>
      <c r="BT192" s="5">
        <f t="shared" ref="BT192:BT196" si="515">SUM(BM192:BS192)</f>
        <v>0</v>
      </c>
      <c r="BV192" s="5">
        <f t="shared" si="507"/>
        <v>0</v>
      </c>
      <c r="BW192" s="5">
        <f t="shared" si="507"/>
        <v>0</v>
      </c>
      <c r="BX192" s="5">
        <f t="shared" si="507"/>
        <v>0</v>
      </c>
      <c r="BY192" s="5">
        <f t="shared" si="507"/>
        <v>0</v>
      </c>
      <c r="BZ192" s="5">
        <f t="shared" si="507"/>
        <v>0</v>
      </c>
      <c r="CA192" s="5">
        <f t="shared" si="507"/>
        <v>0</v>
      </c>
      <c r="CB192" s="5"/>
      <c r="CC192" s="5">
        <f t="shared" ref="CC192:CC196" si="516">SUM(BV192:CB192)</f>
        <v>0</v>
      </c>
    </row>
    <row r="193" spans="1:82">
      <c r="A193" s="29" t="s">
        <v>173</v>
      </c>
      <c r="B193" s="11">
        <v>0</v>
      </c>
      <c r="C193" s="5"/>
      <c r="D193" s="5"/>
      <c r="E193" s="5"/>
      <c r="F193" s="5"/>
      <c r="G193" s="5"/>
      <c r="H193" s="5"/>
      <c r="I193" s="5">
        <f t="shared" si="508"/>
        <v>0</v>
      </c>
      <c r="K193" s="11">
        <v>0</v>
      </c>
      <c r="L193" s="5"/>
      <c r="M193" s="5"/>
      <c r="N193" s="5"/>
      <c r="O193" s="5"/>
      <c r="P193" s="5"/>
      <c r="Q193" s="5"/>
      <c r="R193" s="5">
        <f t="shared" si="509"/>
        <v>0</v>
      </c>
      <c r="T193" s="11">
        <v>0</v>
      </c>
      <c r="U193" s="5"/>
      <c r="V193" s="5"/>
      <c r="W193" s="5"/>
      <c r="X193" s="5"/>
      <c r="Y193" s="5"/>
      <c r="Z193" s="5"/>
      <c r="AA193" s="5">
        <f t="shared" si="510"/>
        <v>0</v>
      </c>
      <c r="AC193" s="11">
        <v>0</v>
      </c>
      <c r="AD193" s="5"/>
      <c r="AE193" s="5"/>
      <c r="AF193" s="5"/>
      <c r="AG193" s="5"/>
      <c r="AH193" s="5"/>
      <c r="AI193" s="5"/>
      <c r="AJ193" s="5">
        <f t="shared" si="511"/>
        <v>0</v>
      </c>
      <c r="AL193" s="11">
        <v>0</v>
      </c>
      <c r="AM193" s="5"/>
      <c r="AN193" s="5"/>
      <c r="AO193" s="5"/>
      <c r="AP193" s="5"/>
      <c r="AQ193" s="5"/>
      <c r="AR193" s="5"/>
      <c r="AS193" s="5">
        <f t="shared" si="512"/>
        <v>0</v>
      </c>
      <c r="AU193" s="11">
        <v>0</v>
      </c>
      <c r="AV193" s="5"/>
      <c r="AW193" s="5"/>
      <c r="AX193" s="5"/>
      <c r="AY193" s="5"/>
      <c r="AZ193" s="5"/>
      <c r="BA193" s="5"/>
      <c r="BB193" s="5">
        <f t="shared" si="513"/>
        <v>0</v>
      </c>
      <c r="BD193" s="11">
        <v>0</v>
      </c>
      <c r="BE193" s="5"/>
      <c r="BF193" s="5"/>
      <c r="BG193" s="5"/>
      <c r="BH193" s="5"/>
      <c r="BI193" s="5"/>
      <c r="BJ193" s="5"/>
      <c r="BK193" s="5">
        <f t="shared" si="514"/>
        <v>0</v>
      </c>
      <c r="BM193" s="11"/>
      <c r="BN193" s="5"/>
      <c r="BO193" s="5"/>
      <c r="BP193" s="5"/>
      <c r="BQ193" s="5"/>
      <c r="BR193" s="5"/>
      <c r="BS193" s="5"/>
      <c r="BT193" s="5">
        <f t="shared" si="515"/>
        <v>0</v>
      </c>
      <c r="BV193" s="5">
        <f t="shared" si="507"/>
        <v>0</v>
      </c>
      <c r="BW193" s="5">
        <f t="shared" si="507"/>
        <v>0</v>
      </c>
      <c r="BX193" s="5">
        <f t="shared" si="507"/>
        <v>0</v>
      </c>
      <c r="BY193" s="5">
        <f t="shared" si="507"/>
        <v>0</v>
      </c>
      <c r="BZ193" s="5">
        <f t="shared" si="507"/>
        <v>0</v>
      </c>
      <c r="CA193" s="5">
        <f t="shared" si="507"/>
        <v>0</v>
      </c>
      <c r="CB193" s="5"/>
      <c r="CC193" s="5">
        <f t="shared" si="516"/>
        <v>0</v>
      </c>
    </row>
    <row r="194" spans="1:82">
      <c r="A194" s="29" t="s">
        <v>174</v>
      </c>
      <c r="B194" s="11"/>
      <c r="C194" s="5"/>
      <c r="D194" s="5"/>
      <c r="E194" s="5"/>
      <c r="F194" s="5"/>
      <c r="G194" s="5">
        <v>275000</v>
      </c>
      <c r="H194" s="5"/>
      <c r="I194" s="5">
        <f t="shared" si="508"/>
        <v>275000</v>
      </c>
      <c r="K194" s="11"/>
      <c r="L194" s="5"/>
      <c r="M194" s="5"/>
      <c r="N194" s="5"/>
      <c r="O194" s="5"/>
      <c r="P194" s="5">
        <v>800000</v>
      </c>
      <c r="Q194" s="5"/>
      <c r="R194" s="5">
        <f t="shared" si="509"/>
        <v>800000</v>
      </c>
      <c r="T194" s="11"/>
      <c r="U194" s="5"/>
      <c r="V194" s="5"/>
      <c r="W194" s="5"/>
      <c r="X194" s="5"/>
      <c r="Y194" s="5">
        <v>800000</v>
      </c>
      <c r="Z194" s="5"/>
      <c r="AA194" s="5">
        <f t="shared" si="510"/>
        <v>800000</v>
      </c>
      <c r="AC194" s="11"/>
      <c r="AD194" s="5"/>
      <c r="AE194" s="5"/>
      <c r="AF194" s="5"/>
      <c r="AG194" s="5"/>
      <c r="AH194" s="5">
        <v>1250000</v>
      </c>
      <c r="AI194" s="5"/>
      <c r="AJ194" s="5">
        <f t="shared" si="511"/>
        <v>1250000</v>
      </c>
      <c r="AL194" s="11"/>
      <c r="AM194" s="5"/>
      <c r="AN194" s="5"/>
      <c r="AO194" s="5"/>
      <c r="AP194" s="5"/>
      <c r="AQ194" s="5">
        <v>2000000</v>
      </c>
      <c r="AR194" s="5"/>
      <c r="AS194" s="5">
        <f t="shared" si="512"/>
        <v>2000000</v>
      </c>
      <c r="AU194" s="11"/>
      <c r="AV194" s="5"/>
      <c r="AW194" s="5"/>
      <c r="AX194" s="5"/>
      <c r="AY194" s="5"/>
      <c r="AZ194" s="5"/>
      <c r="BA194" s="5"/>
      <c r="BB194" s="5"/>
      <c r="BD194" s="11"/>
      <c r="BE194" s="5"/>
      <c r="BF194" s="5"/>
      <c r="BG194" s="5"/>
      <c r="BH194" s="5"/>
      <c r="BI194" s="5">
        <v>50000</v>
      </c>
      <c r="BJ194" s="5"/>
      <c r="BK194" s="5">
        <f t="shared" si="514"/>
        <v>50000</v>
      </c>
      <c r="BM194" s="11"/>
      <c r="BN194" s="5"/>
      <c r="BO194" s="5"/>
      <c r="BP194" s="5"/>
      <c r="BQ194" s="5"/>
      <c r="BR194" s="5"/>
      <c r="BS194" s="5"/>
      <c r="BT194" s="5"/>
      <c r="BV194" s="5">
        <f t="shared" si="507"/>
        <v>0</v>
      </c>
      <c r="BW194" s="5">
        <f t="shared" si="507"/>
        <v>0</v>
      </c>
      <c r="BX194" s="5">
        <f t="shared" si="507"/>
        <v>0</v>
      </c>
      <c r="BY194" s="5">
        <f t="shared" si="507"/>
        <v>0</v>
      </c>
      <c r="BZ194" s="5">
        <f t="shared" si="507"/>
        <v>0</v>
      </c>
      <c r="CA194" s="5">
        <f t="shared" si="507"/>
        <v>5175000</v>
      </c>
      <c r="CB194" s="5"/>
      <c r="CC194" s="5">
        <f t="shared" si="516"/>
        <v>5175000</v>
      </c>
    </row>
    <row r="195" spans="1:82">
      <c r="A195" s="29" t="s">
        <v>175</v>
      </c>
      <c r="B195" s="11">
        <v>12000</v>
      </c>
      <c r="C195" s="5"/>
      <c r="D195" s="5"/>
      <c r="E195" s="5"/>
      <c r="F195" s="5"/>
      <c r="G195" s="5"/>
      <c r="H195" s="5"/>
      <c r="I195" s="5">
        <f t="shared" si="508"/>
        <v>12000</v>
      </c>
      <c r="K195" s="11">
        <v>15000</v>
      </c>
      <c r="L195" s="5"/>
      <c r="M195" s="5"/>
      <c r="N195" s="5"/>
      <c r="O195" s="5"/>
      <c r="P195" s="5"/>
      <c r="Q195" s="5"/>
      <c r="R195" s="5">
        <f t="shared" si="509"/>
        <v>15000</v>
      </c>
      <c r="T195" s="11">
        <v>12500</v>
      </c>
      <c r="U195" s="5"/>
      <c r="V195" s="5"/>
      <c r="W195" s="5"/>
      <c r="X195" s="5"/>
      <c r="Y195" s="5"/>
      <c r="Z195" s="5"/>
      <c r="AA195" s="5">
        <f t="shared" si="510"/>
        <v>12500</v>
      </c>
      <c r="AC195" s="11">
        <v>20000</v>
      </c>
      <c r="AD195" s="5"/>
      <c r="AE195" s="5"/>
      <c r="AF195" s="5"/>
      <c r="AG195" s="5"/>
      <c r="AH195" s="5"/>
      <c r="AI195" s="5"/>
      <c r="AJ195" s="5">
        <f t="shared" si="511"/>
        <v>20000</v>
      </c>
      <c r="AL195" s="11">
        <v>12000</v>
      </c>
      <c r="AM195" s="5"/>
      <c r="AN195" s="5"/>
      <c r="AO195" s="5"/>
      <c r="AP195" s="5"/>
      <c r="AQ195" s="5"/>
      <c r="AR195" s="5"/>
      <c r="AS195" s="5">
        <f t="shared" si="512"/>
        <v>12000</v>
      </c>
      <c r="AU195" s="11">
        <v>2000</v>
      </c>
      <c r="AV195" s="5"/>
      <c r="AW195" s="5"/>
      <c r="AX195" s="5"/>
      <c r="AY195" s="5"/>
      <c r="AZ195" s="5"/>
      <c r="BA195" s="5"/>
      <c r="BB195" s="5">
        <f t="shared" si="513"/>
        <v>2000</v>
      </c>
      <c r="BD195" s="11">
        <v>3000</v>
      </c>
      <c r="BE195" s="5"/>
      <c r="BF195" s="5"/>
      <c r="BG195" s="5"/>
      <c r="BH195" s="5"/>
      <c r="BI195" s="5"/>
      <c r="BJ195" s="5"/>
      <c r="BK195" s="5">
        <f t="shared" si="514"/>
        <v>3000</v>
      </c>
      <c r="BM195" s="11"/>
      <c r="BN195" s="5"/>
      <c r="BO195" s="5"/>
      <c r="BP195" s="5"/>
      <c r="BQ195" s="5"/>
      <c r="BR195" s="5"/>
      <c r="BS195" s="5"/>
      <c r="BT195" s="5">
        <f t="shared" si="515"/>
        <v>0</v>
      </c>
      <c r="BV195" s="5">
        <f t="shared" si="507"/>
        <v>76500</v>
      </c>
      <c r="BW195" s="5">
        <f t="shared" si="507"/>
        <v>0</v>
      </c>
      <c r="BX195" s="5">
        <f t="shared" si="507"/>
        <v>0</v>
      </c>
      <c r="BY195" s="5">
        <f t="shared" si="507"/>
        <v>0</v>
      </c>
      <c r="BZ195" s="5">
        <f t="shared" si="507"/>
        <v>0</v>
      </c>
      <c r="CA195" s="5">
        <f t="shared" si="507"/>
        <v>0</v>
      </c>
      <c r="CB195" s="5"/>
      <c r="CC195" s="5">
        <f t="shared" si="516"/>
        <v>76500</v>
      </c>
    </row>
    <row r="196" spans="1:82">
      <c r="A196" s="78" t="s">
        <v>176</v>
      </c>
      <c r="B196" s="5">
        <f>B74*0.02</f>
        <v>180420</v>
      </c>
      <c r="C196" s="5"/>
      <c r="D196" s="5"/>
      <c r="E196" s="5"/>
      <c r="F196" s="5"/>
      <c r="G196" s="5"/>
      <c r="H196" s="5"/>
      <c r="I196" s="5">
        <f t="shared" si="508"/>
        <v>180420</v>
      </c>
      <c r="J196" s="63">
        <f>I196/I74</f>
        <v>0.02</v>
      </c>
      <c r="K196" s="5">
        <f>K74*0.05</f>
        <v>500520</v>
      </c>
      <c r="L196" s="5"/>
      <c r="M196" s="5"/>
      <c r="N196" s="5"/>
      <c r="O196" s="5"/>
      <c r="P196" s="5"/>
      <c r="Q196" s="5"/>
      <c r="R196" s="5">
        <f t="shared" si="509"/>
        <v>500520</v>
      </c>
      <c r="S196" s="63">
        <f>R196/R74</f>
        <v>0.05</v>
      </c>
      <c r="T196" s="5">
        <f>T74*0.05</f>
        <v>603825</v>
      </c>
      <c r="U196" s="5"/>
      <c r="V196" s="5"/>
      <c r="W196" s="5"/>
      <c r="X196" s="5"/>
      <c r="Y196" s="5"/>
      <c r="Z196" s="5"/>
      <c r="AA196" s="5">
        <f t="shared" si="510"/>
        <v>603825</v>
      </c>
      <c r="AB196" s="63">
        <f>AA196/AA74</f>
        <v>0.05</v>
      </c>
      <c r="AC196" s="5">
        <f>AC74*0.05</f>
        <v>1219775</v>
      </c>
      <c r="AD196" s="5"/>
      <c r="AE196" s="5"/>
      <c r="AF196" s="5"/>
      <c r="AG196" s="5"/>
      <c r="AH196" s="5"/>
      <c r="AI196" s="5"/>
      <c r="AJ196" s="5">
        <f t="shared" si="511"/>
        <v>1219775</v>
      </c>
      <c r="AK196" s="63">
        <f>AJ196/AJ74</f>
        <v>0.05</v>
      </c>
      <c r="AL196" s="5">
        <f>AL74*0.0125</f>
        <v>287483.75</v>
      </c>
      <c r="AM196" s="5"/>
      <c r="AN196" s="5"/>
      <c r="AO196" s="5"/>
      <c r="AP196" s="5"/>
      <c r="AQ196" s="5"/>
      <c r="AR196" s="5"/>
      <c r="AS196" s="5">
        <f t="shared" si="512"/>
        <v>287483.75</v>
      </c>
      <c r="AT196" s="63">
        <f>AS196/AS74</f>
        <v>1.2500000000000001E-2</v>
      </c>
      <c r="AU196" s="5">
        <f>AU74*0.1</f>
        <v>135800</v>
      </c>
      <c r="AV196" s="5"/>
      <c r="AW196" s="5"/>
      <c r="AX196" s="5"/>
      <c r="AY196" s="5"/>
      <c r="AZ196" s="5"/>
      <c r="BA196" s="5"/>
      <c r="BB196" s="5">
        <f t="shared" si="513"/>
        <v>135800</v>
      </c>
      <c r="BC196" s="63">
        <f>BB196/BB74</f>
        <v>0.1</v>
      </c>
      <c r="BD196" s="5">
        <f>BD74*0.025</f>
        <v>102092.5</v>
      </c>
      <c r="BE196" s="5"/>
      <c r="BF196" s="5"/>
      <c r="BG196" s="5"/>
      <c r="BH196" s="5"/>
      <c r="BI196" s="5"/>
      <c r="BJ196" s="5"/>
      <c r="BK196" s="5">
        <f t="shared" si="514"/>
        <v>102092.5</v>
      </c>
      <c r="BL196" s="63">
        <f>BK196/BK74</f>
        <v>2.5000000000000001E-2</v>
      </c>
      <c r="BM196" s="5"/>
      <c r="BN196" s="5"/>
      <c r="BO196" s="5"/>
      <c r="BP196" s="5"/>
      <c r="BQ196" s="5"/>
      <c r="BR196" s="5"/>
      <c r="BS196" s="5"/>
      <c r="BT196" s="5">
        <f t="shared" si="515"/>
        <v>0</v>
      </c>
      <c r="BU196" s="63" t="e">
        <f>BT196/BT74</f>
        <v>#DIV/0!</v>
      </c>
      <c r="BV196" s="5">
        <f t="shared" si="507"/>
        <v>3029916.25</v>
      </c>
      <c r="BW196" s="5">
        <f t="shared" si="507"/>
        <v>0</v>
      </c>
      <c r="BX196" s="5">
        <f t="shared" si="507"/>
        <v>0</v>
      </c>
      <c r="BY196" s="5">
        <f t="shared" si="507"/>
        <v>0</v>
      </c>
      <c r="BZ196" s="5">
        <f t="shared" si="507"/>
        <v>0</v>
      </c>
      <c r="CA196" s="5">
        <f t="shared" si="507"/>
        <v>0</v>
      </c>
      <c r="CB196" s="5"/>
      <c r="CC196" s="5">
        <f t="shared" si="516"/>
        <v>3029916.25</v>
      </c>
      <c r="CD196" s="63">
        <f>CC196/CC74</f>
        <v>3.6094580540790386E-2</v>
      </c>
    </row>
    <row r="197" spans="1:82" ht="15">
      <c r="A197" s="70" t="s">
        <v>177</v>
      </c>
      <c r="B197" s="71">
        <f>SUM(B172:B196)</f>
        <v>363175.49375000002</v>
      </c>
      <c r="C197" s="71">
        <f t="shared" ref="C197:I197" si="517">SUM(C172:C196)</f>
        <v>0</v>
      </c>
      <c r="D197" s="71">
        <f t="shared" si="517"/>
        <v>313875</v>
      </c>
      <c r="E197" s="71">
        <f t="shared" si="517"/>
        <v>0</v>
      </c>
      <c r="F197" s="71">
        <f t="shared" si="517"/>
        <v>0</v>
      </c>
      <c r="G197" s="71">
        <f t="shared" si="517"/>
        <v>275000</v>
      </c>
      <c r="H197" s="71">
        <f t="shared" si="517"/>
        <v>0</v>
      </c>
      <c r="I197" s="71">
        <f t="shared" si="517"/>
        <v>952050.49375000002</v>
      </c>
      <c r="J197" s="7"/>
      <c r="K197" s="71">
        <f>SUM(K172:K196)</f>
        <v>700015.15</v>
      </c>
      <c r="L197" s="71">
        <f t="shared" ref="L197:R197" si="518">SUM(L172:L196)</f>
        <v>0</v>
      </c>
      <c r="M197" s="71">
        <f t="shared" si="518"/>
        <v>236844.00000000003</v>
      </c>
      <c r="N197" s="71">
        <f t="shared" si="518"/>
        <v>0</v>
      </c>
      <c r="O197" s="71">
        <f t="shared" si="518"/>
        <v>0</v>
      </c>
      <c r="P197" s="71">
        <f t="shared" si="518"/>
        <v>800000</v>
      </c>
      <c r="Q197" s="71">
        <f t="shared" si="518"/>
        <v>0</v>
      </c>
      <c r="R197" s="71">
        <f t="shared" si="518"/>
        <v>1736859.15</v>
      </c>
      <c r="T197" s="71">
        <f t="shared" ref="T197:AA197" si="519">SUM(T172:T196)</f>
        <v>833475.73750000005</v>
      </c>
      <c r="U197" s="71">
        <f t="shared" si="519"/>
        <v>0</v>
      </c>
      <c r="V197" s="71">
        <f t="shared" si="519"/>
        <v>138661.875</v>
      </c>
      <c r="W197" s="71">
        <f t="shared" si="519"/>
        <v>0</v>
      </c>
      <c r="X197" s="71">
        <f t="shared" si="519"/>
        <v>0</v>
      </c>
      <c r="Y197" s="71">
        <f t="shared" si="519"/>
        <v>800000</v>
      </c>
      <c r="Z197" s="71">
        <f t="shared" si="519"/>
        <v>0</v>
      </c>
      <c r="AA197" s="71">
        <f t="shared" si="519"/>
        <v>1772137.6125</v>
      </c>
      <c r="AC197" s="71">
        <f>SUM(AC172:AC196)</f>
        <v>1621479.5375000001</v>
      </c>
      <c r="AD197" s="71">
        <f t="shared" ref="AD197:AJ197" si="520">SUM(AD172:AD196)</f>
        <v>0</v>
      </c>
      <c r="AE197" s="71">
        <f t="shared" si="520"/>
        <v>746955</v>
      </c>
      <c r="AF197" s="71">
        <f t="shared" si="520"/>
        <v>0</v>
      </c>
      <c r="AG197" s="71">
        <f t="shared" si="520"/>
        <v>0</v>
      </c>
      <c r="AH197" s="71">
        <f t="shared" si="520"/>
        <v>1250000</v>
      </c>
      <c r="AI197" s="71">
        <f t="shared" si="520"/>
        <v>0</v>
      </c>
      <c r="AJ197" s="71">
        <f t="shared" si="520"/>
        <v>3618434.5375000001</v>
      </c>
      <c r="AL197" s="71">
        <f>SUM(AL172:AL196)</f>
        <v>766641.32499999995</v>
      </c>
      <c r="AM197" s="71">
        <f t="shared" ref="AM197:AS197" si="521">SUM(AM172:AM196)</f>
        <v>0</v>
      </c>
      <c r="AN197" s="71">
        <f t="shared" si="521"/>
        <v>480127.5</v>
      </c>
      <c r="AO197" s="71">
        <f t="shared" si="521"/>
        <v>0</v>
      </c>
      <c r="AP197" s="71">
        <f t="shared" si="521"/>
        <v>0</v>
      </c>
      <c r="AQ197" s="71">
        <f t="shared" si="521"/>
        <v>2000000</v>
      </c>
      <c r="AR197" s="71">
        <f t="shared" si="521"/>
        <v>0</v>
      </c>
      <c r="AS197" s="71">
        <f t="shared" si="521"/>
        <v>3246768.8250000002</v>
      </c>
      <c r="AU197" s="71">
        <f>SUM(AU172:AU196)</f>
        <v>174288.75</v>
      </c>
      <c r="AV197" s="71">
        <f t="shared" ref="AV197:BB197" si="522">SUM(AV172:AV196)</f>
        <v>0</v>
      </c>
      <c r="AW197" s="71">
        <f t="shared" si="522"/>
        <v>2835</v>
      </c>
      <c r="AX197" s="71">
        <f t="shared" si="522"/>
        <v>0</v>
      </c>
      <c r="AY197" s="71">
        <f t="shared" si="522"/>
        <v>0</v>
      </c>
      <c r="AZ197" s="71">
        <f t="shared" si="522"/>
        <v>0</v>
      </c>
      <c r="BA197" s="71">
        <f t="shared" si="522"/>
        <v>0</v>
      </c>
      <c r="BB197" s="71">
        <f t="shared" si="522"/>
        <v>177123.75</v>
      </c>
      <c r="BD197" s="71">
        <f>SUM(BD172:BD196)</f>
        <v>159063.29999999999</v>
      </c>
      <c r="BE197" s="71">
        <f t="shared" ref="BE197:BK197" si="523">SUM(BE172:BE196)</f>
        <v>0</v>
      </c>
      <c r="BF197" s="71">
        <f t="shared" si="523"/>
        <v>437743.17000000004</v>
      </c>
      <c r="BG197" s="71">
        <f t="shared" si="523"/>
        <v>0</v>
      </c>
      <c r="BH197" s="71">
        <f t="shared" si="523"/>
        <v>0</v>
      </c>
      <c r="BI197" s="71">
        <f t="shared" si="523"/>
        <v>50000</v>
      </c>
      <c r="BJ197" s="71">
        <f t="shared" si="523"/>
        <v>0</v>
      </c>
      <c r="BK197" s="71">
        <f t="shared" si="523"/>
        <v>646806.47</v>
      </c>
      <c r="BM197" s="71">
        <f>SUM(BM172:BM196)</f>
        <v>2500</v>
      </c>
      <c r="BN197" s="71">
        <f t="shared" ref="BN197:BT197" si="524">SUM(BN172:BN196)</f>
        <v>0</v>
      </c>
      <c r="BO197" s="71">
        <f t="shared" si="524"/>
        <v>0</v>
      </c>
      <c r="BP197" s="71">
        <f t="shared" si="524"/>
        <v>0</v>
      </c>
      <c r="BQ197" s="71">
        <f t="shared" si="524"/>
        <v>0</v>
      </c>
      <c r="BR197" s="71">
        <f t="shared" si="524"/>
        <v>0</v>
      </c>
      <c r="BS197" s="71">
        <f t="shared" si="524"/>
        <v>0</v>
      </c>
      <c r="BT197" s="71">
        <f t="shared" si="524"/>
        <v>2500</v>
      </c>
      <c r="BV197" s="71">
        <f>SUM(BV172:BV196)</f>
        <v>4620639.2937500002</v>
      </c>
      <c r="BW197" s="71">
        <f t="shared" ref="BW197:CB197" si="525">SUM(BW172:BW196)</f>
        <v>0</v>
      </c>
      <c r="BX197" s="71">
        <f t="shared" si="525"/>
        <v>2357041.5449999999</v>
      </c>
      <c r="BY197" s="71">
        <f t="shared" si="525"/>
        <v>0</v>
      </c>
      <c r="BZ197" s="71">
        <f t="shared" si="525"/>
        <v>0</v>
      </c>
      <c r="CA197" s="71">
        <f t="shared" si="525"/>
        <v>5175000</v>
      </c>
      <c r="CB197" s="71">
        <f t="shared" si="525"/>
        <v>0</v>
      </c>
      <c r="CC197" s="71">
        <f>SUM(CC172:CC196)</f>
        <v>12152680.838750001</v>
      </c>
    </row>
    <row r="198" spans="1:82" ht="15">
      <c r="A198" s="75" t="s">
        <v>178</v>
      </c>
      <c r="B198" s="18" t="str">
        <f t="shared" ref="B198:I198" si="526">B1</f>
        <v>Operating</v>
      </c>
      <c r="C198" s="18" t="str">
        <f t="shared" si="526"/>
        <v>SPED</v>
      </c>
      <c r="D198" s="18" t="str">
        <f t="shared" si="526"/>
        <v>NSLP</v>
      </c>
      <c r="E198" s="18" t="str">
        <f t="shared" si="526"/>
        <v>Other</v>
      </c>
      <c r="F198" s="18" t="str">
        <f t="shared" si="526"/>
        <v>Title I</v>
      </c>
      <c r="G198" s="18" t="str">
        <f t="shared" si="526"/>
        <v>SGF</v>
      </c>
      <c r="H198" s="18" t="str">
        <f t="shared" si="526"/>
        <v>Title III</v>
      </c>
      <c r="I198" s="18" t="str">
        <f t="shared" si="526"/>
        <v>Horizon</v>
      </c>
      <c r="J198" s="7"/>
      <c r="K198" s="18" t="str">
        <f t="shared" ref="K198:R198" si="527">K1</f>
        <v>Operating</v>
      </c>
      <c r="L198" s="18" t="str">
        <f t="shared" si="527"/>
        <v>SPED</v>
      </c>
      <c r="M198" s="18" t="str">
        <f t="shared" si="527"/>
        <v>NSLP</v>
      </c>
      <c r="N198" s="18" t="str">
        <f t="shared" si="527"/>
        <v>Other</v>
      </c>
      <c r="O198" s="18" t="str">
        <f t="shared" si="527"/>
        <v>Title I</v>
      </c>
      <c r="P198" s="18" t="str">
        <f t="shared" si="527"/>
        <v>SGF</v>
      </c>
      <c r="Q198" s="18" t="str">
        <f t="shared" si="527"/>
        <v>Title III</v>
      </c>
      <c r="R198" s="18" t="str">
        <f t="shared" si="527"/>
        <v>St. Rose</v>
      </c>
      <c r="T198" s="18" t="str">
        <f t="shared" ref="T198:AA198" si="528">T1</f>
        <v>Operating</v>
      </c>
      <c r="U198" s="18" t="str">
        <f t="shared" si="528"/>
        <v>SPED</v>
      </c>
      <c r="V198" s="18" t="str">
        <f t="shared" si="528"/>
        <v>NSLP</v>
      </c>
      <c r="W198" s="18" t="str">
        <f t="shared" si="528"/>
        <v>Other</v>
      </c>
      <c r="X198" s="18" t="str">
        <f t="shared" si="528"/>
        <v>Title I</v>
      </c>
      <c r="Y198" s="18" t="str">
        <f t="shared" si="528"/>
        <v>SGF</v>
      </c>
      <c r="Z198" s="18" t="str">
        <f t="shared" si="528"/>
        <v>Title III</v>
      </c>
      <c r="AA198" s="18" t="str">
        <f t="shared" si="528"/>
        <v>Inspirada</v>
      </c>
      <c r="AC198" s="18" t="str">
        <f t="shared" ref="AC198:AJ198" si="529">AC1</f>
        <v>Operating</v>
      </c>
      <c r="AD198" s="18" t="str">
        <f t="shared" si="529"/>
        <v>SPED</v>
      </c>
      <c r="AE198" s="18" t="str">
        <f t="shared" si="529"/>
        <v>NSLP</v>
      </c>
      <c r="AF198" s="18" t="str">
        <f t="shared" si="529"/>
        <v>Other</v>
      </c>
      <c r="AG198" s="18" t="str">
        <f t="shared" si="529"/>
        <v>Title I</v>
      </c>
      <c r="AH198" s="18" t="str">
        <f t="shared" si="529"/>
        <v>SGF</v>
      </c>
      <c r="AI198" s="18" t="str">
        <f t="shared" si="529"/>
        <v>Title III</v>
      </c>
      <c r="AJ198" s="18" t="str">
        <f t="shared" si="529"/>
        <v>Cadence</v>
      </c>
      <c r="AL198" s="18" t="str">
        <f t="shared" ref="AL198:AS198" si="530">AL1</f>
        <v>Operating</v>
      </c>
      <c r="AM198" s="18" t="str">
        <f t="shared" si="530"/>
        <v>SPED</v>
      </c>
      <c r="AN198" s="18" t="str">
        <f t="shared" si="530"/>
        <v>NSLP</v>
      </c>
      <c r="AO198" s="18" t="str">
        <f t="shared" si="530"/>
        <v>Other</v>
      </c>
      <c r="AP198" s="18" t="str">
        <f t="shared" si="530"/>
        <v>Title I</v>
      </c>
      <c r="AQ198" s="18" t="str">
        <f t="shared" si="530"/>
        <v>SGF</v>
      </c>
      <c r="AR198" s="18" t="str">
        <f t="shared" si="530"/>
        <v>Title III</v>
      </c>
      <c r="AS198" s="18" t="str">
        <f t="shared" si="530"/>
        <v>Sloan</v>
      </c>
      <c r="AU198" s="18" t="str">
        <f t="shared" ref="AU198:BB198" si="531">AU1</f>
        <v>Operating</v>
      </c>
      <c r="AV198" s="18" t="str">
        <f t="shared" si="531"/>
        <v>SPED</v>
      </c>
      <c r="AW198" s="18" t="str">
        <f t="shared" si="531"/>
        <v>NSLP</v>
      </c>
      <c r="AX198" s="18" t="str">
        <f t="shared" si="531"/>
        <v>Other</v>
      </c>
      <c r="AY198" s="18" t="str">
        <f t="shared" si="531"/>
        <v>Title I</v>
      </c>
      <c r="AZ198" s="18" t="str">
        <f t="shared" si="531"/>
        <v>SGF</v>
      </c>
      <c r="BA198" s="18" t="str">
        <f t="shared" si="531"/>
        <v>Title III</v>
      </c>
      <c r="BB198" s="18" t="str">
        <f t="shared" si="531"/>
        <v>Virtual</v>
      </c>
      <c r="BD198" s="18" t="str">
        <f t="shared" ref="BD198:BK198" si="532">BD1</f>
        <v>Operating</v>
      </c>
      <c r="BE198" s="18" t="str">
        <f t="shared" si="532"/>
        <v>SPED</v>
      </c>
      <c r="BF198" s="18" t="str">
        <f t="shared" si="532"/>
        <v>NSLP</v>
      </c>
      <c r="BG198" s="18" t="str">
        <f t="shared" si="532"/>
        <v>Other</v>
      </c>
      <c r="BH198" s="18" t="str">
        <f t="shared" si="532"/>
        <v>Title I</v>
      </c>
      <c r="BI198" s="18" t="str">
        <f t="shared" si="532"/>
        <v>SGF</v>
      </c>
      <c r="BJ198" s="18" t="str">
        <f t="shared" si="532"/>
        <v>Title III</v>
      </c>
      <c r="BK198" s="18" t="str">
        <f t="shared" si="532"/>
        <v>Springs</v>
      </c>
      <c r="BM198" s="18" t="str">
        <f t="shared" ref="BM198:BT198" si="533">BM1</f>
        <v>Operating</v>
      </c>
      <c r="BN198" s="18" t="str">
        <f t="shared" si="533"/>
        <v>SPED</v>
      </c>
      <c r="BO198" s="18" t="str">
        <f t="shared" si="533"/>
        <v>NSLP</v>
      </c>
      <c r="BP198" s="18" t="str">
        <f t="shared" si="533"/>
        <v>Other</v>
      </c>
      <c r="BQ198" s="18" t="str">
        <f t="shared" si="533"/>
        <v>Title I</v>
      </c>
      <c r="BR198" s="18" t="str">
        <f t="shared" si="533"/>
        <v>SGF</v>
      </c>
      <c r="BS198" s="18" t="str">
        <f t="shared" si="533"/>
        <v>Title III</v>
      </c>
      <c r="BT198" s="18" t="str">
        <f t="shared" si="533"/>
        <v>Exec. Office</v>
      </c>
      <c r="BV198" s="18" t="str">
        <f t="shared" ref="BV198:CC198" si="534">BV1</f>
        <v>Operating</v>
      </c>
      <c r="BW198" s="18" t="str">
        <f t="shared" si="534"/>
        <v>SPED</v>
      </c>
      <c r="BX198" s="18" t="str">
        <f t="shared" si="534"/>
        <v>NSLP</v>
      </c>
      <c r="BY198" s="18" t="str">
        <f t="shared" si="534"/>
        <v>Other</v>
      </c>
      <c r="BZ198" s="18" t="str">
        <f t="shared" si="534"/>
        <v>Title I</v>
      </c>
      <c r="CA198" s="18" t="str">
        <f t="shared" si="534"/>
        <v>SGF</v>
      </c>
      <c r="CB198" s="18" t="str">
        <f t="shared" si="534"/>
        <v>Title III</v>
      </c>
      <c r="CC198" s="18" t="str">
        <f t="shared" si="534"/>
        <v>Systemwide</v>
      </c>
    </row>
    <row r="199" spans="1:82">
      <c r="A199" s="81" t="s">
        <v>179</v>
      </c>
      <c r="B199" s="62">
        <f>'25-26'!B199*1.03</f>
        <v>127308</v>
      </c>
      <c r="C199" s="5"/>
      <c r="D199" s="5"/>
      <c r="E199" s="5"/>
      <c r="F199" s="5"/>
      <c r="G199" s="5"/>
      <c r="H199" s="5"/>
      <c r="I199" s="5">
        <f t="shared" ref="I199:I208" si="535">SUM(B199:H199)</f>
        <v>127308</v>
      </c>
      <c r="J199" s="6"/>
      <c r="K199" s="62">
        <f>'25-26'!K199*1.03</f>
        <v>111394.5</v>
      </c>
      <c r="L199" s="5"/>
      <c r="M199" s="5"/>
      <c r="N199" s="5"/>
      <c r="O199" s="5"/>
      <c r="P199" s="5"/>
      <c r="Q199" s="5"/>
      <c r="R199" s="5">
        <f t="shared" ref="R199:R208" si="536">SUM(K199:Q199)</f>
        <v>111394.5</v>
      </c>
      <c r="T199" s="62">
        <f>'25-26'!T199*1.03</f>
        <v>127308</v>
      </c>
      <c r="U199" s="5"/>
      <c r="V199" s="5"/>
      <c r="W199" s="5"/>
      <c r="X199" s="5"/>
      <c r="Y199" s="5"/>
      <c r="Z199" s="5"/>
      <c r="AA199" s="5">
        <f t="shared" ref="AA199:AA208" si="537">SUM(T199:Z199)</f>
        <v>127308</v>
      </c>
      <c r="AC199" s="62">
        <f>'25-26'!AC199*1.03</f>
        <v>307661</v>
      </c>
      <c r="AD199" s="5"/>
      <c r="AE199" s="5"/>
      <c r="AF199" s="5"/>
      <c r="AG199" s="5"/>
      <c r="AH199" s="5"/>
      <c r="AI199" s="5"/>
      <c r="AJ199" s="5">
        <f t="shared" ref="AJ199:AJ208" si="538">SUM(AC199:AI199)</f>
        <v>307661</v>
      </c>
      <c r="AL199" s="62">
        <f>'25-26'!AL199*1.03</f>
        <v>307661</v>
      </c>
      <c r="AM199" s="5"/>
      <c r="AN199" s="5"/>
      <c r="AO199" s="5"/>
      <c r="AP199" s="5"/>
      <c r="AQ199" s="5"/>
      <c r="AR199" s="5"/>
      <c r="AS199" s="5">
        <f t="shared" ref="AS199:AS208" si="539">SUM(AL199:AR199)</f>
        <v>307661</v>
      </c>
      <c r="AU199" s="83"/>
      <c r="AV199" s="5"/>
      <c r="AW199" s="5"/>
      <c r="AX199" s="5"/>
      <c r="AY199" s="5"/>
      <c r="AZ199" s="5"/>
      <c r="BA199" s="5"/>
      <c r="BB199" s="5">
        <f t="shared" ref="BB199:BB208" si="540">SUM(AU199:BA199)</f>
        <v>0</v>
      </c>
      <c r="BD199" s="62">
        <f>'25-26'!BD199*1.05</f>
        <v>17902.5</v>
      </c>
      <c r="BE199" s="5"/>
      <c r="BF199" s="5"/>
      <c r="BG199" s="5"/>
      <c r="BH199" s="5"/>
      <c r="BI199" s="5"/>
      <c r="BJ199" s="5"/>
      <c r="BK199" s="5">
        <f t="shared" ref="BK199:BK208" si="541">SUM(BD199:BJ199)</f>
        <v>17902.5</v>
      </c>
      <c r="BM199" s="83"/>
      <c r="BN199" s="5"/>
      <c r="BO199" s="5"/>
      <c r="BP199" s="5"/>
      <c r="BQ199" s="5"/>
      <c r="BR199" s="5"/>
      <c r="BS199" s="5"/>
      <c r="BT199" s="5">
        <f t="shared" ref="BT199:BT208" si="542">SUM(BM199:BS199)</f>
        <v>0</v>
      </c>
      <c r="BV199" s="5">
        <f t="shared" ref="BV199:CA208" si="543">B199+K199+T199+AC199+AL199+AU199+BD199+BM199</f>
        <v>999235</v>
      </c>
      <c r="BW199" s="5">
        <f t="shared" si="543"/>
        <v>0</v>
      </c>
      <c r="BX199" s="5">
        <f t="shared" si="543"/>
        <v>0</v>
      </c>
      <c r="BY199" s="5">
        <f t="shared" si="543"/>
        <v>0</v>
      </c>
      <c r="BZ199" s="5">
        <f t="shared" si="543"/>
        <v>0</v>
      </c>
      <c r="CA199" s="5">
        <f t="shared" si="543"/>
        <v>0</v>
      </c>
      <c r="CB199" s="5"/>
      <c r="CC199" s="5">
        <f t="shared" ref="CC199:CC208" si="544">SUM(BV199:CB199)</f>
        <v>999235</v>
      </c>
    </row>
    <row r="200" spans="1:82">
      <c r="A200" s="29" t="s">
        <v>180</v>
      </c>
      <c r="B200" s="62">
        <f>'25-26'!B200*1.03</f>
        <v>9017.65</v>
      </c>
      <c r="C200" s="5"/>
      <c r="D200" s="5"/>
      <c r="E200" s="5"/>
      <c r="F200" s="5"/>
      <c r="G200" s="5"/>
      <c r="H200" s="5"/>
      <c r="I200" s="5">
        <f t="shared" si="535"/>
        <v>9017.65</v>
      </c>
      <c r="K200" s="62">
        <f>'25-26'!K200*1.03</f>
        <v>0</v>
      </c>
      <c r="L200" s="5"/>
      <c r="M200" s="5"/>
      <c r="N200" s="5"/>
      <c r="O200" s="5"/>
      <c r="P200" s="5"/>
      <c r="Q200" s="5"/>
      <c r="R200" s="5">
        <f t="shared" si="536"/>
        <v>0</v>
      </c>
      <c r="T200" s="62">
        <f>'25-26'!T200*1.03</f>
        <v>0</v>
      </c>
      <c r="U200" s="5"/>
      <c r="V200" s="5"/>
      <c r="W200" s="5"/>
      <c r="X200" s="5"/>
      <c r="Y200" s="5"/>
      <c r="Z200" s="5"/>
      <c r="AA200" s="5">
        <f t="shared" si="537"/>
        <v>0</v>
      </c>
      <c r="AC200" s="62">
        <f>'25-26'!AC200*1.03</f>
        <v>0</v>
      </c>
      <c r="AD200" s="5"/>
      <c r="AE200" s="5"/>
      <c r="AF200" s="5"/>
      <c r="AG200" s="5"/>
      <c r="AH200" s="5"/>
      <c r="AI200" s="5"/>
      <c r="AJ200" s="5">
        <f t="shared" si="538"/>
        <v>0</v>
      </c>
      <c r="AL200" s="62">
        <f>'25-26'!AL200*1.03</f>
        <v>0</v>
      </c>
      <c r="AM200" s="5"/>
      <c r="AN200" s="5"/>
      <c r="AO200" s="5"/>
      <c r="AP200" s="5"/>
      <c r="AQ200" s="5"/>
      <c r="AR200" s="5"/>
      <c r="AS200" s="5">
        <f t="shared" si="539"/>
        <v>0</v>
      </c>
      <c r="AU200" s="62"/>
      <c r="AV200" s="5"/>
      <c r="AW200" s="5"/>
      <c r="AX200" s="5"/>
      <c r="AY200" s="5"/>
      <c r="AZ200" s="5"/>
      <c r="BA200" s="5"/>
      <c r="BB200" s="5">
        <f t="shared" si="540"/>
        <v>0</v>
      </c>
      <c r="BD200" s="62">
        <f>'25-26'!BD200*1.05</f>
        <v>1443.75</v>
      </c>
      <c r="BE200" s="5"/>
      <c r="BF200" s="5"/>
      <c r="BG200" s="5"/>
      <c r="BH200" s="5"/>
      <c r="BI200" s="5"/>
      <c r="BJ200" s="5"/>
      <c r="BK200" s="5">
        <f t="shared" si="541"/>
        <v>1443.75</v>
      </c>
      <c r="BM200" s="62"/>
      <c r="BN200" s="5"/>
      <c r="BO200" s="5"/>
      <c r="BP200" s="5"/>
      <c r="BQ200" s="5"/>
      <c r="BR200" s="5"/>
      <c r="BS200" s="5"/>
      <c r="BT200" s="5">
        <f t="shared" si="542"/>
        <v>0</v>
      </c>
      <c r="BV200" s="5">
        <f t="shared" si="543"/>
        <v>10461.4</v>
      </c>
      <c r="BW200" s="5">
        <f t="shared" si="543"/>
        <v>0</v>
      </c>
      <c r="BX200" s="5">
        <f t="shared" si="543"/>
        <v>0</v>
      </c>
      <c r="BY200" s="5">
        <f t="shared" si="543"/>
        <v>0</v>
      </c>
      <c r="BZ200" s="5">
        <f t="shared" si="543"/>
        <v>0</v>
      </c>
      <c r="CA200" s="5">
        <f t="shared" si="543"/>
        <v>0</v>
      </c>
      <c r="CB200" s="5"/>
      <c r="CC200" s="5">
        <f t="shared" si="544"/>
        <v>10461.4</v>
      </c>
    </row>
    <row r="201" spans="1:82">
      <c r="A201" s="29" t="s">
        <v>181</v>
      </c>
      <c r="B201" s="62">
        <f>'25-26'!B201*1.03</f>
        <v>34479.25</v>
      </c>
      <c r="C201" s="5"/>
      <c r="D201" s="5"/>
      <c r="E201" s="5"/>
      <c r="F201" s="5"/>
      <c r="G201" s="5"/>
      <c r="H201" s="5"/>
      <c r="I201" s="5">
        <f t="shared" si="535"/>
        <v>34479.25</v>
      </c>
      <c r="K201" s="62">
        <f>'25-26'!K201*1.03</f>
        <v>24400.7</v>
      </c>
      <c r="L201" s="5"/>
      <c r="M201" s="5"/>
      <c r="N201" s="5"/>
      <c r="O201" s="5"/>
      <c r="P201" s="5"/>
      <c r="Q201" s="5"/>
      <c r="R201" s="5">
        <f t="shared" si="536"/>
        <v>24400.7</v>
      </c>
      <c r="T201" s="62">
        <f>'25-26'!T201*1.03</f>
        <v>24931.15</v>
      </c>
      <c r="U201" s="5"/>
      <c r="V201" s="5"/>
      <c r="W201" s="5"/>
      <c r="X201" s="5"/>
      <c r="Y201" s="5"/>
      <c r="Z201" s="5"/>
      <c r="AA201" s="5">
        <f t="shared" si="537"/>
        <v>24931.15</v>
      </c>
      <c r="AC201" s="62">
        <f>'25-26'!AC201*1.03</f>
        <v>55697.25</v>
      </c>
      <c r="AD201" s="5"/>
      <c r="AE201" s="5"/>
      <c r="AF201" s="5"/>
      <c r="AG201" s="5"/>
      <c r="AH201" s="5"/>
      <c r="AI201" s="5"/>
      <c r="AJ201" s="5">
        <f t="shared" si="538"/>
        <v>55697.25</v>
      </c>
      <c r="AL201" s="62">
        <f>'25-26'!AL201*1.03</f>
        <v>42436</v>
      </c>
      <c r="AM201" s="5"/>
      <c r="AN201" s="5"/>
      <c r="AO201" s="5"/>
      <c r="AP201" s="5"/>
      <c r="AQ201" s="5"/>
      <c r="AR201" s="5"/>
      <c r="AS201" s="5">
        <f t="shared" si="539"/>
        <v>42436</v>
      </c>
      <c r="AU201" s="79"/>
      <c r="AV201" s="5"/>
      <c r="AW201" s="5"/>
      <c r="AX201" s="5"/>
      <c r="AY201" s="5"/>
      <c r="AZ201" s="5"/>
      <c r="BA201" s="5"/>
      <c r="BB201" s="5">
        <f t="shared" si="540"/>
        <v>0</v>
      </c>
      <c r="BD201" s="62">
        <f>'25-26'!BD201*1.05</f>
        <v>16170.000000000002</v>
      </c>
      <c r="BE201" s="5"/>
      <c r="BF201" s="5"/>
      <c r="BG201" s="5"/>
      <c r="BH201" s="5"/>
      <c r="BI201" s="5"/>
      <c r="BJ201" s="5"/>
      <c r="BK201" s="5">
        <f t="shared" si="541"/>
        <v>16170.000000000002</v>
      </c>
      <c r="BM201" s="79"/>
      <c r="BN201" s="5"/>
      <c r="BO201" s="5"/>
      <c r="BP201" s="5"/>
      <c r="BQ201" s="5"/>
      <c r="BR201" s="5"/>
      <c r="BS201" s="5"/>
      <c r="BT201" s="5">
        <f t="shared" si="542"/>
        <v>0</v>
      </c>
      <c r="BV201" s="5">
        <f t="shared" si="543"/>
        <v>198114.35</v>
      </c>
      <c r="BW201" s="5">
        <f t="shared" si="543"/>
        <v>0</v>
      </c>
      <c r="BX201" s="5">
        <f t="shared" si="543"/>
        <v>0</v>
      </c>
      <c r="BY201" s="5">
        <f t="shared" si="543"/>
        <v>0</v>
      </c>
      <c r="BZ201" s="5">
        <f t="shared" si="543"/>
        <v>0</v>
      </c>
      <c r="CA201" s="5">
        <f t="shared" si="543"/>
        <v>0</v>
      </c>
      <c r="CB201" s="5"/>
      <c r="CC201" s="5">
        <f t="shared" si="544"/>
        <v>198114.35</v>
      </c>
    </row>
    <row r="202" spans="1:82">
      <c r="A202" s="29" t="s">
        <v>182</v>
      </c>
      <c r="B202" s="62">
        <f>'25-26'!B202*1.03</f>
        <v>25461.600000000002</v>
      </c>
      <c r="C202" s="5"/>
      <c r="D202" s="5"/>
      <c r="E202" s="5"/>
      <c r="F202" s="5"/>
      <c r="G202" s="5"/>
      <c r="H202" s="5"/>
      <c r="I202" s="5">
        <f t="shared" si="535"/>
        <v>25461.600000000002</v>
      </c>
      <c r="K202" s="62">
        <f>'25-26'!K202*1.03</f>
        <v>20157.100000000002</v>
      </c>
      <c r="L202" s="5"/>
      <c r="M202" s="5"/>
      <c r="N202" s="5"/>
      <c r="O202" s="5"/>
      <c r="P202" s="5"/>
      <c r="Q202" s="5"/>
      <c r="R202" s="5">
        <f t="shared" si="536"/>
        <v>20157.100000000002</v>
      </c>
      <c r="T202" s="62">
        <f>'25-26'!T202*1.03</f>
        <v>35009.700000000004</v>
      </c>
      <c r="U202" s="5"/>
      <c r="V202" s="5"/>
      <c r="W202" s="5"/>
      <c r="X202" s="5"/>
      <c r="Y202" s="5"/>
      <c r="Z202" s="5"/>
      <c r="AA202" s="5">
        <f t="shared" si="537"/>
        <v>35009.700000000004</v>
      </c>
      <c r="AC202" s="62">
        <f>'25-26'!AC202*1.03</f>
        <v>65775.8</v>
      </c>
      <c r="AD202" s="5"/>
      <c r="AE202" s="5"/>
      <c r="AF202" s="5"/>
      <c r="AG202" s="5"/>
      <c r="AH202" s="5"/>
      <c r="AI202" s="5"/>
      <c r="AJ202" s="5">
        <f t="shared" si="538"/>
        <v>65775.8</v>
      </c>
      <c r="AL202" s="62">
        <f>'25-26'!AL202*1.03</f>
        <v>66306.25</v>
      </c>
      <c r="AM202" s="5"/>
      <c r="AN202" s="5"/>
      <c r="AO202" s="5"/>
      <c r="AP202" s="5"/>
      <c r="AQ202" s="5"/>
      <c r="AR202" s="5"/>
      <c r="AS202" s="5">
        <f t="shared" si="539"/>
        <v>66306.25</v>
      </c>
      <c r="AU202" s="79"/>
      <c r="AV202" s="5"/>
      <c r="AW202" s="5"/>
      <c r="AX202" s="5"/>
      <c r="AY202" s="5"/>
      <c r="AZ202" s="5"/>
      <c r="BA202" s="5"/>
      <c r="BB202" s="5">
        <f t="shared" si="540"/>
        <v>0</v>
      </c>
      <c r="BD202" s="62">
        <f>'25-26'!BD202*1.05</f>
        <v>15592.500000000002</v>
      </c>
      <c r="BE202" s="5"/>
      <c r="BF202" s="5"/>
      <c r="BG202" s="5"/>
      <c r="BH202" s="5"/>
      <c r="BI202" s="5"/>
      <c r="BJ202" s="5"/>
      <c r="BK202" s="5">
        <f t="shared" si="541"/>
        <v>15592.500000000002</v>
      </c>
      <c r="BM202" s="79"/>
      <c r="BN202" s="5"/>
      <c r="BO202" s="5"/>
      <c r="BP202" s="5"/>
      <c r="BQ202" s="5"/>
      <c r="BR202" s="5"/>
      <c r="BS202" s="5"/>
      <c r="BT202" s="5">
        <f t="shared" si="542"/>
        <v>0</v>
      </c>
      <c r="BV202" s="5">
        <f t="shared" si="543"/>
        <v>228302.95</v>
      </c>
      <c r="BW202" s="5">
        <f t="shared" si="543"/>
        <v>0</v>
      </c>
      <c r="BX202" s="5">
        <f t="shared" si="543"/>
        <v>0</v>
      </c>
      <c r="BY202" s="5">
        <f t="shared" si="543"/>
        <v>0</v>
      </c>
      <c r="BZ202" s="5">
        <f t="shared" si="543"/>
        <v>0</v>
      </c>
      <c r="CA202" s="5">
        <f t="shared" si="543"/>
        <v>0</v>
      </c>
      <c r="CB202" s="5"/>
      <c r="CC202" s="5">
        <f t="shared" si="544"/>
        <v>228302.95</v>
      </c>
    </row>
    <row r="203" spans="1:82">
      <c r="A203" s="29" t="s">
        <v>183</v>
      </c>
      <c r="B203" s="62">
        <f>'25-26'!B203*1.03</f>
        <v>13261.25</v>
      </c>
      <c r="C203" s="5"/>
      <c r="D203" s="5"/>
      <c r="E203" s="5"/>
      <c r="F203" s="5"/>
      <c r="G203" s="5"/>
      <c r="H203" s="5"/>
      <c r="I203" s="5">
        <f t="shared" si="535"/>
        <v>13261.25</v>
      </c>
      <c r="K203" s="62">
        <f>'25-26'!K203*1.03</f>
        <v>9017.65</v>
      </c>
      <c r="L203" s="5"/>
      <c r="M203" s="5"/>
      <c r="N203" s="5"/>
      <c r="O203" s="5"/>
      <c r="P203" s="5"/>
      <c r="Q203" s="5"/>
      <c r="R203" s="5">
        <f t="shared" si="536"/>
        <v>9017.65</v>
      </c>
      <c r="T203" s="62">
        <f>'25-26'!T203*1.03</f>
        <v>15913.5</v>
      </c>
      <c r="U203" s="5"/>
      <c r="V203" s="5"/>
      <c r="W203" s="5"/>
      <c r="X203" s="5"/>
      <c r="Y203" s="5"/>
      <c r="Z203" s="5"/>
      <c r="AA203" s="5">
        <f t="shared" si="537"/>
        <v>15913.5</v>
      </c>
      <c r="AC203" s="62">
        <f>'25-26'!AC203*1.03</f>
        <v>35646.239999999998</v>
      </c>
      <c r="AD203" s="5"/>
      <c r="AE203" s="5"/>
      <c r="AF203" s="5"/>
      <c r="AG203" s="5"/>
      <c r="AH203" s="5"/>
      <c r="AI203" s="5"/>
      <c r="AJ203" s="5">
        <f t="shared" si="538"/>
        <v>35646.239999999998</v>
      </c>
      <c r="AL203" s="62">
        <f>'25-26'!AL203*1.03</f>
        <v>17377.542000000001</v>
      </c>
      <c r="AM203" s="5"/>
      <c r="AN203" s="5"/>
      <c r="AO203" s="5"/>
      <c r="AP203" s="5"/>
      <c r="AQ203" s="5"/>
      <c r="AR203" s="5"/>
      <c r="AS203" s="5">
        <f t="shared" si="539"/>
        <v>17377.542000000001</v>
      </c>
      <c r="AU203" s="79"/>
      <c r="AV203" s="5"/>
      <c r="AW203" s="5"/>
      <c r="AX203" s="5"/>
      <c r="AY203" s="5"/>
      <c r="AZ203" s="5"/>
      <c r="BA203" s="5"/>
      <c r="BB203" s="5">
        <f t="shared" si="540"/>
        <v>0</v>
      </c>
      <c r="BD203" s="62">
        <f>'25-26'!BD203*1.05</f>
        <v>6930.0000000000009</v>
      </c>
      <c r="BE203" s="5"/>
      <c r="BF203" s="5"/>
      <c r="BG203" s="5"/>
      <c r="BH203" s="5"/>
      <c r="BI203" s="5"/>
      <c r="BJ203" s="5"/>
      <c r="BK203" s="5">
        <f t="shared" si="541"/>
        <v>6930.0000000000009</v>
      </c>
      <c r="BM203" s="79"/>
      <c r="BN203" s="5"/>
      <c r="BO203" s="5"/>
      <c r="BP203" s="5"/>
      <c r="BQ203" s="5"/>
      <c r="BR203" s="5"/>
      <c r="BS203" s="5"/>
      <c r="BT203" s="5">
        <f t="shared" si="542"/>
        <v>0</v>
      </c>
      <c r="BV203" s="5">
        <f t="shared" si="543"/>
        <v>98146.182000000001</v>
      </c>
      <c r="BW203" s="5">
        <f t="shared" si="543"/>
        <v>0</v>
      </c>
      <c r="BX203" s="5">
        <f t="shared" si="543"/>
        <v>0</v>
      </c>
      <c r="BY203" s="5">
        <f t="shared" si="543"/>
        <v>0</v>
      </c>
      <c r="BZ203" s="5">
        <f t="shared" si="543"/>
        <v>0</v>
      </c>
      <c r="CA203" s="5">
        <f t="shared" si="543"/>
        <v>0</v>
      </c>
      <c r="CB203" s="5"/>
      <c r="CC203" s="5">
        <f t="shared" si="544"/>
        <v>98146.182000000001</v>
      </c>
    </row>
    <row r="204" spans="1:82">
      <c r="A204" s="29" t="s">
        <v>184</v>
      </c>
      <c r="B204" s="62">
        <f>'25-26'!B204*1.03</f>
        <v>117229.45</v>
      </c>
      <c r="C204" s="5"/>
      <c r="D204" s="5"/>
      <c r="E204" s="5"/>
      <c r="F204" s="5"/>
      <c r="G204" s="5"/>
      <c r="H204" s="5"/>
      <c r="I204" s="5">
        <f t="shared" si="535"/>
        <v>117229.45</v>
      </c>
      <c r="K204" s="62">
        <f>'25-26'!K204*1.03</f>
        <v>108264.845</v>
      </c>
      <c r="L204" s="5"/>
      <c r="M204" s="5"/>
      <c r="N204" s="5"/>
      <c r="O204" s="5"/>
      <c r="P204" s="5"/>
      <c r="Q204" s="5"/>
      <c r="R204" s="5">
        <f t="shared" si="536"/>
        <v>108264.845</v>
      </c>
      <c r="T204" s="62">
        <f>'25-26'!T204*1.03</f>
        <v>125504.47</v>
      </c>
      <c r="U204" s="5"/>
      <c r="V204" s="5"/>
      <c r="W204" s="5"/>
      <c r="X204" s="5"/>
      <c r="Y204" s="5"/>
      <c r="Z204" s="5"/>
      <c r="AA204" s="5">
        <f t="shared" si="537"/>
        <v>125504.47</v>
      </c>
      <c r="AC204" s="62">
        <f>'25-26'!AC204*1.03</f>
        <v>304531.34500000003</v>
      </c>
      <c r="AD204" s="5"/>
      <c r="AE204" s="5"/>
      <c r="AF204" s="5"/>
      <c r="AG204" s="5"/>
      <c r="AH204" s="5"/>
      <c r="AI204" s="5"/>
      <c r="AJ204" s="5">
        <f t="shared" si="538"/>
        <v>304531.34500000003</v>
      </c>
      <c r="AL204" s="62">
        <f>'25-26'!AL204*1.03</f>
        <v>512096.43</v>
      </c>
      <c r="AM204" s="5"/>
      <c r="AN204" s="5"/>
      <c r="AO204" s="5"/>
      <c r="AP204" s="5"/>
      <c r="AQ204" s="5"/>
      <c r="AR204" s="5"/>
      <c r="AS204" s="5">
        <f t="shared" si="539"/>
        <v>512096.43</v>
      </c>
      <c r="AU204" s="62"/>
      <c r="AV204" s="5"/>
      <c r="AW204" s="5"/>
      <c r="AX204" s="5"/>
      <c r="AY204" s="5"/>
      <c r="AZ204" s="5"/>
      <c r="BA204" s="5"/>
      <c r="BB204" s="5">
        <f t="shared" si="540"/>
        <v>0</v>
      </c>
      <c r="BD204" s="62">
        <f>'25-26'!BD204*1.03</f>
        <v>0</v>
      </c>
      <c r="BE204" s="5"/>
      <c r="BF204" s="5"/>
      <c r="BG204" s="5"/>
      <c r="BH204" s="5"/>
      <c r="BI204" s="5"/>
      <c r="BJ204" s="5"/>
      <c r="BK204" s="5">
        <f t="shared" si="541"/>
        <v>0</v>
      </c>
      <c r="BM204" s="62"/>
      <c r="BN204" s="5"/>
      <c r="BO204" s="5"/>
      <c r="BP204" s="5"/>
      <c r="BQ204" s="5"/>
      <c r="BR204" s="5"/>
      <c r="BS204" s="5"/>
      <c r="BT204" s="5">
        <f t="shared" si="542"/>
        <v>0</v>
      </c>
      <c r="BV204" s="5">
        <f t="shared" si="543"/>
        <v>1167626.54</v>
      </c>
      <c r="BW204" s="5">
        <f t="shared" si="543"/>
        <v>0</v>
      </c>
      <c r="BX204" s="5">
        <f t="shared" si="543"/>
        <v>0</v>
      </c>
      <c r="BY204" s="5">
        <f t="shared" si="543"/>
        <v>0</v>
      </c>
      <c r="BZ204" s="5">
        <f t="shared" si="543"/>
        <v>0</v>
      </c>
      <c r="CA204" s="5">
        <f t="shared" si="543"/>
        <v>0</v>
      </c>
      <c r="CB204" s="5"/>
      <c r="CC204" s="5">
        <f t="shared" si="544"/>
        <v>1167626.54</v>
      </c>
    </row>
    <row r="205" spans="1:82">
      <c r="A205" s="29" t="s">
        <v>185</v>
      </c>
      <c r="B205" s="11">
        <v>90000</v>
      </c>
      <c r="C205" s="5"/>
      <c r="D205" s="5"/>
      <c r="E205" s="5"/>
      <c r="F205" s="5"/>
      <c r="G205" s="5"/>
      <c r="H205" s="5"/>
      <c r="I205" s="5">
        <f t="shared" si="535"/>
        <v>90000</v>
      </c>
      <c r="K205" s="11">
        <v>100000</v>
      </c>
      <c r="L205" s="5"/>
      <c r="M205" s="5"/>
      <c r="N205" s="5"/>
      <c r="O205" s="5"/>
      <c r="P205" s="5"/>
      <c r="Q205" s="5"/>
      <c r="R205" s="5">
        <f t="shared" si="536"/>
        <v>100000</v>
      </c>
      <c r="T205" s="11">
        <v>145000</v>
      </c>
      <c r="U205" s="5"/>
      <c r="V205" s="5"/>
      <c r="W205" s="5"/>
      <c r="X205" s="5"/>
      <c r="Y205" s="5"/>
      <c r="Z205" s="5"/>
      <c r="AA205" s="5">
        <f t="shared" si="537"/>
        <v>145000</v>
      </c>
      <c r="AC205" s="11">
        <v>225000</v>
      </c>
      <c r="AD205" s="5"/>
      <c r="AE205" s="5"/>
      <c r="AF205" s="5">
        <v>0</v>
      </c>
      <c r="AG205" s="5"/>
      <c r="AH205" s="5"/>
      <c r="AI205" s="5"/>
      <c r="AJ205" s="5">
        <f t="shared" si="538"/>
        <v>225000</v>
      </c>
      <c r="AL205" s="11">
        <v>150000</v>
      </c>
      <c r="AM205" s="5"/>
      <c r="AN205" s="5"/>
      <c r="AO205" s="5">
        <v>0</v>
      </c>
      <c r="AP205" s="5"/>
      <c r="AQ205" s="5"/>
      <c r="AR205" s="5"/>
      <c r="AS205" s="5">
        <f t="shared" si="539"/>
        <v>150000</v>
      </c>
      <c r="AU205" s="11"/>
      <c r="AV205" s="5"/>
      <c r="AW205" s="5"/>
      <c r="AX205" s="5"/>
      <c r="AY205" s="5"/>
      <c r="AZ205" s="5"/>
      <c r="BA205" s="5"/>
      <c r="BB205" s="5">
        <f t="shared" si="540"/>
        <v>0</v>
      </c>
      <c r="BD205" s="11">
        <v>40000</v>
      </c>
      <c r="BE205" s="5"/>
      <c r="BF205" s="5"/>
      <c r="BG205" s="5"/>
      <c r="BH205" s="5"/>
      <c r="BI205" s="5"/>
      <c r="BJ205" s="5"/>
      <c r="BK205" s="5">
        <f t="shared" si="541"/>
        <v>40000</v>
      </c>
      <c r="BM205" s="11"/>
      <c r="BN205" s="5"/>
      <c r="BO205" s="5"/>
      <c r="BP205" s="5"/>
      <c r="BQ205" s="5"/>
      <c r="BR205" s="5"/>
      <c r="BS205" s="5"/>
      <c r="BT205" s="5">
        <f t="shared" si="542"/>
        <v>0</v>
      </c>
      <c r="BV205" s="5">
        <f t="shared" si="543"/>
        <v>750000</v>
      </c>
      <c r="BW205" s="5">
        <f t="shared" si="543"/>
        <v>0</v>
      </c>
      <c r="BX205" s="5">
        <f t="shared" si="543"/>
        <v>0</v>
      </c>
      <c r="BY205" s="5">
        <f t="shared" si="543"/>
        <v>0</v>
      </c>
      <c r="BZ205" s="5">
        <f t="shared" si="543"/>
        <v>0</v>
      </c>
      <c r="CA205" s="5">
        <f t="shared" si="543"/>
        <v>0</v>
      </c>
      <c r="CB205" s="5"/>
      <c r="CC205" s="5">
        <f t="shared" si="544"/>
        <v>750000</v>
      </c>
    </row>
    <row r="206" spans="1:82">
      <c r="A206" s="29" t="s">
        <v>186</v>
      </c>
      <c r="B206" s="11">
        <v>0</v>
      </c>
      <c r="C206" s="5"/>
      <c r="D206" s="5"/>
      <c r="E206" s="5"/>
      <c r="F206" s="5"/>
      <c r="G206" s="5"/>
      <c r="H206" s="5"/>
      <c r="I206" s="5">
        <f t="shared" si="535"/>
        <v>0</v>
      </c>
      <c r="K206" s="11">
        <v>0</v>
      </c>
      <c r="L206" s="5"/>
      <c r="M206" s="5"/>
      <c r="N206" s="5"/>
      <c r="O206" s="5"/>
      <c r="P206" s="5"/>
      <c r="Q206" s="5"/>
      <c r="R206" s="5">
        <f t="shared" si="536"/>
        <v>0</v>
      </c>
      <c r="T206" s="11">
        <v>0</v>
      </c>
      <c r="U206" s="5"/>
      <c r="V206" s="5"/>
      <c r="W206" s="5"/>
      <c r="X206" s="5"/>
      <c r="Y206" s="5"/>
      <c r="Z206" s="5"/>
      <c r="AA206" s="5">
        <f t="shared" si="537"/>
        <v>0</v>
      </c>
      <c r="AC206" s="11">
        <v>0</v>
      </c>
      <c r="AD206" s="5"/>
      <c r="AE206" s="5"/>
      <c r="AF206" s="5"/>
      <c r="AG206" s="5"/>
      <c r="AH206" s="5"/>
      <c r="AI206" s="5"/>
      <c r="AJ206" s="5">
        <f t="shared" si="538"/>
        <v>0</v>
      </c>
      <c r="AL206" s="11">
        <v>0</v>
      </c>
      <c r="AM206" s="5"/>
      <c r="AN206" s="5"/>
      <c r="AO206" s="5"/>
      <c r="AP206" s="5"/>
      <c r="AQ206" s="5"/>
      <c r="AR206" s="5"/>
      <c r="AS206" s="5">
        <f t="shared" si="539"/>
        <v>0</v>
      </c>
      <c r="AU206" s="11"/>
      <c r="AV206" s="5"/>
      <c r="AW206" s="5"/>
      <c r="AX206" s="5"/>
      <c r="AY206" s="5"/>
      <c r="AZ206" s="5"/>
      <c r="BA206" s="5"/>
      <c r="BB206" s="5">
        <f t="shared" si="540"/>
        <v>0</v>
      </c>
      <c r="BD206" s="11">
        <v>0</v>
      </c>
      <c r="BE206" s="5"/>
      <c r="BF206" s="5"/>
      <c r="BG206" s="5"/>
      <c r="BH206" s="5"/>
      <c r="BI206" s="5"/>
      <c r="BJ206" s="5"/>
      <c r="BK206" s="5">
        <f t="shared" si="541"/>
        <v>0</v>
      </c>
      <c r="BM206" s="11"/>
      <c r="BN206" s="5"/>
      <c r="BO206" s="5"/>
      <c r="BP206" s="5"/>
      <c r="BQ206" s="5"/>
      <c r="BR206" s="5"/>
      <c r="BS206" s="5"/>
      <c r="BT206" s="5">
        <f t="shared" si="542"/>
        <v>0</v>
      </c>
      <c r="BV206" s="5">
        <f t="shared" si="543"/>
        <v>0</v>
      </c>
      <c r="BW206" s="5">
        <f t="shared" si="543"/>
        <v>0</v>
      </c>
      <c r="BX206" s="5">
        <f t="shared" si="543"/>
        <v>0</v>
      </c>
      <c r="BY206" s="5">
        <f t="shared" si="543"/>
        <v>0</v>
      </c>
      <c r="BZ206" s="5">
        <f t="shared" si="543"/>
        <v>0</v>
      </c>
      <c r="CA206" s="5">
        <f t="shared" si="543"/>
        <v>0</v>
      </c>
      <c r="CB206" s="5"/>
      <c r="CC206" s="5">
        <f t="shared" si="544"/>
        <v>0</v>
      </c>
    </row>
    <row r="207" spans="1:82">
      <c r="A207" s="29" t="s">
        <v>187</v>
      </c>
      <c r="B207" s="62">
        <f>'25-26'!B207*1.03</f>
        <v>29493.02</v>
      </c>
      <c r="C207" s="5"/>
      <c r="D207" s="5"/>
      <c r="E207" s="5"/>
      <c r="F207" s="5"/>
      <c r="G207" s="5"/>
      <c r="H207" s="5"/>
      <c r="I207" s="5">
        <f t="shared" si="535"/>
        <v>29493.02</v>
      </c>
      <c r="K207" s="62">
        <f>'25-26'!K207*1.03</f>
        <v>24484.5111</v>
      </c>
      <c r="L207" s="5"/>
      <c r="M207" s="5"/>
      <c r="N207" s="5"/>
      <c r="O207" s="5"/>
      <c r="P207" s="5"/>
      <c r="Q207" s="5"/>
      <c r="R207" s="5">
        <f t="shared" si="536"/>
        <v>24484.5111</v>
      </c>
      <c r="T207" s="62">
        <f>'25-26'!T207*1.03</f>
        <v>24602.271000000001</v>
      </c>
      <c r="U207" s="5"/>
      <c r="V207" s="5"/>
      <c r="W207" s="5"/>
      <c r="X207" s="5"/>
      <c r="Y207" s="5"/>
      <c r="Z207" s="5"/>
      <c r="AA207" s="5">
        <f t="shared" si="537"/>
        <v>24602.271000000001</v>
      </c>
      <c r="AC207" s="62">
        <f>'25-26'!AC207*1.03</f>
        <v>37258.807999999997</v>
      </c>
      <c r="AD207" s="5"/>
      <c r="AE207" s="5"/>
      <c r="AF207" s="5"/>
      <c r="AG207" s="5"/>
      <c r="AH207" s="5"/>
      <c r="AI207" s="5"/>
      <c r="AJ207" s="5">
        <f t="shared" si="538"/>
        <v>37258.807999999997</v>
      </c>
      <c r="AL207" s="62">
        <f>'25-26'!AL207*1.03</f>
        <v>38149.964000000007</v>
      </c>
      <c r="AM207" s="5"/>
      <c r="AN207" s="5"/>
      <c r="AO207" s="5"/>
      <c r="AP207" s="5"/>
      <c r="AQ207" s="5"/>
      <c r="AR207" s="5"/>
      <c r="AS207" s="5">
        <f t="shared" si="539"/>
        <v>38149.964000000007</v>
      </c>
      <c r="AU207" s="62"/>
      <c r="AV207" s="5"/>
      <c r="AW207" s="5"/>
      <c r="AX207" s="5"/>
      <c r="AY207" s="5"/>
      <c r="AZ207" s="5"/>
      <c r="BA207" s="5"/>
      <c r="BB207" s="5">
        <f t="shared" si="540"/>
        <v>0</v>
      </c>
      <c r="BD207" s="62">
        <f>'25-26'!BD207*1.03</f>
        <v>0</v>
      </c>
      <c r="BE207" s="5"/>
      <c r="BF207" s="5"/>
      <c r="BG207" s="5"/>
      <c r="BH207" s="5"/>
      <c r="BI207" s="5"/>
      <c r="BJ207" s="5"/>
      <c r="BK207" s="5">
        <f t="shared" si="541"/>
        <v>0</v>
      </c>
      <c r="BM207" s="62"/>
      <c r="BN207" s="5"/>
      <c r="BO207" s="5"/>
      <c r="BP207" s="5"/>
      <c r="BQ207" s="5"/>
      <c r="BR207" s="5"/>
      <c r="BS207" s="5"/>
      <c r="BT207" s="5">
        <f t="shared" si="542"/>
        <v>0</v>
      </c>
      <c r="BV207" s="5">
        <f t="shared" si="543"/>
        <v>153988.5741</v>
      </c>
      <c r="BW207" s="5">
        <f t="shared" si="543"/>
        <v>0</v>
      </c>
      <c r="BX207" s="5">
        <f t="shared" si="543"/>
        <v>0</v>
      </c>
      <c r="BY207" s="5">
        <f t="shared" si="543"/>
        <v>0</v>
      </c>
      <c r="BZ207" s="5">
        <f t="shared" si="543"/>
        <v>0</v>
      </c>
      <c r="CA207" s="5">
        <f t="shared" si="543"/>
        <v>0</v>
      </c>
      <c r="CB207" s="5"/>
      <c r="CC207" s="5">
        <f t="shared" si="544"/>
        <v>153988.5741</v>
      </c>
    </row>
    <row r="208" spans="1:82">
      <c r="A208" s="78" t="s">
        <v>188</v>
      </c>
      <c r="B208" s="62">
        <f>'25-26'!B208*1.03</f>
        <v>42567.551599999999</v>
      </c>
      <c r="C208" s="5"/>
      <c r="D208" s="5"/>
      <c r="E208" s="5"/>
      <c r="F208" s="5"/>
      <c r="G208" s="5"/>
      <c r="H208" s="5"/>
      <c r="I208" s="5">
        <f t="shared" si="535"/>
        <v>42567.551599999999</v>
      </c>
      <c r="K208" s="62">
        <f>'25-26'!K208*1.03</f>
        <v>26946.86</v>
      </c>
      <c r="L208" s="5"/>
      <c r="M208" s="5"/>
      <c r="N208" s="5"/>
      <c r="O208" s="5"/>
      <c r="P208" s="5"/>
      <c r="Q208" s="5"/>
      <c r="R208" s="5">
        <f t="shared" si="536"/>
        <v>26946.86</v>
      </c>
      <c r="T208" s="62">
        <f>'25-26'!T208*1.03</f>
        <v>30029.411039999999</v>
      </c>
      <c r="U208" s="5"/>
      <c r="V208" s="5"/>
      <c r="W208" s="5"/>
      <c r="X208" s="5"/>
      <c r="Y208" s="5"/>
      <c r="Z208" s="5"/>
      <c r="AA208" s="5">
        <f t="shared" si="537"/>
        <v>30029.411039999999</v>
      </c>
      <c r="AC208" s="62">
        <f>'25-26'!AC208*1.03</f>
        <v>57120.341260000001</v>
      </c>
      <c r="AD208" s="5"/>
      <c r="AE208" s="5"/>
      <c r="AF208" s="5"/>
      <c r="AG208" s="5"/>
      <c r="AH208" s="5"/>
      <c r="AI208" s="5"/>
      <c r="AJ208" s="5">
        <f t="shared" si="538"/>
        <v>57120.341260000001</v>
      </c>
      <c r="AL208" s="62">
        <f>'25-26'!AL208*1.03</f>
        <v>34670.212</v>
      </c>
      <c r="AM208" s="5"/>
      <c r="AN208" s="5"/>
      <c r="AO208" s="5"/>
      <c r="AP208" s="5"/>
      <c r="AQ208" s="5"/>
      <c r="AR208" s="5"/>
      <c r="AS208" s="5">
        <f t="shared" si="539"/>
        <v>34670.212</v>
      </c>
      <c r="AU208" s="84"/>
      <c r="AV208" s="5"/>
      <c r="AW208" s="5"/>
      <c r="AX208" s="5"/>
      <c r="AY208" s="5"/>
      <c r="AZ208" s="5"/>
      <c r="BA208" s="5"/>
      <c r="BB208" s="5">
        <f t="shared" si="540"/>
        <v>0</v>
      </c>
      <c r="BD208" s="62">
        <f>'25-26'!BD208*1.03</f>
        <v>12200.35</v>
      </c>
      <c r="BE208" s="5"/>
      <c r="BF208" s="5"/>
      <c r="BG208" s="5"/>
      <c r="BH208" s="5"/>
      <c r="BI208" s="5"/>
      <c r="BJ208" s="5"/>
      <c r="BK208" s="5">
        <f t="shared" si="541"/>
        <v>12200.35</v>
      </c>
      <c r="BM208" s="84"/>
      <c r="BN208" s="5"/>
      <c r="BO208" s="5"/>
      <c r="BP208" s="5"/>
      <c r="BQ208" s="5"/>
      <c r="BR208" s="5"/>
      <c r="BS208" s="5"/>
      <c r="BT208" s="5">
        <f t="shared" si="542"/>
        <v>0</v>
      </c>
      <c r="BV208" s="5">
        <f t="shared" si="543"/>
        <v>203534.72589999999</v>
      </c>
      <c r="BW208" s="5">
        <f t="shared" si="543"/>
        <v>0</v>
      </c>
      <c r="BX208" s="5">
        <f t="shared" si="543"/>
        <v>0</v>
      </c>
      <c r="BY208" s="5">
        <f t="shared" si="543"/>
        <v>0</v>
      </c>
      <c r="BZ208" s="5">
        <f t="shared" si="543"/>
        <v>0</v>
      </c>
      <c r="CA208" s="5">
        <f t="shared" si="543"/>
        <v>0</v>
      </c>
      <c r="CB208" s="5"/>
      <c r="CC208" s="5">
        <f t="shared" si="544"/>
        <v>203534.72589999999</v>
      </c>
    </row>
    <row r="209" spans="1:81" ht="15">
      <c r="A209" s="70" t="s">
        <v>189</v>
      </c>
      <c r="B209" s="71">
        <f t="shared" ref="B209:I209" si="545">SUM(B199:B208)</f>
        <v>488817.77160000004</v>
      </c>
      <c r="C209" s="71">
        <f t="shared" si="545"/>
        <v>0</v>
      </c>
      <c r="D209" s="71">
        <f t="shared" si="545"/>
        <v>0</v>
      </c>
      <c r="E209" s="71">
        <f t="shared" si="545"/>
        <v>0</v>
      </c>
      <c r="F209" s="71">
        <f t="shared" si="545"/>
        <v>0</v>
      </c>
      <c r="G209" s="71">
        <f t="shared" si="545"/>
        <v>0</v>
      </c>
      <c r="H209" s="71">
        <f t="shared" si="545"/>
        <v>0</v>
      </c>
      <c r="I209" s="71">
        <f t="shared" si="545"/>
        <v>488817.77160000004</v>
      </c>
      <c r="J209" s="7"/>
      <c r="K209" s="71">
        <f>SUM(K199:K208)</f>
        <v>424666.16610000003</v>
      </c>
      <c r="L209" s="71">
        <f t="shared" ref="L209:R209" si="546">SUM(L199:L208)</f>
        <v>0</v>
      </c>
      <c r="M209" s="71">
        <f t="shared" si="546"/>
        <v>0</v>
      </c>
      <c r="N209" s="71">
        <f t="shared" si="546"/>
        <v>0</v>
      </c>
      <c r="O209" s="71">
        <f t="shared" si="546"/>
        <v>0</v>
      </c>
      <c r="P209" s="71">
        <f t="shared" si="546"/>
        <v>0</v>
      </c>
      <c r="Q209" s="71">
        <f t="shared" si="546"/>
        <v>0</v>
      </c>
      <c r="R209" s="71">
        <f t="shared" si="546"/>
        <v>424666.16610000003</v>
      </c>
      <c r="T209" s="71">
        <f t="shared" ref="T209:AA209" si="547">SUM(T199:T208)</f>
        <v>528298.50204000005</v>
      </c>
      <c r="U209" s="71">
        <f t="shared" si="547"/>
        <v>0</v>
      </c>
      <c r="V209" s="71">
        <f t="shared" si="547"/>
        <v>0</v>
      </c>
      <c r="W209" s="71">
        <f t="shared" si="547"/>
        <v>0</v>
      </c>
      <c r="X209" s="71">
        <f t="shared" si="547"/>
        <v>0</v>
      </c>
      <c r="Y209" s="71">
        <f t="shared" si="547"/>
        <v>0</v>
      </c>
      <c r="Z209" s="71">
        <f t="shared" si="547"/>
        <v>0</v>
      </c>
      <c r="AA209" s="71">
        <f t="shared" si="547"/>
        <v>528298.50204000005</v>
      </c>
      <c r="AC209" s="71">
        <f t="shared" ref="AC209:AJ209" si="548">SUM(AC199:AC208)</f>
        <v>1088690.7842599999</v>
      </c>
      <c r="AD209" s="71">
        <f t="shared" si="548"/>
        <v>0</v>
      </c>
      <c r="AE209" s="71">
        <f t="shared" si="548"/>
        <v>0</v>
      </c>
      <c r="AF209" s="71">
        <f t="shared" si="548"/>
        <v>0</v>
      </c>
      <c r="AG209" s="71">
        <f t="shared" si="548"/>
        <v>0</v>
      </c>
      <c r="AH209" s="71">
        <f t="shared" si="548"/>
        <v>0</v>
      </c>
      <c r="AI209" s="71">
        <f t="shared" si="548"/>
        <v>0</v>
      </c>
      <c r="AJ209" s="71">
        <f t="shared" si="548"/>
        <v>1088690.7842599999</v>
      </c>
      <c r="AL209" s="71">
        <f t="shared" ref="AL209:AS209" si="549">SUM(AL199:AL208)</f>
        <v>1168697.398</v>
      </c>
      <c r="AM209" s="71">
        <f t="shared" si="549"/>
        <v>0</v>
      </c>
      <c r="AN209" s="71">
        <f t="shared" si="549"/>
        <v>0</v>
      </c>
      <c r="AO209" s="71">
        <f t="shared" si="549"/>
        <v>0</v>
      </c>
      <c r="AP209" s="71">
        <f t="shared" si="549"/>
        <v>0</v>
      </c>
      <c r="AQ209" s="71">
        <f t="shared" si="549"/>
        <v>0</v>
      </c>
      <c r="AR209" s="71">
        <f t="shared" si="549"/>
        <v>0</v>
      </c>
      <c r="AS209" s="71">
        <f t="shared" si="549"/>
        <v>1168697.398</v>
      </c>
      <c r="AU209" s="71">
        <f t="shared" ref="AU209:BB209" si="550">SUM(AU199:AU208)</f>
        <v>0</v>
      </c>
      <c r="AV209" s="71">
        <f t="shared" si="550"/>
        <v>0</v>
      </c>
      <c r="AW209" s="71">
        <f t="shared" si="550"/>
        <v>0</v>
      </c>
      <c r="AX209" s="71">
        <f t="shared" si="550"/>
        <v>0</v>
      </c>
      <c r="AY209" s="71">
        <f t="shared" si="550"/>
        <v>0</v>
      </c>
      <c r="AZ209" s="71">
        <f t="shared" si="550"/>
        <v>0</v>
      </c>
      <c r="BA209" s="71">
        <f t="shared" si="550"/>
        <v>0</v>
      </c>
      <c r="BB209" s="71">
        <f t="shared" si="550"/>
        <v>0</v>
      </c>
      <c r="BD209" s="71">
        <f t="shared" ref="BD209:BK209" si="551">SUM(BD199:BD208)</f>
        <v>110239.1</v>
      </c>
      <c r="BE209" s="71">
        <f t="shared" si="551"/>
        <v>0</v>
      </c>
      <c r="BF209" s="71">
        <f t="shared" si="551"/>
        <v>0</v>
      </c>
      <c r="BG209" s="71">
        <f t="shared" si="551"/>
        <v>0</v>
      </c>
      <c r="BH209" s="71">
        <f t="shared" si="551"/>
        <v>0</v>
      </c>
      <c r="BI209" s="71">
        <f t="shared" si="551"/>
        <v>0</v>
      </c>
      <c r="BJ209" s="71">
        <f t="shared" si="551"/>
        <v>0</v>
      </c>
      <c r="BK209" s="71">
        <f t="shared" si="551"/>
        <v>110239.1</v>
      </c>
      <c r="BM209" s="71">
        <f t="shared" ref="BM209:BT209" si="552">SUM(BM199:BM208)</f>
        <v>0</v>
      </c>
      <c r="BN209" s="71">
        <f t="shared" si="552"/>
        <v>0</v>
      </c>
      <c r="BO209" s="71">
        <f t="shared" si="552"/>
        <v>0</v>
      </c>
      <c r="BP209" s="71">
        <f t="shared" si="552"/>
        <v>0</v>
      </c>
      <c r="BQ209" s="71">
        <f t="shared" si="552"/>
        <v>0</v>
      </c>
      <c r="BR209" s="71">
        <f t="shared" si="552"/>
        <v>0</v>
      </c>
      <c r="BS209" s="71">
        <f t="shared" si="552"/>
        <v>0</v>
      </c>
      <c r="BT209" s="71">
        <f t="shared" si="552"/>
        <v>0</v>
      </c>
      <c r="BV209" s="71">
        <f t="shared" ref="BV209:CC209" si="553">SUM(BV199:BV208)</f>
        <v>3809409.7220000001</v>
      </c>
      <c r="BW209" s="71">
        <f t="shared" si="553"/>
        <v>0</v>
      </c>
      <c r="BX209" s="71">
        <f t="shared" si="553"/>
        <v>0</v>
      </c>
      <c r="BY209" s="71">
        <f t="shared" si="553"/>
        <v>0</v>
      </c>
      <c r="BZ209" s="71">
        <f t="shared" si="553"/>
        <v>0</v>
      </c>
      <c r="CA209" s="71">
        <f t="shared" si="553"/>
        <v>0</v>
      </c>
      <c r="CB209" s="71">
        <f t="shared" si="553"/>
        <v>0</v>
      </c>
      <c r="CC209" s="71">
        <f t="shared" si="553"/>
        <v>3809409.7220000001</v>
      </c>
    </row>
    <row r="210" spans="1:81">
      <c r="A210" s="85"/>
      <c r="B210" s="5"/>
      <c r="C210" s="5"/>
      <c r="D210" s="5"/>
      <c r="E210" s="5"/>
      <c r="F210" s="5"/>
      <c r="G210" s="5"/>
      <c r="H210" s="5"/>
      <c r="I210" s="5"/>
      <c r="J210" s="7"/>
      <c r="K210" s="5"/>
      <c r="L210" s="5"/>
      <c r="M210" s="5"/>
      <c r="N210" s="5"/>
      <c r="O210" s="5"/>
      <c r="P210" s="5"/>
      <c r="Q210" s="5"/>
      <c r="R210" s="5"/>
      <c r="T210" s="5"/>
      <c r="U210" s="5"/>
      <c r="V210" s="5"/>
      <c r="W210" s="5"/>
      <c r="X210" s="5"/>
      <c r="Y210" s="5"/>
      <c r="Z210" s="5"/>
      <c r="AA210" s="5"/>
      <c r="AC210" s="5"/>
      <c r="AD210" s="5"/>
      <c r="AE210" s="5"/>
      <c r="AF210" s="5"/>
      <c r="AG210" s="5"/>
      <c r="AH210" s="5"/>
      <c r="AI210" s="5"/>
      <c r="AJ210" s="5"/>
      <c r="AL210" s="5"/>
      <c r="AM210" s="5"/>
      <c r="AN210" s="5"/>
      <c r="AO210" s="5"/>
      <c r="AP210" s="5"/>
      <c r="AQ210" s="5"/>
      <c r="AR210" s="5"/>
      <c r="AS210" s="5"/>
      <c r="AU210" s="5"/>
      <c r="AV210" s="5"/>
      <c r="AW210" s="5"/>
      <c r="AX210" s="5"/>
      <c r="AY210" s="5"/>
      <c r="AZ210" s="5"/>
      <c r="BA210" s="5"/>
      <c r="BB210" s="5"/>
      <c r="BD210" s="5"/>
      <c r="BE210" s="5"/>
      <c r="BF210" s="5"/>
      <c r="BG210" s="5"/>
      <c r="BH210" s="5"/>
      <c r="BI210" s="5"/>
      <c r="BJ210" s="5"/>
      <c r="BK210" s="5"/>
      <c r="BM210" s="5"/>
      <c r="BN210" s="5"/>
      <c r="BO210" s="5"/>
      <c r="BP210" s="5"/>
      <c r="BQ210" s="5"/>
      <c r="BR210" s="5"/>
      <c r="BS210" s="5"/>
      <c r="BT210" s="5"/>
      <c r="BV210" s="5"/>
      <c r="BW210" s="5"/>
      <c r="BX210" s="5"/>
      <c r="BY210" s="5"/>
      <c r="BZ210" s="5"/>
      <c r="CA210" s="5"/>
      <c r="CB210" s="5"/>
      <c r="CC210" s="5"/>
    </row>
    <row r="211" spans="1:81" ht="15">
      <c r="A211" s="70" t="s">
        <v>190</v>
      </c>
      <c r="B211" s="71">
        <f>B142+B154+B170+B197+B209</f>
        <v>7625668.0706728371</v>
      </c>
      <c r="C211" s="71">
        <f t="shared" ref="C211:H211" si="554">C142+C154+C170+C197+C209</f>
        <v>1332324.3920748443</v>
      </c>
      <c r="D211" s="71">
        <f t="shared" si="554"/>
        <v>412913</v>
      </c>
      <c r="E211" s="71">
        <f t="shared" si="554"/>
        <v>0</v>
      </c>
      <c r="F211" s="71">
        <f t="shared" si="554"/>
        <v>0</v>
      </c>
      <c r="G211" s="71">
        <f t="shared" si="554"/>
        <v>275000</v>
      </c>
      <c r="H211" s="71">
        <f t="shared" si="554"/>
        <v>0</v>
      </c>
      <c r="I211" s="71">
        <f>I142+I154+I170+I197+I209</f>
        <v>9645905.4627476819</v>
      </c>
      <c r="J211" s="7"/>
      <c r="K211" s="71">
        <f>K142+K154+K170+K197+K209</f>
        <v>8497813.9965396672</v>
      </c>
      <c r="L211" s="71">
        <f t="shared" ref="L211:Q211" si="555">L142+L154+L170+L197+L209</f>
        <v>977265.9070751114</v>
      </c>
      <c r="M211" s="71">
        <f t="shared" si="555"/>
        <v>344937.901625</v>
      </c>
      <c r="N211" s="71">
        <f t="shared" si="555"/>
        <v>0</v>
      </c>
      <c r="O211" s="71">
        <f t="shared" si="555"/>
        <v>0</v>
      </c>
      <c r="P211" s="71">
        <f t="shared" si="555"/>
        <v>800000</v>
      </c>
      <c r="Q211" s="71">
        <f t="shared" si="555"/>
        <v>0</v>
      </c>
      <c r="R211" s="71">
        <f>R142+R154+R170+R197+R209</f>
        <v>10620017.805239778</v>
      </c>
      <c r="T211" s="71">
        <f>T142+T154+T170+T197+T209</f>
        <v>10192953.672807677</v>
      </c>
      <c r="U211" s="71">
        <f t="shared" ref="U211:Z211" si="556">U142+U154+U170+U197+U209</f>
        <v>1158780.4196510988</v>
      </c>
      <c r="V211" s="71">
        <f t="shared" si="556"/>
        <v>234199.875</v>
      </c>
      <c r="W211" s="71">
        <f t="shared" si="556"/>
        <v>0</v>
      </c>
      <c r="X211" s="71">
        <f t="shared" si="556"/>
        <v>0</v>
      </c>
      <c r="Y211" s="71">
        <f t="shared" si="556"/>
        <v>800000</v>
      </c>
      <c r="Z211" s="71">
        <f t="shared" si="556"/>
        <v>0</v>
      </c>
      <c r="AA211" s="71">
        <f>AA142+AA154+AA170+AA197+AA209</f>
        <v>12385933.967458773</v>
      </c>
      <c r="AC211" s="71">
        <f>AC142+AC154+AC170+AC197+AC209</f>
        <v>20616905.109480005</v>
      </c>
      <c r="AD211" s="71">
        <f t="shared" ref="AD211:AI211" si="557">AD142+AD154+AD170+AD197+AD209</f>
        <v>2833481.5121728946</v>
      </c>
      <c r="AE211" s="71">
        <f t="shared" si="557"/>
        <v>1002529.25</v>
      </c>
      <c r="AF211" s="71">
        <f t="shared" si="557"/>
        <v>0</v>
      </c>
      <c r="AG211" s="71">
        <f t="shared" si="557"/>
        <v>0</v>
      </c>
      <c r="AH211" s="71">
        <f t="shared" si="557"/>
        <v>1250000</v>
      </c>
      <c r="AI211" s="71">
        <f t="shared" si="557"/>
        <v>0</v>
      </c>
      <c r="AJ211" s="71">
        <f>AJ142+AJ154+AJ170+AJ197+AJ209</f>
        <v>25702915.871652894</v>
      </c>
      <c r="AL211" s="71">
        <f>AL142+AL154+AL170+AL197+AL209</f>
        <v>18284829.539797187</v>
      </c>
      <c r="AM211" s="71">
        <f t="shared" ref="AM211:AR211" si="558">AM142+AM154+AM170+AM197+AM209</f>
        <v>2639637.1110168574</v>
      </c>
      <c r="AN211" s="71">
        <f t="shared" si="558"/>
        <v>631060.25</v>
      </c>
      <c r="AO211" s="71">
        <f t="shared" si="558"/>
        <v>0</v>
      </c>
      <c r="AP211" s="71">
        <f t="shared" si="558"/>
        <v>0</v>
      </c>
      <c r="AQ211" s="71">
        <f t="shared" si="558"/>
        <v>2000000</v>
      </c>
      <c r="AR211" s="71">
        <f t="shared" si="558"/>
        <v>0</v>
      </c>
      <c r="AS211" s="71">
        <f>AS142+AS154+AS170+AS197+AS209</f>
        <v>23555526.900814041</v>
      </c>
      <c r="AU211" s="71">
        <f>AU142+AU154+AU170+AU197+AU209</f>
        <v>1135471.2206406249</v>
      </c>
      <c r="AV211" s="71">
        <f t="shared" ref="AV211:BA211" si="559">AV142+AV154+AV170+AV197+AV209</f>
        <v>220392.33302195312</v>
      </c>
      <c r="AW211" s="71">
        <f t="shared" si="559"/>
        <v>2835</v>
      </c>
      <c r="AX211" s="71">
        <f t="shared" si="559"/>
        <v>0</v>
      </c>
      <c r="AY211" s="71">
        <f t="shared" si="559"/>
        <v>0</v>
      </c>
      <c r="AZ211" s="71">
        <f t="shared" si="559"/>
        <v>0</v>
      </c>
      <c r="BA211" s="71">
        <f t="shared" si="559"/>
        <v>0</v>
      </c>
      <c r="BB211" s="71">
        <f>BB142+BB154+BB170+BB197+BB209</f>
        <v>1358698.5536625781</v>
      </c>
      <c r="BD211" s="71">
        <f>BD142+BD154+BD170+BD197+BD209</f>
        <v>3467833.6086562499</v>
      </c>
      <c r="BE211" s="71">
        <f t="shared" ref="BE211:BJ211" si="560">BE142+BE154+BE170+BE197+BE209</f>
        <v>522642.77725563908</v>
      </c>
      <c r="BF211" s="71">
        <f t="shared" si="560"/>
        <v>484799.17000000004</v>
      </c>
      <c r="BG211" s="71">
        <f t="shared" si="560"/>
        <v>0</v>
      </c>
      <c r="BH211" s="71">
        <f t="shared" si="560"/>
        <v>0</v>
      </c>
      <c r="BI211" s="71">
        <f t="shared" si="560"/>
        <v>50000</v>
      </c>
      <c r="BJ211" s="71">
        <f t="shared" si="560"/>
        <v>0</v>
      </c>
      <c r="BK211" s="71">
        <f>BK142+BK154+BK170+BK197+BK209</f>
        <v>4525275.5559118884</v>
      </c>
      <c r="BM211" s="71">
        <f>BM142+BM154+BM170+BM197+BM209</f>
        <v>442088.43715624989</v>
      </c>
      <c r="BN211" s="71">
        <f t="shared" ref="BN211:BS211" si="561">BN142+BN154+BN170+BN197+BN209</f>
        <v>0</v>
      </c>
      <c r="BO211" s="71">
        <f t="shared" si="561"/>
        <v>27918.125</v>
      </c>
      <c r="BP211" s="71">
        <f t="shared" si="561"/>
        <v>0</v>
      </c>
      <c r="BQ211" s="71">
        <f t="shared" si="561"/>
        <v>0</v>
      </c>
      <c r="BR211" s="71">
        <f t="shared" si="561"/>
        <v>0</v>
      </c>
      <c r="BS211" s="71">
        <f t="shared" si="561"/>
        <v>0</v>
      </c>
      <c r="BT211" s="71">
        <f>BT142+BT154+BT170+BT197+BT209</f>
        <v>470006.56215624989</v>
      </c>
      <c r="BV211" s="71">
        <f>BV142+BV154+BV170+BV197+BV209</f>
        <v>70263563.655750498</v>
      </c>
      <c r="BW211" s="71">
        <f t="shared" ref="BW211:CB211" si="562">BW142+BW154+BW170+BW197+BW209</f>
        <v>9684524.4522683993</v>
      </c>
      <c r="BX211" s="71">
        <f t="shared" si="562"/>
        <v>3141192.5716249999</v>
      </c>
      <c r="BY211" s="71">
        <f t="shared" si="562"/>
        <v>0</v>
      </c>
      <c r="BZ211" s="71">
        <f t="shared" si="562"/>
        <v>0</v>
      </c>
      <c r="CA211" s="71">
        <f t="shared" si="562"/>
        <v>5175000</v>
      </c>
      <c r="CB211" s="71">
        <f t="shared" si="562"/>
        <v>0</v>
      </c>
      <c r="CC211" s="71">
        <f>CC142+CC154+CC170+CC197+CC209</f>
        <v>88264280.679643899</v>
      </c>
    </row>
    <row r="212" spans="1:81">
      <c r="A212" s="86"/>
      <c r="B212" s="52"/>
      <c r="C212" s="52"/>
      <c r="D212" s="52"/>
      <c r="E212" s="52"/>
      <c r="F212" s="52"/>
      <c r="G212" s="52"/>
      <c r="H212" s="52"/>
      <c r="I212" s="52"/>
      <c r="J212" s="7"/>
      <c r="K212" s="52"/>
      <c r="L212" s="52"/>
      <c r="M212" s="52"/>
      <c r="N212" s="52"/>
      <c r="O212" s="52"/>
      <c r="P212" s="52"/>
      <c r="Q212" s="52"/>
      <c r="R212" s="52"/>
      <c r="T212" s="52"/>
      <c r="U212" s="52"/>
      <c r="V212" s="52"/>
      <c r="W212" s="52"/>
      <c r="X212" s="52"/>
      <c r="Y212" s="52"/>
      <c r="Z212" s="52"/>
      <c r="AA212" s="52"/>
      <c r="AC212" s="52"/>
      <c r="AD212" s="52"/>
      <c r="AE212" s="52"/>
      <c r="AF212" s="52"/>
      <c r="AG212" s="52"/>
      <c r="AH212" s="52"/>
      <c r="AI212" s="52"/>
      <c r="AJ212" s="52"/>
      <c r="AL212" s="52"/>
      <c r="AM212" s="52"/>
      <c r="AN212" s="52"/>
      <c r="AO212" s="52"/>
      <c r="AP212" s="52"/>
      <c r="AQ212" s="52"/>
      <c r="AR212" s="52"/>
      <c r="AS212" s="52"/>
      <c r="AU212" s="52"/>
      <c r="AV212" s="52"/>
      <c r="AW212" s="52"/>
      <c r="AX212" s="52"/>
      <c r="AY212" s="52"/>
      <c r="AZ212" s="52"/>
      <c r="BA212" s="52"/>
      <c r="BB212" s="52"/>
      <c r="BD212" s="52"/>
      <c r="BE212" s="52"/>
      <c r="BF212" s="52"/>
      <c r="BG212" s="52"/>
      <c r="BH212" s="52"/>
      <c r="BI212" s="52"/>
      <c r="BJ212" s="52"/>
      <c r="BK212" s="52"/>
      <c r="BM212" s="52"/>
      <c r="BN212" s="52"/>
      <c r="BO212" s="52"/>
      <c r="BP212" s="52"/>
      <c r="BQ212" s="52"/>
      <c r="BR212" s="52"/>
      <c r="BS212" s="52"/>
      <c r="BT212" s="52"/>
      <c r="BV212" s="52"/>
      <c r="BW212" s="52"/>
      <c r="BX212" s="52"/>
      <c r="BY212" s="52"/>
      <c r="BZ212" s="52"/>
      <c r="CA212" s="52"/>
      <c r="CB212" s="52"/>
      <c r="CC212" s="52"/>
    </row>
    <row r="213" spans="1:81" ht="15">
      <c r="A213" s="43" t="s">
        <v>191</v>
      </c>
      <c r="B213" s="103">
        <v>0</v>
      </c>
      <c r="C213" s="9"/>
      <c r="D213" s="9"/>
      <c r="E213" s="9"/>
      <c r="F213" s="9"/>
      <c r="G213" s="9"/>
      <c r="H213" s="9"/>
      <c r="I213" s="9">
        <f t="shared" ref="I213:I218" si="563">SUM(B213:H213)</f>
        <v>0</v>
      </c>
      <c r="K213" s="9">
        <v>0</v>
      </c>
      <c r="L213" s="9"/>
      <c r="M213" s="9"/>
      <c r="N213" s="9"/>
      <c r="O213" s="9"/>
      <c r="P213" s="9"/>
      <c r="Q213" s="9"/>
      <c r="R213" s="9">
        <f t="shared" ref="R213:R218" si="564">SUM(K213:Q213)</f>
        <v>0</v>
      </c>
      <c r="T213" s="9"/>
      <c r="U213" s="9"/>
      <c r="V213" s="9"/>
      <c r="W213" s="9"/>
      <c r="X213" s="9"/>
      <c r="Y213" s="9"/>
      <c r="Z213" s="9"/>
      <c r="AA213" s="9">
        <f t="shared" ref="AA213:AA218" si="565">SUM(T213:Z213)</f>
        <v>0</v>
      </c>
      <c r="AC213" s="9">
        <v>2496183.33</v>
      </c>
      <c r="AD213" s="9"/>
      <c r="AE213" s="9"/>
      <c r="AF213" s="9"/>
      <c r="AG213" s="9"/>
      <c r="AH213" s="9"/>
      <c r="AI213" s="9"/>
      <c r="AJ213" s="9">
        <f t="shared" ref="AJ213:AJ218" si="566">SUM(AC213:AI213)</f>
        <v>2496183.33</v>
      </c>
      <c r="AL213" s="9">
        <v>3903048.34</v>
      </c>
      <c r="AM213" s="9"/>
      <c r="AN213" s="9"/>
      <c r="AO213" s="9"/>
      <c r="AP213" s="9"/>
      <c r="AQ213" s="9"/>
      <c r="AR213" s="9"/>
      <c r="AS213" s="9">
        <f t="shared" ref="AS213:AS218" si="567">SUM(AL213:AR213)</f>
        <v>3903048.34</v>
      </c>
      <c r="AU213" s="9"/>
      <c r="AV213" s="9"/>
      <c r="AW213" s="9"/>
      <c r="AX213" s="9"/>
      <c r="AY213" s="9"/>
      <c r="AZ213" s="9"/>
      <c r="BA213" s="9"/>
      <c r="BB213" s="9">
        <f t="shared" ref="BB213:BB218" si="568">SUM(AU213:BA213)</f>
        <v>0</v>
      </c>
      <c r="BD213" s="9">
        <f>(750*1.03*1.03)*BD17</f>
        <v>334979.17500000005</v>
      </c>
      <c r="BE213" s="9"/>
      <c r="BF213" s="9"/>
      <c r="BG213" s="9"/>
      <c r="BH213" s="9"/>
      <c r="BI213" s="9"/>
      <c r="BJ213" s="9"/>
      <c r="BK213" s="9">
        <f t="shared" ref="BK213:BK218" si="569">SUM(BD213:BJ213)</f>
        <v>334979.17500000005</v>
      </c>
      <c r="BM213" s="9">
        <v>0</v>
      </c>
      <c r="BN213" s="9"/>
      <c r="BO213" s="9"/>
      <c r="BP213" s="9"/>
      <c r="BQ213" s="9"/>
      <c r="BR213" s="9"/>
      <c r="BS213" s="9"/>
      <c r="BT213" s="9">
        <f t="shared" ref="BT213:BT218" si="570">SUM(BM213:BS213)</f>
        <v>0</v>
      </c>
      <c r="BV213" s="9">
        <f t="shared" ref="BV213:CA217" si="571">B213+K213+T213+AC213+AL213+AU213+BD213+BM213</f>
        <v>6734210.8449999997</v>
      </c>
      <c r="BW213" s="9">
        <f t="shared" si="571"/>
        <v>0</v>
      </c>
      <c r="BX213" s="9">
        <f t="shared" si="571"/>
        <v>0</v>
      </c>
      <c r="BY213" s="9">
        <f t="shared" si="571"/>
        <v>0</v>
      </c>
      <c r="BZ213" s="9">
        <f t="shared" si="571"/>
        <v>0</v>
      </c>
      <c r="CA213" s="9">
        <f t="shared" si="571"/>
        <v>0</v>
      </c>
      <c r="CB213" s="9"/>
      <c r="CC213" s="9">
        <f t="shared" ref="CC213:CC218" si="572">SUM(BV213:CB213)</f>
        <v>6734210.8449999997</v>
      </c>
    </row>
    <row r="214" spans="1:81" ht="15">
      <c r="A214" s="43" t="s">
        <v>192</v>
      </c>
      <c r="B214" s="9">
        <v>252975.53</v>
      </c>
      <c r="C214" s="9"/>
      <c r="D214" s="9"/>
      <c r="E214" s="9"/>
      <c r="F214" s="9"/>
      <c r="G214" s="9"/>
      <c r="H214" s="9"/>
      <c r="I214" s="9">
        <f t="shared" si="563"/>
        <v>252975.53</v>
      </c>
      <c r="K214" s="9">
        <v>287206.53999999998</v>
      </c>
      <c r="L214" s="9"/>
      <c r="M214" s="9"/>
      <c r="N214" s="9"/>
      <c r="O214" s="9"/>
      <c r="P214" s="9"/>
      <c r="Q214" s="9"/>
      <c r="R214" s="9">
        <f t="shared" si="564"/>
        <v>287206.53999999998</v>
      </c>
      <c r="T214" s="9">
        <v>346484.63</v>
      </c>
      <c r="U214" s="9"/>
      <c r="V214" s="9"/>
      <c r="W214" s="9"/>
      <c r="X214" s="9"/>
      <c r="Y214" s="9"/>
      <c r="Z214" s="9"/>
      <c r="AA214" s="9">
        <f t="shared" si="565"/>
        <v>346484.63</v>
      </c>
      <c r="AC214" s="9">
        <v>0</v>
      </c>
      <c r="AD214" s="9"/>
      <c r="AE214" s="9"/>
      <c r="AF214" s="9"/>
      <c r="AG214" s="9"/>
      <c r="AH214" s="9"/>
      <c r="AI214" s="9"/>
      <c r="AJ214" s="9">
        <f t="shared" si="566"/>
        <v>0</v>
      </c>
      <c r="AL214" s="9">
        <v>0</v>
      </c>
      <c r="AM214" s="9"/>
      <c r="AN214" s="9"/>
      <c r="AO214" s="9"/>
      <c r="AP214" s="9"/>
      <c r="AQ214" s="9"/>
      <c r="AR214" s="9"/>
      <c r="AS214" s="9">
        <f t="shared" si="567"/>
        <v>0</v>
      </c>
      <c r="AU214" s="9"/>
      <c r="AV214" s="9"/>
      <c r="AW214" s="9"/>
      <c r="AX214" s="9"/>
      <c r="AY214" s="9"/>
      <c r="AZ214" s="9"/>
      <c r="BA214" s="9"/>
      <c r="BB214" s="9">
        <f t="shared" si="568"/>
        <v>0</v>
      </c>
      <c r="BD214" s="9">
        <v>0</v>
      </c>
      <c r="BE214" s="9"/>
      <c r="BF214" s="9"/>
      <c r="BG214" s="9"/>
      <c r="BH214" s="9"/>
      <c r="BI214" s="9"/>
      <c r="BJ214" s="9"/>
      <c r="BK214" s="9">
        <f t="shared" si="569"/>
        <v>0</v>
      </c>
      <c r="BM214" s="9">
        <v>0</v>
      </c>
      <c r="BN214" s="9"/>
      <c r="BO214" s="9"/>
      <c r="BP214" s="9"/>
      <c r="BQ214" s="9"/>
      <c r="BR214" s="9"/>
      <c r="BS214" s="9"/>
      <c r="BT214" s="9">
        <f t="shared" si="570"/>
        <v>0</v>
      </c>
      <c r="BV214" s="9">
        <f t="shared" si="571"/>
        <v>886666.7</v>
      </c>
      <c r="BW214" s="9">
        <f t="shared" si="571"/>
        <v>0</v>
      </c>
      <c r="BX214" s="9">
        <f t="shared" si="571"/>
        <v>0</v>
      </c>
      <c r="BY214" s="9">
        <f t="shared" si="571"/>
        <v>0</v>
      </c>
      <c r="BZ214" s="9">
        <f t="shared" si="571"/>
        <v>0</v>
      </c>
      <c r="CA214" s="9">
        <f t="shared" si="571"/>
        <v>0</v>
      </c>
      <c r="CB214" s="9"/>
      <c r="CC214" s="9">
        <f t="shared" si="572"/>
        <v>886666.7</v>
      </c>
    </row>
    <row r="215" spans="1:81" ht="15">
      <c r="A215" s="43" t="s">
        <v>193</v>
      </c>
      <c r="B215" s="9">
        <v>618786.67000000004</v>
      </c>
      <c r="C215" s="9"/>
      <c r="D215" s="9"/>
      <c r="E215" s="9"/>
      <c r="F215" s="9"/>
      <c r="G215" s="9"/>
      <c r="H215" s="9"/>
      <c r="I215" s="9">
        <f t="shared" si="563"/>
        <v>618786.67000000004</v>
      </c>
      <c r="K215" s="9">
        <v>702516.87</v>
      </c>
      <c r="L215" s="9"/>
      <c r="M215" s="9"/>
      <c r="N215" s="9"/>
      <c r="O215" s="9"/>
      <c r="P215" s="9"/>
      <c r="Q215" s="9"/>
      <c r="R215" s="9">
        <f t="shared" si="564"/>
        <v>702516.87</v>
      </c>
      <c r="T215" s="9">
        <v>847513.09</v>
      </c>
      <c r="U215" s="9"/>
      <c r="V215" s="9"/>
      <c r="W215" s="9"/>
      <c r="X215" s="9"/>
      <c r="Y215" s="9"/>
      <c r="Z215" s="9"/>
      <c r="AA215" s="9">
        <f t="shared" si="565"/>
        <v>847513.09</v>
      </c>
      <c r="AC215" s="9">
        <v>0</v>
      </c>
      <c r="AD215" s="9"/>
      <c r="AE215" s="9"/>
      <c r="AF215" s="9"/>
      <c r="AG215" s="9"/>
      <c r="AH215" s="9"/>
      <c r="AI215" s="9"/>
      <c r="AJ215" s="9">
        <f t="shared" si="566"/>
        <v>0</v>
      </c>
      <c r="AL215" s="9">
        <v>0</v>
      </c>
      <c r="AM215" s="9"/>
      <c r="AN215" s="9"/>
      <c r="AO215" s="9"/>
      <c r="AP215" s="9"/>
      <c r="AQ215" s="9"/>
      <c r="AR215" s="9"/>
      <c r="AS215" s="9">
        <f t="shared" si="567"/>
        <v>0</v>
      </c>
      <c r="AU215" s="9"/>
      <c r="AV215" s="9"/>
      <c r="AW215" s="9"/>
      <c r="AX215" s="9"/>
      <c r="AY215" s="9"/>
      <c r="AZ215" s="9"/>
      <c r="BA215" s="9"/>
      <c r="BB215" s="9">
        <f t="shared" si="568"/>
        <v>0</v>
      </c>
      <c r="BD215" s="9">
        <v>0</v>
      </c>
      <c r="BE215" s="9"/>
      <c r="BF215" s="9"/>
      <c r="BG215" s="9"/>
      <c r="BH215" s="9"/>
      <c r="BI215" s="9"/>
      <c r="BJ215" s="9"/>
      <c r="BK215" s="9">
        <f t="shared" si="569"/>
        <v>0</v>
      </c>
      <c r="BM215" s="9">
        <v>0</v>
      </c>
      <c r="BN215" s="9"/>
      <c r="BO215" s="9"/>
      <c r="BP215" s="9"/>
      <c r="BQ215" s="9"/>
      <c r="BR215" s="9"/>
      <c r="BS215" s="9"/>
      <c r="BT215" s="9">
        <f t="shared" si="570"/>
        <v>0</v>
      </c>
      <c r="BV215" s="9">
        <f t="shared" si="571"/>
        <v>2168816.63</v>
      </c>
      <c r="BW215" s="9">
        <f t="shared" si="571"/>
        <v>0</v>
      </c>
      <c r="BX215" s="9">
        <f t="shared" si="571"/>
        <v>0</v>
      </c>
      <c r="BY215" s="9">
        <f t="shared" si="571"/>
        <v>0</v>
      </c>
      <c r="BZ215" s="9">
        <f t="shared" si="571"/>
        <v>0</v>
      </c>
      <c r="CA215" s="9">
        <f t="shared" si="571"/>
        <v>0</v>
      </c>
      <c r="CB215" s="9"/>
      <c r="CC215" s="9">
        <f t="shared" si="572"/>
        <v>2168816.63</v>
      </c>
    </row>
    <row r="216" spans="1:81" ht="15">
      <c r="A216" s="43" t="s">
        <v>194</v>
      </c>
      <c r="B216" s="103">
        <f>3750*12</f>
        <v>45000</v>
      </c>
      <c r="C216" s="9"/>
      <c r="D216" s="9"/>
      <c r="E216" s="9"/>
      <c r="F216" s="9"/>
      <c r="G216" s="9"/>
      <c r="H216" s="9"/>
      <c r="I216" s="9">
        <f t="shared" si="563"/>
        <v>45000</v>
      </c>
      <c r="K216" s="9">
        <v>0</v>
      </c>
      <c r="L216" s="9"/>
      <c r="M216" s="9"/>
      <c r="N216" s="9"/>
      <c r="O216" s="9"/>
      <c r="P216" s="9"/>
      <c r="Q216" s="9"/>
      <c r="R216" s="9">
        <f t="shared" si="564"/>
        <v>0</v>
      </c>
      <c r="T216" s="9"/>
      <c r="U216" s="9"/>
      <c r="V216" s="9"/>
      <c r="W216" s="9"/>
      <c r="X216" s="9"/>
      <c r="Y216" s="9"/>
      <c r="Z216" s="9"/>
      <c r="AA216" s="9">
        <f t="shared" si="565"/>
        <v>0</v>
      </c>
      <c r="AC216" s="9">
        <v>0</v>
      </c>
      <c r="AD216" s="9"/>
      <c r="AE216" s="9"/>
      <c r="AF216" s="9"/>
      <c r="AG216" s="9"/>
      <c r="AH216" s="9"/>
      <c r="AI216" s="9"/>
      <c r="AJ216" s="9">
        <f t="shared" si="566"/>
        <v>0</v>
      </c>
      <c r="AL216" s="9">
        <v>0</v>
      </c>
      <c r="AM216" s="9"/>
      <c r="AN216" s="9"/>
      <c r="AO216" s="9"/>
      <c r="AP216" s="9"/>
      <c r="AQ216" s="9"/>
      <c r="AR216" s="9"/>
      <c r="AS216" s="9">
        <f t="shared" si="567"/>
        <v>0</v>
      </c>
      <c r="AU216" s="9"/>
      <c r="AV216" s="9"/>
      <c r="AW216" s="9"/>
      <c r="AX216" s="9"/>
      <c r="AY216" s="9"/>
      <c r="AZ216" s="9"/>
      <c r="BA216" s="9"/>
      <c r="BB216" s="9">
        <f t="shared" si="568"/>
        <v>0</v>
      </c>
      <c r="BD216" s="9">
        <v>0</v>
      </c>
      <c r="BE216" s="9"/>
      <c r="BF216" s="9"/>
      <c r="BG216" s="9"/>
      <c r="BH216" s="9"/>
      <c r="BI216" s="9"/>
      <c r="BJ216" s="9"/>
      <c r="BK216" s="9">
        <f t="shared" si="569"/>
        <v>0</v>
      </c>
      <c r="BM216" s="9">
        <v>0</v>
      </c>
      <c r="BN216" s="9"/>
      <c r="BO216" s="9"/>
      <c r="BP216" s="9"/>
      <c r="BQ216" s="9"/>
      <c r="BR216" s="9"/>
      <c r="BS216" s="9"/>
      <c r="BT216" s="9">
        <f t="shared" si="570"/>
        <v>0</v>
      </c>
      <c r="BV216" s="9">
        <f t="shared" si="571"/>
        <v>45000</v>
      </c>
      <c r="BW216" s="9">
        <f t="shared" si="571"/>
        <v>0</v>
      </c>
      <c r="BX216" s="9">
        <f t="shared" si="571"/>
        <v>0</v>
      </c>
      <c r="BY216" s="9">
        <f t="shared" si="571"/>
        <v>0</v>
      </c>
      <c r="BZ216" s="9">
        <f t="shared" si="571"/>
        <v>0</v>
      </c>
      <c r="CA216" s="9">
        <f t="shared" si="571"/>
        <v>0</v>
      </c>
      <c r="CB216" s="9"/>
      <c r="CC216" s="9">
        <f t="shared" si="572"/>
        <v>45000</v>
      </c>
    </row>
    <row r="217" spans="1:81" ht="15">
      <c r="B217" s="9">
        <v>0</v>
      </c>
      <c r="C217" s="9">
        <v>0</v>
      </c>
      <c r="D217" s="9">
        <v>0</v>
      </c>
      <c r="E217" s="9"/>
      <c r="F217" s="9">
        <v>0</v>
      </c>
      <c r="G217" s="9">
        <v>0</v>
      </c>
      <c r="H217" s="9">
        <v>0</v>
      </c>
      <c r="I217" s="9">
        <f t="shared" si="563"/>
        <v>0</v>
      </c>
      <c r="K217" s="9">
        <v>0</v>
      </c>
      <c r="L217" s="9">
        <v>0</v>
      </c>
      <c r="M217" s="9">
        <v>0</v>
      </c>
      <c r="N217" s="9"/>
      <c r="O217" s="9">
        <v>0</v>
      </c>
      <c r="P217" s="9">
        <v>0</v>
      </c>
      <c r="Q217" s="9">
        <v>0</v>
      </c>
      <c r="R217" s="9">
        <f t="shared" si="564"/>
        <v>0</v>
      </c>
      <c r="T217" s="9">
        <v>0</v>
      </c>
      <c r="U217" s="9">
        <v>0</v>
      </c>
      <c r="V217" s="9">
        <v>0</v>
      </c>
      <c r="W217" s="9"/>
      <c r="X217" s="9">
        <v>0</v>
      </c>
      <c r="Y217" s="9">
        <v>0</v>
      </c>
      <c r="Z217" s="9">
        <v>0</v>
      </c>
      <c r="AA217" s="9">
        <f t="shared" si="565"/>
        <v>0</v>
      </c>
      <c r="AC217" s="9">
        <v>0</v>
      </c>
      <c r="AD217" s="9">
        <v>0</v>
      </c>
      <c r="AE217" s="9">
        <v>0</v>
      </c>
      <c r="AF217" s="9"/>
      <c r="AG217" s="9">
        <v>0</v>
      </c>
      <c r="AH217" s="9">
        <v>0</v>
      </c>
      <c r="AI217" s="9">
        <v>0</v>
      </c>
      <c r="AJ217" s="9">
        <f t="shared" si="566"/>
        <v>0</v>
      </c>
      <c r="AL217" s="9">
        <v>0</v>
      </c>
      <c r="AM217" s="9">
        <v>0</v>
      </c>
      <c r="AN217" s="9">
        <v>0</v>
      </c>
      <c r="AO217" s="9"/>
      <c r="AP217" s="9">
        <v>0</v>
      </c>
      <c r="AQ217" s="9">
        <v>0</v>
      </c>
      <c r="AR217" s="9">
        <v>0</v>
      </c>
      <c r="AS217" s="9">
        <f t="shared" si="567"/>
        <v>0</v>
      </c>
      <c r="AU217" s="9">
        <v>0</v>
      </c>
      <c r="AV217" s="9">
        <v>0</v>
      </c>
      <c r="AW217" s="9">
        <v>0</v>
      </c>
      <c r="AX217" s="9"/>
      <c r="AY217" s="9">
        <v>0</v>
      </c>
      <c r="AZ217" s="9">
        <v>0</v>
      </c>
      <c r="BA217" s="9">
        <v>0</v>
      </c>
      <c r="BB217" s="9">
        <f t="shared" si="568"/>
        <v>0</v>
      </c>
      <c r="BD217" s="9">
        <v>0</v>
      </c>
      <c r="BE217" s="9">
        <v>0</v>
      </c>
      <c r="BF217" s="9">
        <v>0</v>
      </c>
      <c r="BG217" s="9"/>
      <c r="BH217" s="9">
        <v>0</v>
      </c>
      <c r="BI217" s="9">
        <v>0</v>
      </c>
      <c r="BJ217" s="9">
        <v>0</v>
      </c>
      <c r="BK217" s="9">
        <f t="shared" si="569"/>
        <v>0</v>
      </c>
      <c r="BM217" s="9">
        <v>0</v>
      </c>
      <c r="BN217" s="9">
        <v>0</v>
      </c>
      <c r="BO217" s="9">
        <v>0</v>
      </c>
      <c r="BP217" s="9"/>
      <c r="BQ217" s="9">
        <v>0</v>
      </c>
      <c r="BR217" s="9">
        <v>0</v>
      </c>
      <c r="BS217" s="9">
        <v>0</v>
      </c>
      <c r="BT217" s="9">
        <f t="shared" si="570"/>
        <v>0</v>
      </c>
      <c r="BV217" s="9">
        <f t="shared" si="571"/>
        <v>0</v>
      </c>
      <c r="BW217" s="9">
        <f t="shared" si="571"/>
        <v>0</v>
      </c>
      <c r="BX217" s="9">
        <f t="shared" si="571"/>
        <v>0</v>
      </c>
      <c r="BY217" s="9">
        <f t="shared" si="571"/>
        <v>0</v>
      </c>
      <c r="BZ217" s="9">
        <f t="shared" si="571"/>
        <v>0</v>
      </c>
      <c r="CA217" s="9">
        <f t="shared" si="571"/>
        <v>0</v>
      </c>
      <c r="CB217" s="9">
        <v>0</v>
      </c>
      <c r="CC217" s="9">
        <f t="shared" si="572"/>
        <v>0</v>
      </c>
    </row>
    <row r="218" spans="1:81" ht="15.75" thickBot="1">
      <c r="A218" s="43"/>
      <c r="B218" s="35"/>
      <c r="C218" s="35"/>
      <c r="D218" s="35"/>
      <c r="E218" s="35"/>
      <c r="F218" s="35"/>
      <c r="G218" s="35"/>
      <c r="H218" s="35"/>
      <c r="I218" s="5">
        <f t="shared" si="563"/>
        <v>0</v>
      </c>
      <c r="J218" s="7"/>
      <c r="K218" s="35"/>
      <c r="L218" s="35"/>
      <c r="M218" s="35"/>
      <c r="N218" s="35"/>
      <c r="O218" s="35"/>
      <c r="P218" s="35"/>
      <c r="Q218" s="35"/>
      <c r="R218" s="5">
        <f t="shared" si="564"/>
        <v>0</v>
      </c>
      <c r="T218" s="35"/>
      <c r="U218" s="35"/>
      <c r="V218" s="35"/>
      <c r="W218" s="35"/>
      <c r="X218" s="35"/>
      <c r="Y218" s="35"/>
      <c r="Z218" s="35"/>
      <c r="AA218" s="5">
        <f t="shared" si="565"/>
        <v>0</v>
      </c>
      <c r="AC218" s="35"/>
      <c r="AD218" s="35"/>
      <c r="AE218" s="35"/>
      <c r="AF218" s="35"/>
      <c r="AG218" s="35"/>
      <c r="AH218" s="35"/>
      <c r="AI218" s="35"/>
      <c r="AJ218" s="5">
        <f t="shared" si="566"/>
        <v>0</v>
      </c>
      <c r="AL218" s="35"/>
      <c r="AM218" s="35"/>
      <c r="AN218" s="35"/>
      <c r="AO218" s="35"/>
      <c r="AP218" s="35"/>
      <c r="AQ218" s="35"/>
      <c r="AR218" s="35"/>
      <c r="AS218" s="5">
        <f t="shared" si="567"/>
        <v>0</v>
      </c>
      <c r="AU218" s="35"/>
      <c r="AV218" s="35"/>
      <c r="AW218" s="35"/>
      <c r="AX218" s="35"/>
      <c r="AY218" s="35"/>
      <c r="AZ218" s="35"/>
      <c r="BA218" s="35"/>
      <c r="BB218" s="5">
        <f t="shared" si="568"/>
        <v>0</v>
      </c>
      <c r="BD218" s="35"/>
      <c r="BE218" s="35"/>
      <c r="BF218" s="35"/>
      <c r="BG218" s="35"/>
      <c r="BH218" s="35"/>
      <c r="BI218" s="35"/>
      <c r="BJ218" s="35"/>
      <c r="BK218" s="5">
        <f t="shared" si="569"/>
        <v>0</v>
      </c>
      <c r="BM218" s="35"/>
      <c r="BN218" s="35"/>
      <c r="BO218" s="35"/>
      <c r="BP218" s="35"/>
      <c r="BQ218" s="35"/>
      <c r="BR218" s="35"/>
      <c r="BS218" s="35"/>
      <c r="BT218" s="5">
        <f t="shared" si="570"/>
        <v>0</v>
      </c>
      <c r="BV218" s="35"/>
      <c r="BW218" s="35"/>
      <c r="BX218" s="35"/>
      <c r="BY218" s="35"/>
      <c r="BZ218" s="35"/>
      <c r="CA218" s="35"/>
      <c r="CB218" s="35"/>
      <c r="CC218" s="5">
        <f t="shared" si="572"/>
        <v>0</v>
      </c>
    </row>
    <row r="219" spans="1:81" ht="15.75" thickBot="1">
      <c r="A219" s="87" t="s">
        <v>195</v>
      </c>
      <c r="B219" s="88">
        <f>(B97+B103)-B211-B213-B214-B216-B215</f>
        <v>754447.9061227442</v>
      </c>
      <c r="C219" s="88">
        <f t="shared" ref="C219:H219" si="573">(C97+C103)-C211-C213-C214-C216-C215</f>
        <v>-565240.93903617025</v>
      </c>
      <c r="D219" s="88">
        <f t="shared" si="573"/>
        <v>-43243.580000000016</v>
      </c>
      <c r="E219" s="88">
        <f t="shared" si="573"/>
        <v>0</v>
      </c>
      <c r="F219" s="88">
        <f t="shared" si="573"/>
        <v>0</v>
      </c>
      <c r="G219" s="88">
        <f t="shared" si="573"/>
        <v>0</v>
      </c>
      <c r="H219" s="88">
        <f t="shared" si="573"/>
        <v>0</v>
      </c>
      <c r="I219" s="88">
        <f>(I97+I103)-I211-I213-I214-I216-I215</f>
        <v>145963.38708657504</v>
      </c>
      <c r="J219" s="7"/>
      <c r="K219" s="88">
        <f>(K97+K103)-K211-K213-K214-K216-K215</f>
        <v>753349.59933117416</v>
      </c>
      <c r="L219" s="88">
        <f t="shared" ref="L219:R219" si="574">(L97+L103)-L211-L213-L214-L216-L215</f>
        <v>-487655.90707511146</v>
      </c>
      <c r="M219" s="88">
        <f t="shared" si="574"/>
        <v>-63418.621625000029</v>
      </c>
      <c r="N219" s="88">
        <f t="shared" si="574"/>
        <v>0</v>
      </c>
      <c r="O219" s="88">
        <f t="shared" si="574"/>
        <v>0</v>
      </c>
      <c r="P219" s="88">
        <f t="shared" si="574"/>
        <v>0</v>
      </c>
      <c r="Q219" s="88">
        <f t="shared" si="574"/>
        <v>0</v>
      </c>
      <c r="R219" s="88">
        <f t="shared" si="574"/>
        <v>202275.07063106273</v>
      </c>
      <c r="T219" s="88">
        <f>(T97+T103)-T211-T213-T214-T216-T215</f>
        <v>970480.79076315358</v>
      </c>
      <c r="U219" s="88">
        <f t="shared" ref="U219:AA219" si="575">(U97+U103)-U211-U213-U214-U216-U215</f>
        <v>-436331.86474749446</v>
      </c>
      <c r="V219" s="88">
        <f t="shared" si="575"/>
        <v>-69239.864999999991</v>
      </c>
      <c r="W219" s="88">
        <f t="shared" si="575"/>
        <v>0</v>
      </c>
      <c r="X219" s="88">
        <f t="shared" si="575"/>
        <v>0</v>
      </c>
      <c r="Y219" s="88">
        <f t="shared" si="575"/>
        <v>0</v>
      </c>
      <c r="Z219" s="88">
        <f t="shared" si="575"/>
        <v>0</v>
      </c>
      <c r="AA219" s="88">
        <f t="shared" si="575"/>
        <v>464909.06101566076</v>
      </c>
      <c r="AC219" s="88">
        <f>(AC97+AC103)-AC211-AC213-AC214-AC216-AC215</f>
        <v>2177206.7119314577</v>
      </c>
      <c r="AD219" s="88">
        <f t="shared" ref="AD219:AJ219" si="576">(AD97+AD103)-AD211-AD213-AD214-AD216-AD215</f>
        <v>-917945.16486750543</v>
      </c>
      <c r="AE219" s="88">
        <f t="shared" si="576"/>
        <v>-120443.30000000005</v>
      </c>
      <c r="AF219" s="88">
        <f t="shared" si="576"/>
        <v>0</v>
      </c>
      <c r="AG219" s="88">
        <f t="shared" si="576"/>
        <v>0</v>
      </c>
      <c r="AH219" s="88">
        <f t="shared" si="576"/>
        <v>0</v>
      </c>
      <c r="AI219" s="88">
        <f t="shared" si="576"/>
        <v>0</v>
      </c>
      <c r="AJ219" s="88">
        <f t="shared" si="576"/>
        <v>1138818.2470639553</v>
      </c>
      <c r="AL219" s="88">
        <f>(AL97+AL103)-AL211-AL213-AL214-AL216-AL215</f>
        <v>1663313.2923736647</v>
      </c>
      <c r="AM219" s="88">
        <f t="shared" ref="AM219:AS219" si="577">(AM97+AM103)-AM211-AM213-AM214-AM216-AM215</f>
        <v>-1223538.3831436739</v>
      </c>
      <c r="AN219" s="88">
        <f t="shared" si="577"/>
        <v>-58193.456000000006</v>
      </c>
      <c r="AO219" s="88">
        <f t="shared" si="577"/>
        <v>0</v>
      </c>
      <c r="AP219" s="88">
        <f t="shared" si="577"/>
        <v>0</v>
      </c>
      <c r="AQ219" s="88">
        <f t="shared" si="577"/>
        <v>0</v>
      </c>
      <c r="AR219" s="88">
        <f t="shared" si="577"/>
        <v>0</v>
      </c>
      <c r="AS219" s="88">
        <f t="shared" si="577"/>
        <v>381581.45322999358</v>
      </c>
      <c r="AU219" s="88">
        <f>(AU97+AU103)-AU211-AU213-AU214-AU216-AU215</f>
        <v>355387.66824826412</v>
      </c>
      <c r="AV219" s="88">
        <f t="shared" ref="AV219:BB219" si="578">(AV97+AV103)-AV211-AV213-AV214-AV216-AV215</f>
        <v>-113454.66635528643</v>
      </c>
      <c r="AW219" s="88">
        <f t="shared" si="578"/>
        <v>-652.67999999999984</v>
      </c>
      <c r="AX219" s="88">
        <f t="shared" si="578"/>
        <v>0</v>
      </c>
      <c r="AY219" s="88">
        <f t="shared" si="578"/>
        <v>0</v>
      </c>
      <c r="AZ219" s="88">
        <f t="shared" si="578"/>
        <v>0</v>
      </c>
      <c r="BA219" s="88">
        <f t="shared" si="578"/>
        <v>0</v>
      </c>
      <c r="BB219" s="88">
        <f t="shared" si="578"/>
        <v>241280.32189297746</v>
      </c>
      <c r="BD219" s="88">
        <f>(BD97+BD103)-BD211-BD213-BD214-BD216-BD215</f>
        <v>543672.82536630682</v>
      </c>
      <c r="BE219" s="88">
        <f t="shared" ref="BE219:BK219" si="579">(BE97+BE103)-BE211-BE213-BE214-BE216-BE215</f>
        <v>-390803.30357142852</v>
      </c>
      <c r="BF219" s="88">
        <f t="shared" si="579"/>
        <v>-5831.6800000000512</v>
      </c>
      <c r="BG219" s="88">
        <f t="shared" si="579"/>
        <v>0</v>
      </c>
      <c r="BH219" s="88">
        <f t="shared" si="579"/>
        <v>0</v>
      </c>
      <c r="BI219" s="88">
        <f t="shared" si="579"/>
        <v>0</v>
      </c>
      <c r="BJ219" s="88">
        <f t="shared" si="579"/>
        <v>0</v>
      </c>
      <c r="BK219" s="88">
        <f t="shared" si="579"/>
        <v>147037.84179487894</v>
      </c>
      <c r="BM219" s="88">
        <f>(BM97+BM103)-BM211-BM213-BM214-BM216-BM215</f>
        <v>-442088.43715624989</v>
      </c>
      <c r="BN219" s="88">
        <f t="shared" ref="BN219:BT219" si="580">(BN97+BN103)-BN211-BN213-BN214-BN216-BN215</f>
        <v>0</v>
      </c>
      <c r="BO219" s="88">
        <f t="shared" si="580"/>
        <v>-27918.125</v>
      </c>
      <c r="BP219" s="88">
        <f t="shared" si="580"/>
        <v>0</v>
      </c>
      <c r="BQ219" s="88">
        <f t="shared" si="580"/>
        <v>0</v>
      </c>
      <c r="BR219" s="88">
        <f t="shared" si="580"/>
        <v>0</v>
      </c>
      <c r="BS219" s="88">
        <f t="shared" si="580"/>
        <v>0</v>
      </c>
      <c r="BT219" s="88">
        <f t="shared" si="580"/>
        <v>-470006.56215624989</v>
      </c>
      <c r="BV219" s="88">
        <f>(BV97+BV103)-BV211-BV213-BV214-BV216-BV215</f>
        <v>6775770.3569805166</v>
      </c>
      <c r="BW219" s="88">
        <f t="shared" ref="BW219:CC219" si="581">(BW97+BW103)-BW211-BW213-BW214-BW216-BW215</f>
        <v>-4134970.2287966711</v>
      </c>
      <c r="BX219" s="88">
        <f t="shared" si="581"/>
        <v>-388941.3076249999</v>
      </c>
      <c r="BY219" s="88">
        <f t="shared" si="581"/>
        <v>0</v>
      </c>
      <c r="BZ219" s="88">
        <f t="shared" si="581"/>
        <v>0</v>
      </c>
      <c r="CA219" s="88">
        <f t="shared" si="581"/>
        <v>0</v>
      </c>
      <c r="CB219" s="88">
        <f t="shared" si="581"/>
        <v>0</v>
      </c>
      <c r="CC219" s="88">
        <f t="shared" si="581"/>
        <v>2251858.8205588432</v>
      </c>
    </row>
    <row r="220" spans="1:81">
      <c r="A220" s="89"/>
      <c r="B220" s="90">
        <f t="shared" ref="B220:I220" si="582">B219/(B97)</f>
        <v>8.1150671416325357E-2</v>
      </c>
      <c r="C220" s="90">
        <f t="shared" si="582"/>
        <v>-0.73687020205827913</v>
      </c>
      <c r="D220" s="90">
        <f t="shared" si="582"/>
        <v>-0.11697905658520528</v>
      </c>
      <c r="E220" s="90" t="e">
        <f t="shared" si="582"/>
        <v>#DIV/0!</v>
      </c>
      <c r="F220" s="90" t="e">
        <f t="shared" si="582"/>
        <v>#DIV/0!</v>
      </c>
      <c r="G220" s="90">
        <f t="shared" si="582"/>
        <v>0</v>
      </c>
      <c r="H220" s="90" t="e">
        <f t="shared" si="582"/>
        <v>#DIV/0!</v>
      </c>
      <c r="I220" s="90">
        <f t="shared" si="582"/>
        <v>1.3630443182449001E-2</v>
      </c>
      <c r="J220" s="7"/>
      <c r="K220" s="90">
        <f t="shared" ref="K220:R220" si="583">K219/(K97)</f>
        <v>7.3562924666515497E-2</v>
      </c>
      <c r="L220" s="90">
        <f t="shared" si="583"/>
        <v>-0.99600887864853971</v>
      </c>
      <c r="M220" s="90">
        <f t="shared" si="583"/>
        <v>-0.22527274730526461</v>
      </c>
      <c r="N220" s="90" t="e">
        <f t="shared" si="583"/>
        <v>#DIV/0!</v>
      </c>
      <c r="O220" s="90" t="e">
        <f t="shared" si="583"/>
        <v>#DIV/0!</v>
      </c>
      <c r="P220" s="90">
        <f t="shared" si="583"/>
        <v>0</v>
      </c>
      <c r="Q220" s="90" t="e">
        <f t="shared" si="583"/>
        <v>#DIV/0!</v>
      </c>
      <c r="R220" s="90">
        <f t="shared" si="583"/>
        <v>1.7124516740890185E-2</v>
      </c>
      <c r="T220" s="90">
        <f t="shared" ref="T220:AA220" si="584">T219/(T97)</f>
        <v>7.8534178973962324E-2</v>
      </c>
      <c r="U220" s="90">
        <f t="shared" si="584"/>
        <v>-0.60396254070397282</v>
      </c>
      <c r="V220" s="90">
        <f t="shared" si="584"/>
        <v>-0.41973727450671217</v>
      </c>
      <c r="W220" s="90" t="e">
        <f t="shared" si="584"/>
        <v>#DIV/0!</v>
      </c>
      <c r="X220" s="90" t="e">
        <f t="shared" si="584"/>
        <v>#DIV/0!</v>
      </c>
      <c r="Y220" s="90">
        <f t="shared" si="584"/>
        <v>0</v>
      </c>
      <c r="Z220" s="90" t="e">
        <f t="shared" si="584"/>
        <v>#DIV/0!</v>
      </c>
      <c r="AA220" s="90">
        <f t="shared" si="584"/>
        <v>3.3101768068545714E-2</v>
      </c>
      <c r="AC220" s="90">
        <f t="shared" ref="AC220:AJ220" si="585">AC219/(AC97)</f>
        <v>8.6088624070879888E-2</v>
      </c>
      <c r="AD220" s="90">
        <f t="shared" si="585"/>
        <v>-0.47921051780551766</v>
      </c>
      <c r="AE220" s="90">
        <f t="shared" si="585"/>
        <v>-0.13654372343193999</v>
      </c>
      <c r="AF220" s="90" t="e">
        <f t="shared" si="585"/>
        <v>#DIV/0!</v>
      </c>
      <c r="AG220" s="90" t="e">
        <f t="shared" si="585"/>
        <v>#DIV/0!</v>
      </c>
      <c r="AH220" s="90">
        <f t="shared" si="585"/>
        <v>0</v>
      </c>
      <c r="AI220" s="90" t="e">
        <f t="shared" si="585"/>
        <v>#DIV/0!</v>
      </c>
      <c r="AJ220" s="90">
        <f t="shared" si="585"/>
        <v>3.881728309634206E-2</v>
      </c>
      <c r="AL220" s="90">
        <f t="shared" ref="AL220:AS220" si="586">AL219/(AL97)</f>
        <v>6.9737116287692552E-2</v>
      </c>
      <c r="AM220" s="90">
        <f t="shared" si="586"/>
        <v>-0.86402053688819214</v>
      </c>
      <c r="AN220" s="90">
        <f t="shared" si="586"/>
        <v>-0.10158287512821</v>
      </c>
      <c r="AO220" s="90" t="e">
        <f t="shared" si="586"/>
        <v>#DIV/0!</v>
      </c>
      <c r="AP220" s="90" t="e">
        <f t="shared" si="586"/>
        <v>#DIV/0!</v>
      </c>
      <c r="AQ220" s="90">
        <f t="shared" si="586"/>
        <v>0</v>
      </c>
      <c r="AR220" s="90" t="e">
        <f t="shared" si="586"/>
        <v>#DIV/0!</v>
      </c>
      <c r="AS220" s="90">
        <f t="shared" si="586"/>
        <v>1.3706153216861274E-2</v>
      </c>
      <c r="AU220" s="90">
        <f t="shared" ref="AU220:BB220" si="587">AU219/(AU97)</f>
        <v>0.23837780416168583</v>
      </c>
      <c r="AV220" s="90">
        <f t="shared" si="587"/>
        <v>-1.0609420412073676</v>
      </c>
      <c r="AW220" s="90">
        <f t="shared" si="587"/>
        <v>-0.29907621247113153</v>
      </c>
      <c r="AX220" s="90" t="e">
        <f t="shared" si="587"/>
        <v>#DIV/0!</v>
      </c>
      <c r="AY220" s="90" t="e">
        <f t="shared" si="587"/>
        <v>#DIV/0!</v>
      </c>
      <c r="AZ220" s="90" t="e">
        <f t="shared" si="587"/>
        <v>#DIV/0!</v>
      </c>
      <c r="BA220" s="90" t="e">
        <f t="shared" si="587"/>
        <v>#DIV/0!</v>
      </c>
      <c r="BB220" s="90">
        <f t="shared" si="587"/>
        <v>0.15080219219094282</v>
      </c>
      <c r="BD220" s="90">
        <f t="shared" ref="BD220:BK220" si="588">BD219/(BD97)</f>
        <v>0.12508331426146574</v>
      </c>
      <c r="BE220" s="90">
        <f t="shared" si="588"/>
        <v>-2.9642359200212147</v>
      </c>
      <c r="BF220" s="90">
        <f t="shared" si="588"/>
        <v>-1.2175523645665494E-2</v>
      </c>
      <c r="BG220" s="90" t="e">
        <f t="shared" si="588"/>
        <v>#DIV/0!</v>
      </c>
      <c r="BH220" s="90" t="e">
        <f t="shared" si="588"/>
        <v>#DIV/0!</v>
      </c>
      <c r="BI220" s="90">
        <f t="shared" si="588"/>
        <v>0</v>
      </c>
      <c r="BJ220" s="90" t="e">
        <f t="shared" si="588"/>
        <v>#DIV/0!</v>
      </c>
      <c r="BK220" s="90">
        <f t="shared" si="588"/>
        <v>2.9364739459471094E-2</v>
      </c>
      <c r="BM220" s="90" t="e">
        <f t="shared" ref="BM220:BT220" si="589">BM219/(BM97)</f>
        <v>#DIV/0!</v>
      </c>
      <c r="BN220" s="90" t="e">
        <f t="shared" si="589"/>
        <v>#DIV/0!</v>
      </c>
      <c r="BO220" s="90" t="e">
        <f t="shared" si="589"/>
        <v>#DIV/0!</v>
      </c>
      <c r="BP220" s="90" t="e">
        <f t="shared" si="589"/>
        <v>#DIV/0!</v>
      </c>
      <c r="BQ220" s="90" t="e">
        <f t="shared" si="589"/>
        <v>#DIV/0!</v>
      </c>
      <c r="BR220" s="90" t="e">
        <f t="shared" si="589"/>
        <v>#DIV/0!</v>
      </c>
      <c r="BS220" s="90" t="e">
        <f t="shared" si="589"/>
        <v>#DIV/0!</v>
      </c>
      <c r="BT220" s="90" t="e">
        <f t="shared" si="589"/>
        <v>#DIV/0!</v>
      </c>
      <c r="BV220" s="90">
        <f t="shared" ref="BV220:CC220" si="590">BV219/(BV97)</f>
        <v>7.7995351410877031E-2</v>
      </c>
      <c r="BW220" s="90">
        <f t="shared" si="590"/>
        <v>-0.7450995273292218</v>
      </c>
      <c r="BX220" s="90">
        <f t="shared" si="590"/>
        <v>-0.14131751439718837</v>
      </c>
      <c r="BY220" s="90" t="e">
        <f t="shared" si="590"/>
        <v>#DIV/0!</v>
      </c>
      <c r="BZ220" s="90" t="e">
        <f t="shared" si="590"/>
        <v>#DIV/0!</v>
      </c>
      <c r="CA220" s="90">
        <f t="shared" si="590"/>
        <v>0</v>
      </c>
      <c r="CB220" s="90" t="e">
        <f t="shared" si="590"/>
        <v>#DIV/0!</v>
      </c>
      <c r="CC220" s="90">
        <f t="shared" si="590"/>
        <v>2.2439861614376305E-2</v>
      </c>
    </row>
    <row r="221" spans="1:81">
      <c r="B221" s="91"/>
      <c r="C221" s="91"/>
      <c r="D221" s="91"/>
      <c r="E221" s="91"/>
      <c r="F221" s="91"/>
      <c r="G221" s="91"/>
      <c r="H221" s="91"/>
      <c r="I221" s="91"/>
      <c r="K221" s="91"/>
      <c r="L221" s="91"/>
      <c r="M221" s="91"/>
      <c r="N221" s="91"/>
      <c r="O221" s="91"/>
      <c r="P221" s="91"/>
      <c r="Q221" s="91"/>
      <c r="R221" s="91"/>
      <c r="T221" s="91"/>
      <c r="U221" s="91"/>
      <c r="V221" s="91"/>
      <c r="W221" s="91"/>
      <c r="X221" s="91"/>
      <c r="Y221" s="91"/>
      <c r="Z221" s="91"/>
      <c r="AA221" s="91"/>
      <c r="AC221" s="91"/>
      <c r="AD221" s="91"/>
      <c r="AE221" s="91"/>
      <c r="AF221" s="91"/>
      <c r="AG221" s="91"/>
      <c r="AH221" s="91"/>
      <c r="AI221" s="91"/>
      <c r="AJ221" s="91"/>
      <c r="AL221" s="91"/>
      <c r="AM221" s="91"/>
      <c r="AN221" s="91"/>
      <c r="AO221" s="91"/>
      <c r="AP221" s="91"/>
      <c r="AQ221" s="91"/>
      <c r="AR221" s="91"/>
      <c r="AS221" s="91"/>
      <c r="AU221" s="91"/>
      <c r="AV221" s="91"/>
      <c r="AW221" s="91"/>
      <c r="AX221" s="91"/>
      <c r="AY221" s="91"/>
      <c r="AZ221" s="91"/>
      <c r="BA221" s="91"/>
      <c r="BB221" s="91"/>
      <c r="BD221" s="91"/>
      <c r="BE221" s="91"/>
      <c r="BF221" s="91"/>
      <c r="BG221" s="91"/>
      <c r="BH221" s="91"/>
      <c r="BI221" s="91"/>
      <c r="BJ221" s="91"/>
      <c r="BK221" s="91"/>
      <c r="BM221" s="91"/>
      <c r="BN221" s="91"/>
      <c r="BO221" s="91"/>
      <c r="BP221" s="91"/>
      <c r="BQ221" s="91"/>
      <c r="BR221" s="91"/>
      <c r="BS221" s="91"/>
      <c r="BT221" s="91"/>
      <c r="BV221" s="91"/>
      <c r="BW221" s="91"/>
      <c r="BX221" s="91"/>
      <c r="BY221" s="91"/>
      <c r="BZ221" s="91"/>
      <c r="CA221" s="91"/>
      <c r="CB221" s="91"/>
      <c r="CC221" s="91"/>
    </row>
    <row r="222" spans="1:81" ht="15">
      <c r="A222" s="1" t="str">
        <f t="shared" ref="A222:I222" si="591">A1</f>
        <v>Pinecrest Academy of Nevada - FY27</v>
      </c>
      <c r="B222" s="1" t="str">
        <f t="shared" si="591"/>
        <v>Operating</v>
      </c>
      <c r="C222" s="1" t="str">
        <f t="shared" si="591"/>
        <v>SPED</v>
      </c>
      <c r="D222" s="1" t="str">
        <f t="shared" si="591"/>
        <v>NSLP</v>
      </c>
      <c r="E222" s="1" t="str">
        <f t="shared" si="591"/>
        <v>Other</v>
      </c>
      <c r="F222" s="1" t="str">
        <f t="shared" si="591"/>
        <v>Title I</v>
      </c>
      <c r="G222" s="1" t="str">
        <f t="shared" si="591"/>
        <v>SGF</v>
      </c>
      <c r="H222" s="1" t="str">
        <f t="shared" si="591"/>
        <v>Title III</v>
      </c>
      <c r="I222" s="1" t="str">
        <f t="shared" si="591"/>
        <v>Horizon</v>
      </c>
      <c r="J222" s="2"/>
      <c r="K222" s="1" t="str">
        <f t="shared" ref="K222:R222" si="592">K1</f>
        <v>Operating</v>
      </c>
      <c r="L222" s="1" t="str">
        <f t="shared" si="592"/>
        <v>SPED</v>
      </c>
      <c r="M222" s="1" t="str">
        <f t="shared" si="592"/>
        <v>NSLP</v>
      </c>
      <c r="N222" s="1" t="str">
        <f t="shared" si="592"/>
        <v>Other</v>
      </c>
      <c r="O222" s="1" t="str">
        <f t="shared" si="592"/>
        <v>Title I</v>
      </c>
      <c r="P222" s="1" t="str">
        <f t="shared" si="592"/>
        <v>SGF</v>
      </c>
      <c r="Q222" s="1" t="str">
        <f t="shared" si="592"/>
        <v>Title III</v>
      </c>
      <c r="R222" s="1" t="str">
        <f t="shared" si="592"/>
        <v>St. Rose</v>
      </c>
      <c r="T222" s="1" t="str">
        <f t="shared" ref="T222:AA222" si="593">T1</f>
        <v>Operating</v>
      </c>
      <c r="U222" s="1" t="str">
        <f t="shared" si="593"/>
        <v>SPED</v>
      </c>
      <c r="V222" s="1" t="str">
        <f t="shared" si="593"/>
        <v>NSLP</v>
      </c>
      <c r="W222" s="1" t="str">
        <f t="shared" si="593"/>
        <v>Other</v>
      </c>
      <c r="X222" s="1" t="str">
        <f t="shared" si="593"/>
        <v>Title I</v>
      </c>
      <c r="Y222" s="1" t="str">
        <f t="shared" si="593"/>
        <v>SGF</v>
      </c>
      <c r="Z222" s="1" t="str">
        <f t="shared" si="593"/>
        <v>Title III</v>
      </c>
      <c r="AA222" s="1" t="str">
        <f t="shared" si="593"/>
        <v>Inspirada</v>
      </c>
      <c r="AC222" s="1" t="str">
        <f t="shared" ref="AC222:AJ222" si="594">AC1</f>
        <v>Operating</v>
      </c>
      <c r="AD222" s="1" t="str">
        <f t="shared" si="594"/>
        <v>SPED</v>
      </c>
      <c r="AE222" s="1" t="str">
        <f t="shared" si="594"/>
        <v>NSLP</v>
      </c>
      <c r="AF222" s="1" t="str">
        <f t="shared" si="594"/>
        <v>Other</v>
      </c>
      <c r="AG222" s="1" t="str">
        <f t="shared" si="594"/>
        <v>Title I</v>
      </c>
      <c r="AH222" s="1" t="str">
        <f t="shared" si="594"/>
        <v>SGF</v>
      </c>
      <c r="AI222" s="1" t="str">
        <f t="shared" si="594"/>
        <v>Title III</v>
      </c>
      <c r="AJ222" s="1" t="str">
        <f t="shared" si="594"/>
        <v>Cadence</v>
      </c>
      <c r="AL222" s="1" t="str">
        <f t="shared" ref="AL222:AS222" si="595">AL1</f>
        <v>Operating</v>
      </c>
      <c r="AM222" s="1" t="str">
        <f t="shared" si="595"/>
        <v>SPED</v>
      </c>
      <c r="AN222" s="1" t="str">
        <f t="shared" si="595"/>
        <v>NSLP</v>
      </c>
      <c r="AO222" s="1" t="str">
        <f t="shared" si="595"/>
        <v>Other</v>
      </c>
      <c r="AP222" s="1" t="str">
        <f t="shared" si="595"/>
        <v>Title I</v>
      </c>
      <c r="AQ222" s="1" t="str">
        <f t="shared" si="595"/>
        <v>SGF</v>
      </c>
      <c r="AR222" s="1" t="str">
        <f t="shared" si="595"/>
        <v>Title III</v>
      </c>
      <c r="AS222" s="1" t="str">
        <f t="shared" si="595"/>
        <v>Sloan</v>
      </c>
      <c r="AU222" s="1" t="str">
        <f t="shared" ref="AU222:BB222" si="596">AU1</f>
        <v>Operating</v>
      </c>
      <c r="AV222" s="1" t="str">
        <f t="shared" si="596"/>
        <v>SPED</v>
      </c>
      <c r="AW222" s="1" t="str">
        <f t="shared" si="596"/>
        <v>NSLP</v>
      </c>
      <c r="AX222" s="1" t="str">
        <f t="shared" si="596"/>
        <v>Other</v>
      </c>
      <c r="AY222" s="1" t="str">
        <f t="shared" si="596"/>
        <v>Title I</v>
      </c>
      <c r="AZ222" s="1" t="str">
        <f t="shared" si="596"/>
        <v>SGF</v>
      </c>
      <c r="BA222" s="1" t="str">
        <f t="shared" si="596"/>
        <v>Title III</v>
      </c>
      <c r="BB222" s="1" t="str">
        <f t="shared" si="596"/>
        <v>Virtual</v>
      </c>
      <c r="BD222" s="1" t="str">
        <f t="shared" ref="BD222:BK222" si="597">BD1</f>
        <v>Operating</v>
      </c>
      <c r="BE222" s="1" t="str">
        <f t="shared" si="597"/>
        <v>SPED</v>
      </c>
      <c r="BF222" s="1" t="str">
        <f t="shared" si="597"/>
        <v>NSLP</v>
      </c>
      <c r="BG222" s="1" t="str">
        <f t="shared" si="597"/>
        <v>Other</v>
      </c>
      <c r="BH222" s="1" t="str">
        <f t="shared" si="597"/>
        <v>Title I</v>
      </c>
      <c r="BI222" s="1" t="str">
        <f t="shared" si="597"/>
        <v>SGF</v>
      </c>
      <c r="BJ222" s="1" t="str">
        <f t="shared" si="597"/>
        <v>Title III</v>
      </c>
      <c r="BK222" s="1" t="str">
        <f t="shared" si="597"/>
        <v>Springs</v>
      </c>
      <c r="BM222" s="1" t="str">
        <f t="shared" ref="BM222:BT222" si="598">BM1</f>
        <v>Operating</v>
      </c>
      <c r="BN222" s="1" t="str">
        <f t="shared" si="598"/>
        <v>SPED</v>
      </c>
      <c r="BO222" s="1" t="str">
        <f t="shared" si="598"/>
        <v>NSLP</v>
      </c>
      <c r="BP222" s="1" t="str">
        <f t="shared" si="598"/>
        <v>Other</v>
      </c>
      <c r="BQ222" s="1" t="str">
        <f t="shared" si="598"/>
        <v>Title I</v>
      </c>
      <c r="BR222" s="1" t="str">
        <f t="shared" si="598"/>
        <v>SGF</v>
      </c>
      <c r="BS222" s="1" t="str">
        <f t="shared" si="598"/>
        <v>Title III</v>
      </c>
      <c r="BT222" s="1" t="str">
        <f t="shared" si="598"/>
        <v>Exec. Office</v>
      </c>
      <c r="BV222" s="1" t="str">
        <f t="shared" ref="BV222:CC222" si="599">BV1</f>
        <v>Operating</v>
      </c>
      <c r="BW222" s="1" t="str">
        <f t="shared" si="599"/>
        <v>SPED</v>
      </c>
      <c r="BX222" s="1" t="str">
        <f t="shared" si="599"/>
        <v>NSLP</v>
      </c>
      <c r="BY222" s="1" t="str">
        <f t="shared" si="599"/>
        <v>Other</v>
      </c>
      <c r="BZ222" s="1" t="str">
        <f t="shared" si="599"/>
        <v>Title I</v>
      </c>
      <c r="CA222" s="1" t="str">
        <f t="shared" si="599"/>
        <v>SGF</v>
      </c>
      <c r="CB222" s="1" t="str">
        <f t="shared" si="599"/>
        <v>Title III</v>
      </c>
      <c r="CC222" s="1" t="str">
        <f t="shared" si="599"/>
        <v>Systemwide</v>
      </c>
    </row>
    <row r="224" spans="1:81" s="14" customFormat="1">
      <c r="A224" s="7"/>
      <c r="B224" s="92"/>
      <c r="C224" s="92"/>
      <c r="D224" s="92"/>
      <c r="E224" s="92"/>
      <c r="F224" s="92"/>
      <c r="G224" s="92"/>
      <c r="H224" s="92"/>
      <c r="I224" s="92"/>
      <c r="K224" s="92"/>
      <c r="L224" s="92"/>
      <c r="M224" s="92"/>
      <c r="N224" s="92"/>
      <c r="O224" s="92"/>
      <c r="P224" s="92"/>
      <c r="Q224" s="92"/>
      <c r="R224" s="92"/>
      <c r="T224" s="92"/>
      <c r="U224" s="92"/>
      <c r="V224" s="92"/>
      <c r="W224" s="92"/>
      <c r="X224" s="92"/>
      <c r="Y224" s="92"/>
      <c r="Z224" s="92"/>
      <c r="AA224" s="92"/>
      <c r="AC224" s="92"/>
      <c r="AD224" s="92"/>
      <c r="AE224" s="92"/>
      <c r="AF224" s="92"/>
      <c r="AG224" s="92"/>
      <c r="AH224" s="92"/>
      <c r="AI224" s="92"/>
      <c r="AJ224" s="92"/>
      <c r="AL224" s="92"/>
      <c r="AM224" s="92"/>
      <c r="AN224" s="92"/>
      <c r="AO224" s="92"/>
      <c r="AP224" s="92"/>
      <c r="AQ224" s="92"/>
      <c r="AR224" s="92"/>
      <c r="AS224" s="92"/>
      <c r="AU224" s="92"/>
      <c r="AV224" s="92"/>
      <c r="AW224" s="92"/>
      <c r="AX224" s="92"/>
      <c r="AY224" s="92"/>
      <c r="AZ224" s="92"/>
      <c r="BA224" s="92"/>
      <c r="BB224" s="92"/>
      <c r="BD224" s="92"/>
      <c r="BE224" s="92"/>
      <c r="BF224" s="92"/>
      <c r="BG224" s="92"/>
      <c r="BH224" s="92"/>
      <c r="BI224" s="92"/>
      <c r="BJ224" s="92"/>
      <c r="BK224" s="92"/>
      <c r="BM224" s="92"/>
      <c r="BN224" s="92"/>
      <c r="BO224" s="92"/>
      <c r="BP224" s="92"/>
      <c r="BQ224" s="92"/>
      <c r="BR224" s="92"/>
      <c r="BS224" s="92"/>
      <c r="BT224" s="92"/>
      <c r="BV224" s="92"/>
      <c r="BW224" s="92"/>
      <c r="BX224" s="92"/>
      <c r="BY224" s="92"/>
      <c r="BZ224" s="92"/>
      <c r="CA224" s="92"/>
      <c r="CB224" s="92"/>
      <c r="CC224" s="92"/>
    </row>
    <row r="225" spans="1:81" s="14" customFormat="1">
      <c r="A225" s="7"/>
      <c r="B225" s="137"/>
      <c r="C225" s="138"/>
      <c r="D225" s="138"/>
      <c r="E225" s="139"/>
      <c r="F225" s="95"/>
      <c r="G225" s="95"/>
      <c r="H225" s="95"/>
      <c r="I225" s="95"/>
      <c r="K225" s="92"/>
      <c r="L225" s="95"/>
      <c r="M225" s="95"/>
      <c r="N225" s="95"/>
      <c r="O225" s="95"/>
      <c r="P225" s="95"/>
      <c r="Q225" s="95"/>
      <c r="R225" s="95"/>
      <c r="S225" s="7"/>
      <c r="T225" s="92"/>
      <c r="U225" s="95"/>
      <c r="V225" s="95"/>
      <c r="W225" s="95"/>
      <c r="X225" s="95"/>
      <c r="Y225" s="95"/>
      <c r="Z225" s="95"/>
      <c r="AA225" s="95"/>
      <c r="AB225" s="7"/>
      <c r="AC225" s="92"/>
      <c r="AD225" s="95"/>
      <c r="AE225" s="95"/>
      <c r="AF225" s="95"/>
      <c r="AG225" s="95"/>
      <c r="AH225" s="95"/>
      <c r="AI225" s="95"/>
      <c r="AJ225" s="95"/>
      <c r="AK225" s="7"/>
      <c r="AL225" s="92"/>
      <c r="AM225" s="95"/>
      <c r="AN225" s="95"/>
      <c r="AO225" s="95"/>
      <c r="AP225" s="95"/>
      <c r="AQ225" s="95"/>
      <c r="AR225" s="95"/>
      <c r="AS225" s="95"/>
      <c r="AT225" s="7"/>
      <c r="AU225" s="92"/>
      <c r="AV225" s="95"/>
      <c r="AW225" s="95"/>
      <c r="AX225" s="95"/>
      <c r="AY225" s="95"/>
      <c r="AZ225" s="95"/>
      <c r="BA225" s="95"/>
      <c r="BB225" s="95"/>
      <c r="BC225" s="7"/>
      <c r="BD225" s="92"/>
      <c r="BE225" s="95"/>
      <c r="BF225" s="95"/>
      <c r="BG225" s="95"/>
      <c r="BH225" s="95"/>
      <c r="BI225" s="95"/>
      <c r="BJ225" s="95"/>
      <c r="BK225" s="95"/>
      <c r="BL225" s="7"/>
      <c r="BM225" s="92"/>
      <c r="BN225" s="95"/>
      <c r="BO225" s="95"/>
      <c r="BP225" s="95"/>
      <c r="BQ225" s="95"/>
      <c r="BR225" s="95"/>
      <c r="BS225" s="95"/>
      <c r="BT225" s="95"/>
      <c r="BU225" s="7"/>
      <c r="BV225" s="92"/>
      <c r="BW225" s="95"/>
      <c r="BX225" s="95"/>
      <c r="BY225" s="95"/>
      <c r="BZ225" s="95"/>
      <c r="CA225" s="95"/>
      <c r="CB225" s="95"/>
      <c r="CC225" s="95"/>
    </row>
    <row r="226" spans="1:81">
      <c r="B226" s="139"/>
      <c r="C226" s="138"/>
      <c r="D226" s="138"/>
      <c r="E226" s="139"/>
    </row>
    <row r="227" spans="1:81">
      <c r="B227" s="139"/>
      <c r="C227" s="138"/>
      <c r="D227" s="138"/>
      <c r="E227" s="138"/>
    </row>
  </sheetData>
  <pageMargins left="0.7" right="0.7" top="0.75" bottom="0.75" header="0.3" footer="0.3"/>
  <pageSetup scale="42" fitToHeight="0" orientation="portrait" r:id="rId1"/>
  <rowBreaks count="2" manualBreakCount="2">
    <brk id="80" max="9" man="1"/>
    <brk id="170" max="9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27"/>
  <sheetViews>
    <sheetView zoomScale="75" zoomScaleNormal="75" workbookViewId="0">
      <pane xSplit="1" ySplit="1" topLeftCell="AB142" activePane="bottomRight" state="frozen"/>
      <selection activeCell="E165" sqref="E164:E165"/>
      <selection pane="topRight" activeCell="E165" sqref="E164:E165"/>
      <selection pane="bottomLeft" activeCell="E165" sqref="E164:E165"/>
      <selection pane="bottomRight" activeCell="E165" sqref="E164:E165"/>
    </sheetView>
  </sheetViews>
  <sheetFormatPr defaultColWidth="8.625" defaultRowHeight="14.25"/>
  <cols>
    <col min="1" max="1" width="56.5" style="7" customWidth="1"/>
    <col min="2" max="7" width="15.625" style="92" customWidth="1"/>
    <col min="8" max="8" width="15.625" style="92" hidden="1" customWidth="1"/>
    <col min="9" max="9" width="15.625" style="92" customWidth="1"/>
    <col min="10" max="10" width="10.125" style="14" bestFit="1" customWidth="1"/>
    <col min="11" max="16" width="15.625" style="92" customWidth="1"/>
    <col min="17" max="17" width="15.625" style="92" hidden="1" customWidth="1"/>
    <col min="18" max="18" width="15.625" style="92" customWidth="1"/>
    <col min="19" max="19" width="8.625" style="7"/>
    <col min="20" max="25" width="15.625" style="92" customWidth="1"/>
    <col min="26" max="26" width="15.625" style="92" hidden="1" customWidth="1"/>
    <col min="27" max="27" width="15.625" style="92" customWidth="1"/>
    <col min="28" max="28" width="8.625" style="7"/>
    <col min="29" max="34" width="15.625" style="92" customWidth="1"/>
    <col min="35" max="35" width="15.625" style="92" hidden="1" customWidth="1"/>
    <col min="36" max="36" width="15.625" style="92" customWidth="1"/>
    <col min="37" max="37" width="8.625" style="7"/>
    <col min="38" max="43" width="15.625" style="92" customWidth="1"/>
    <col min="44" max="44" width="15.625" style="92" hidden="1" customWidth="1"/>
    <col min="45" max="45" width="15.625" style="92" customWidth="1"/>
    <col min="46" max="46" width="8.625" style="7"/>
    <col min="47" max="52" width="15.625" style="92" customWidth="1"/>
    <col min="53" max="53" width="15.625" style="92" hidden="1" customWidth="1"/>
    <col min="54" max="54" width="15.625" style="92" customWidth="1"/>
    <col min="55" max="55" width="8.625" style="7"/>
    <col min="56" max="61" width="15.625" style="92" customWidth="1"/>
    <col min="62" max="62" width="15.625" style="92" hidden="1" customWidth="1"/>
    <col min="63" max="63" width="15.625" style="92" customWidth="1"/>
    <col min="64" max="64" width="8.625" style="7"/>
    <col min="65" max="70" width="15.625" style="92" customWidth="1"/>
    <col min="71" max="71" width="15.625" style="92" hidden="1" customWidth="1"/>
    <col min="72" max="72" width="15.625" style="92" customWidth="1"/>
    <col min="73" max="73" width="8.625" style="7"/>
    <col min="74" max="79" width="15.625" style="92" customWidth="1"/>
    <col min="80" max="80" width="15.625" style="92" hidden="1" customWidth="1"/>
    <col min="81" max="81" width="15.625" style="92" customWidth="1"/>
    <col min="82" max="16384" width="8.625" style="7"/>
  </cols>
  <sheetData>
    <row r="1" spans="1:82" s="3" customFormat="1" ht="15">
      <c r="A1" s="1" t="s">
        <v>256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196</v>
      </c>
      <c r="J1" s="2"/>
      <c r="K1" s="1" t="s">
        <v>0</v>
      </c>
      <c r="L1" s="1" t="s">
        <v>1</v>
      </c>
      <c r="M1" s="1" t="s">
        <v>2</v>
      </c>
      <c r="N1" s="1" t="s">
        <v>3</v>
      </c>
      <c r="O1" s="1" t="s">
        <v>4</v>
      </c>
      <c r="P1" s="1" t="s">
        <v>5</v>
      </c>
      <c r="Q1" s="1" t="s">
        <v>6</v>
      </c>
      <c r="R1" s="1" t="s">
        <v>198</v>
      </c>
      <c r="T1" s="1" t="s">
        <v>0</v>
      </c>
      <c r="U1" s="1" t="s">
        <v>1</v>
      </c>
      <c r="V1" s="1" t="s">
        <v>2</v>
      </c>
      <c r="W1" s="1" t="s">
        <v>3</v>
      </c>
      <c r="X1" s="1" t="s">
        <v>4</v>
      </c>
      <c r="Y1" s="1" t="s">
        <v>5</v>
      </c>
      <c r="Z1" s="1" t="s">
        <v>6</v>
      </c>
      <c r="AA1" s="1" t="s">
        <v>199</v>
      </c>
      <c r="AC1" s="1" t="s">
        <v>0</v>
      </c>
      <c r="AD1" s="1" t="s">
        <v>1</v>
      </c>
      <c r="AE1" s="1" t="s">
        <v>2</v>
      </c>
      <c r="AF1" s="1" t="s">
        <v>3</v>
      </c>
      <c r="AG1" s="1" t="s">
        <v>4</v>
      </c>
      <c r="AH1" s="1" t="s">
        <v>5</v>
      </c>
      <c r="AI1" s="1" t="s">
        <v>6</v>
      </c>
      <c r="AJ1" s="1" t="s">
        <v>200</v>
      </c>
      <c r="AL1" s="1" t="s">
        <v>0</v>
      </c>
      <c r="AM1" s="1" t="s">
        <v>1</v>
      </c>
      <c r="AN1" s="1" t="s">
        <v>2</v>
      </c>
      <c r="AO1" s="1" t="s">
        <v>3</v>
      </c>
      <c r="AP1" s="1" t="s">
        <v>4</v>
      </c>
      <c r="AQ1" s="1" t="s">
        <v>5</v>
      </c>
      <c r="AR1" s="1" t="s">
        <v>6</v>
      </c>
      <c r="AS1" s="1" t="s">
        <v>201</v>
      </c>
      <c r="AU1" s="1" t="s">
        <v>0</v>
      </c>
      <c r="AV1" s="1" t="s">
        <v>1</v>
      </c>
      <c r="AW1" s="1" t="s">
        <v>2</v>
      </c>
      <c r="AX1" s="1" t="s">
        <v>3</v>
      </c>
      <c r="AY1" s="1" t="s">
        <v>4</v>
      </c>
      <c r="AZ1" s="1" t="s">
        <v>5</v>
      </c>
      <c r="BA1" s="1" t="s">
        <v>6</v>
      </c>
      <c r="BB1" s="1" t="s">
        <v>202</v>
      </c>
      <c r="BD1" s="1" t="s">
        <v>0</v>
      </c>
      <c r="BE1" s="1" t="s">
        <v>1</v>
      </c>
      <c r="BF1" s="1" t="s">
        <v>2</v>
      </c>
      <c r="BG1" s="1" t="s">
        <v>3</v>
      </c>
      <c r="BH1" s="1" t="s">
        <v>4</v>
      </c>
      <c r="BI1" s="1" t="s">
        <v>5</v>
      </c>
      <c r="BJ1" s="1" t="s">
        <v>6</v>
      </c>
      <c r="BK1" s="1" t="s">
        <v>203</v>
      </c>
      <c r="BM1" s="1" t="s">
        <v>0</v>
      </c>
      <c r="BN1" s="1" t="s">
        <v>1</v>
      </c>
      <c r="BO1" s="1" t="s">
        <v>2</v>
      </c>
      <c r="BP1" s="1" t="s">
        <v>3</v>
      </c>
      <c r="BQ1" s="1" t="s">
        <v>4</v>
      </c>
      <c r="BR1" s="1" t="s">
        <v>5</v>
      </c>
      <c r="BS1" s="1" t="s">
        <v>6</v>
      </c>
      <c r="BT1" s="1" t="s">
        <v>204</v>
      </c>
      <c r="BV1" s="1" t="s">
        <v>0</v>
      </c>
      <c r="BW1" s="1" t="s">
        <v>1</v>
      </c>
      <c r="BX1" s="1" t="s">
        <v>2</v>
      </c>
      <c r="BY1" s="1" t="s">
        <v>3</v>
      </c>
      <c r="BZ1" s="1" t="s">
        <v>4</v>
      </c>
      <c r="CA1" s="1" t="s">
        <v>5</v>
      </c>
      <c r="CB1" s="1" t="s">
        <v>6</v>
      </c>
      <c r="CC1" s="1" t="s">
        <v>205</v>
      </c>
    </row>
    <row r="2" spans="1:82">
      <c r="A2" s="4" t="s">
        <v>7</v>
      </c>
      <c r="B2" s="5">
        <v>9850</v>
      </c>
      <c r="C2" s="5"/>
      <c r="D2" s="5"/>
      <c r="E2" s="5"/>
      <c r="F2" s="5"/>
      <c r="G2" s="5"/>
      <c r="H2" s="5"/>
      <c r="I2" s="5">
        <f>SUM(B2:H2)</f>
        <v>9850</v>
      </c>
      <c r="J2" s="6"/>
      <c r="K2" s="5">
        <v>9850</v>
      </c>
      <c r="L2" s="5"/>
      <c r="M2" s="5"/>
      <c r="N2" s="5"/>
      <c r="O2" s="5"/>
      <c r="P2" s="5"/>
      <c r="Q2" s="5"/>
      <c r="R2" s="5">
        <f>SUM(K2:Q2)</f>
        <v>9850</v>
      </c>
      <c r="T2" s="5">
        <v>9850</v>
      </c>
      <c r="U2" s="5"/>
      <c r="V2" s="5"/>
      <c r="W2" s="5"/>
      <c r="X2" s="5"/>
      <c r="Y2" s="5"/>
      <c r="Z2" s="5"/>
      <c r="AA2" s="5">
        <f>SUM(T2:Z2)</f>
        <v>9850</v>
      </c>
      <c r="AC2" s="5">
        <v>9850</v>
      </c>
      <c r="AD2" s="5"/>
      <c r="AE2" s="5"/>
      <c r="AF2" s="5"/>
      <c r="AG2" s="5"/>
      <c r="AH2" s="5"/>
      <c r="AI2" s="5"/>
      <c r="AJ2" s="5">
        <f>SUM(AC2:AI2)</f>
        <v>9850</v>
      </c>
      <c r="AL2" s="5">
        <v>9850</v>
      </c>
      <c r="AM2" s="5"/>
      <c r="AN2" s="5"/>
      <c r="AO2" s="5"/>
      <c r="AP2" s="5"/>
      <c r="AQ2" s="5"/>
      <c r="AR2" s="5"/>
      <c r="AS2" s="5">
        <f>SUM(AL2:AR2)</f>
        <v>9850</v>
      </c>
      <c r="AU2" s="5">
        <v>9850</v>
      </c>
      <c r="AV2" s="5"/>
      <c r="AW2" s="5"/>
      <c r="AX2" s="5"/>
      <c r="AY2" s="5"/>
      <c r="AZ2" s="5"/>
      <c r="BA2" s="5"/>
      <c r="BB2" s="5">
        <f>SUM(AU2:BA2)</f>
        <v>9850</v>
      </c>
      <c r="BD2" s="5">
        <v>9850</v>
      </c>
      <c r="BE2" s="5"/>
      <c r="BF2" s="5"/>
      <c r="BG2" s="5"/>
      <c r="BH2" s="5"/>
      <c r="BI2" s="5"/>
      <c r="BJ2" s="5"/>
      <c r="BK2" s="5">
        <f>SUM(BD2:BJ2)</f>
        <v>9850</v>
      </c>
      <c r="BM2" s="5">
        <v>9850</v>
      </c>
      <c r="BN2" s="5"/>
      <c r="BO2" s="5"/>
      <c r="BP2" s="5"/>
      <c r="BQ2" s="5"/>
      <c r="BR2" s="5"/>
      <c r="BS2" s="5"/>
      <c r="BT2" s="5">
        <f>SUM(BM2:BS2)</f>
        <v>9850</v>
      </c>
      <c r="BV2" s="5">
        <v>9850</v>
      </c>
      <c r="BW2" s="5"/>
      <c r="BX2" s="5"/>
      <c r="BY2" s="5"/>
      <c r="BZ2" s="5"/>
      <c r="CA2" s="5"/>
      <c r="CB2" s="5"/>
      <c r="CC2" s="5">
        <f>SUM(BV2:CB2)</f>
        <v>9850</v>
      </c>
    </row>
    <row r="3" spans="1:82" ht="15">
      <c r="A3" s="8" t="s">
        <v>8</v>
      </c>
      <c r="B3" s="9">
        <f t="shared" ref="B3" si="0">B4+B5+B6+B7+B8+B9+B10+B11+B12+B13+B14+B15+B16</f>
        <v>930</v>
      </c>
      <c r="C3" s="9"/>
      <c r="D3" s="9"/>
      <c r="E3" s="9"/>
      <c r="F3" s="9"/>
      <c r="G3" s="9"/>
      <c r="H3" s="9"/>
      <c r="I3" s="9">
        <f t="shared" ref="I3:I16" si="1">SUM(B3:H3)</f>
        <v>930</v>
      </c>
      <c r="J3" s="6"/>
      <c r="K3" s="9">
        <f t="shared" ref="K3" si="2">K4+K5+K6+K7+K8+K9+K10+K11+K12+K13+K14+K15+K16</f>
        <v>1032</v>
      </c>
      <c r="L3" s="9"/>
      <c r="M3" s="9"/>
      <c r="N3" s="9"/>
      <c r="O3" s="9"/>
      <c r="P3" s="9"/>
      <c r="Q3" s="9"/>
      <c r="R3" s="9">
        <f t="shared" ref="R3:R16" si="3">SUM(K3:Q3)</f>
        <v>1032</v>
      </c>
      <c r="T3" s="9">
        <f t="shared" ref="T3" si="4">T4+T5+T6+T7+T8+T9+T10+T11+T12+T13+T14+T15+T16</f>
        <v>1245</v>
      </c>
      <c r="U3" s="9"/>
      <c r="V3" s="9"/>
      <c r="W3" s="9"/>
      <c r="X3" s="9"/>
      <c r="Y3" s="9"/>
      <c r="Z3" s="9"/>
      <c r="AA3" s="9">
        <f t="shared" ref="AA3:AA16" si="5">SUM(T3:Z3)</f>
        <v>1245</v>
      </c>
      <c r="AC3" s="9">
        <f t="shared" ref="AC3" si="6">AC4+AC5+AC6+AC7+AC8+AC9+AC10+AC11+AC12+AC13+AC14+AC15+AC16</f>
        <v>2546</v>
      </c>
      <c r="AD3" s="9"/>
      <c r="AE3" s="9"/>
      <c r="AF3" s="9"/>
      <c r="AG3" s="9"/>
      <c r="AH3" s="9"/>
      <c r="AI3" s="9"/>
      <c r="AJ3" s="9">
        <f t="shared" ref="AJ3:AJ16" si="7">SUM(AC3:AI3)</f>
        <v>2546</v>
      </c>
      <c r="AL3" s="9">
        <f t="shared" ref="AL3" si="8">AL4+AL5+AL6+AL7+AL8+AL9+AL10+AL11+AL12+AL13+AL14+AL15+AL16</f>
        <v>2402</v>
      </c>
      <c r="AM3" s="9"/>
      <c r="AN3" s="9"/>
      <c r="AO3" s="9"/>
      <c r="AP3" s="9"/>
      <c r="AQ3" s="9"/>
      <c r="AR3" s="9"/>
      <c r="AS3" s="9">
        <f t="shared" ref="AS3:AS16" si="9">SUM(AL3:AR3)</f>
        <v>2402</v>
      </c>
      <c r="AU3" s="9">
        <f t="shared" ref="AU3" si="10">AU4+AU5+AU6+AU7+AU8+AU9+AU10+AU11+AU12+AU13+AU14+AU15+AU16</f>
        <v>140</v>
      </c>
      <c r="AV3" s="9"/>
      <c r="AW3" s="9"/>
      <c r="AX3" s="9"/>
      <c r="AY3" s="9"/>
      <c r="AZ3" s="9"/>
      <c r="BA3" s="9"/>
      <c r="BB3" s="9">
        <f t="shared" ref="BB3:BB16" si="11">SUM(AU3:BA3)</f>
        <v>140</v>
      </c>
      <c r="BD3" s="9">
        <f t="shared" ref="BD3" si="12">BD4+BD5+BD6+BD7+BD8+BD9+BD10+BD11+BD12+BD13+BD14+BD15+BD16</f>
        <v>496</v>
      </c>
      <c r="BE3" s="9"/>
      <c r="BF3" s="9"/>
      <c r="BG3" s="9"/>
      <c r="BH3" s="9"/>
      <c r="BI3" s="9"/>
      <c r="BJ3" s="9"/>
      <c r="BK3" s="9">
        <f t="shared" ref="BK3:BK16" si="13">SUM(BD3:BJ3)</f>
        <v>496</v>
      </c>
      <c r="BM3" s="9">
        <f t="shared" ref="BM3" si="14">BM4+BM5+BM6+BM7+BM8+BM9+BM10+BM11+BM12+BM13+BM14+BM15+BM16</f>
        <v>0</v>
      </c>
      <c r="BN3" s="9"/>
      <c r="BO3" s="9"/>
      <c r="BP3" s="9"/>
      <c r="BQ3" s="9"/>
      <c r="BR3" s="9"/>
      <c r="BS3" s="9"/>
      <c r="BT3" s="9">
        <f t="shared" ref="BT3:BT16" si="15">SUM(BM3:BS3)</f>
        <v>0</v>
      </c>
      <c r="BV3" s="9">
        <f t="shared" ref="BV3" si="16">BV4+BV5+BV6+BV7+BV8+BV9+BV10+BV11+BV12+BV13+BV14+BV15+BV16</f>
        <v>8791</v>
      </c>
      <c r="BW3" s="9"/>
      <c r="BX3" s="9"/>
      <c r="BY3" s="9"/>
      <c r="BZ3" s="9"/>
      <c r="CA3" s="9"/>
      <c r="CB3" s="9"/>
      <c r="CC3" s="9">
        <f t="shared" ref="CC3:CC16" si="17">SUM(BV3:CB3)</f>
        <v>8791</v>
      </c>
    </row>
    <row r="4" spans="1:82">
      <c r="A4" s="10" t="s">
        <v>9</v>
      </c>
      <c r="B4" s="5">
        <f>25*6</f>
        <v>150</v>
      </c>
      <c r="C4" s="11"/>
      <c r="D4" s="11"/>
      <c r="E4" s="11"/>
      <c r="F4" s="11"/>
      <c r="G4" s="11"/>
      <c r="H4" s="11"/>
      <c r="I4" s="11">
        <f t="shared" si="1"/>
        <v>150</v>
      </c>
      <c r="J4" s="12">
        <f>I4/25</f>
        <v>6</v>
      </c>
      <c r="K4" s="5">
        <f>25*4</f>
        <v>100</v>
      </c>
      <c r="L4" s="11"/>
      <c r="M4" s="11"/>
      <c r="N4" s="11"/>
      <c r="O4" s="11"/>
      <c r="P4" s="11"/>
      <c r="Q4" s="11"/>
      <c r="R4" s="11">
        <f t="shared" si="3"/>
        <v>100</v>
      </c>
      <c r="S4" s="12">
        <f>R4/25</f>
        <v>4</v>
      </c>
      <c r="T4" s="5">
        <f>25*5</f>
        <v>125</v>
      </c>
      <c r="U4" s="11"/>
      <c r="V4" s="11"/>
      <c r="W4" s="11"/>
      <c r="X4" s="11"/>
      <c r="Y4" s="11"/>
      <c r="Z4" s="11"/>
      <c r="AA4" s="11">
        <f t="shared" si="5"/>
        <v>125</v>
      </c>
      <c r="AB4" s="12">
        <f>AA4/25</f>
        <v>5</v>
      </c>
      <c r="AC4" s="5">
        <f>25*5</f>
        <v>125</v>
      </c>
      <c r="AD4" s="11"/>
      <c r="AE4" s="11"/>
      <c r="AF4" s="11"/>
      <c r="AG4" s="11"/>
      <c r="AH4" s="11"/>
      <c r="AI4" s="11"/>
      <c r="AJ4" s="11">
        <f t="shared" si="7"/>
        <v>125</v>
      </c>
      <c r="AK4" s="12">
        <f>AJ4/25</f>
        <v>5</v>
      </c>
      <c r="AL4" s="5">
        <f>25*5</f>
        <v>125</v>
      </c>
      <c r="AM4" s="11"/>
      <c r="AN4" s="11"/>
      <c r="AO4" s="11"/>
      <c r="AP4" s="11"/>
      <c r="AQ4" s="11"/>
      <c r="AR4" s="11"/>
      <c r="AS4" s="11">
        <f t="shared" si="9"/>
        <v>125</v>
      </c>
      <c r="AT4" s="12">
        <f>AS4/25</f>
        <v>5</v>
      </c>
      <c r="AU4" s="5">
        <v>0</v>
      </c>
      <c r="AV4" s="11"/>
      <c r="AW4" s="11"/>
      <c r="AX4" s="11"/>
      <c r="AY4" s="11"/>
      <c r="AZ4" s="11"/>
      <c r="BA4" s="11"/>
      <c r="BB4" s="11">
        <f t="shared" si="11"/>
        <v>0</v>
      </c>
      <c r="BD4" s="5">
        <f>25*3</f>
        <v>75</v>
      </c>
      <c r="BE4" s="11"/>
      <c r="BF4" s="11"/>
      <c r="BG4" s="11"/>
      <c r="BH4" s="11"/>
      <c r="BI4" s="11"/>
      <c r="BJ4" s="11"/>
      <c r="BK4" s="11">
        <f t="shared" si="13"/>
        <v>75</v>
      </c>
      <c r="BL4" s="12">
        <f>BK4/25</f>
        <v>3</v>
      </c>
      <c r="BM4" s="5">
        <v>0</v>
      </c>
      <c r="BN4" s="11"/>
      <c r="BO4" s="11"/>
      <c r="BP4" s="11"/>
      <c r="BQ4" s="11"/>
      <c r="BR4" s="11"/>
      <c r="BS4" s="11"/>
      <c r="BT4" s="11">
        <f t="shared" si="15"/>
        <v>0</v>
      </c>
      <c r="BV4" s="5">
        <f>B4+K4+T4+AC4+AL4+AU4+BD4+BM4</f>
        <v>700</v>
      </c>
      <c r="BW4" s="5">
        <f t="shared" ref="BW4:CA16" si="18">C4+L4+U4+AD4+AM4+AV4+BE4+BN4</f>
        <v>0</v>
      </c>
      <c r="BX4" s="5">
        <f t="shared" si="18"/>
        <v>0</v>
      </c>
      <c r="BY4" s="5">
        <f t="shared" si="18"/>
        <v>0</v>
      </c>
      <c r="BZ4" s="5">
        <f t="shared" si="18"/>
        <v>0</v>
      </c>
      <c r="CA4" s="5">
        <f t="shared" si="18"/>
        <v>0</v>
      </c>
      <c r="CB4" s="11"/>
      <c r="CC4" s="11">
        <f t="shared" si="17"/>
        <v>700</v>
      </c>
      <c r="CD4" s="12">
        <f>J4+S4+AB4+AK4+AT4+BC4+BL4+BU4</f>
        <v>28</v>
      </c>
    </row>
    <row r="5" spans="1:82">
      <c r="A5" s="8" t="s">
        <v>10</v>
      </c>
      <c r="B5" s="5">
        <f>26*6</f>
        <v>156</v>
      </c>
      <c r="C5" s="11"/>
      <c r="D5" s="11"/>
      <c r="E5" s="11"/>
      <c r="F5" s="11"/>
      <c r="G5" s="11"/>
      <c r="H5" s="11"/>
      <c r="I5" s="11">
        <f t="shared" si="1"/>
        <v>156</v>
      </c>
      <c r="J5" s="12">
        <f>I5/26</f>
        <v>6</v>
      </c>
      <c r="K5" s="5">
        <f>26*4</f>
        <v>104</v>
      </c>
      <c r="L5" s="11"/>
      <c r="M5" s="11"/>
      <c r="N5" s="11"/>
      <c r="O5" s="11"/>
      <c r="P5" s="11"/>
      <c r="Q5" s="11"/>
      <c r="R5" s="11">
        <f t="shared" si="3"/>
        <v>104</v>
      </c>
      <c r="S5" s="12">
        <f>R5/26</f>
        <v>4</v>
      </c>
      <c r="T5" s="5">
        <f>26*5</f>
        <v>130</v>
      </c>
      <c r="U5" s="11"/>
      <c r="V5" s="11"/>
      <c r="W5" s="11"/>
      <c r="X5" s="11"/>
      <c r="Y5" s="11"/>
      <c r="Z5" s="11"/>
      <c r="AA5" s="11">
        <f t="shared" si="5"/>
        <v>130</v>
      </c>
      <c r="AB5" s="12">
        <f>AA5/26</f>
        <v>5</v>
      </c>
      <c r="AC5" s="5">
        <f>26*5</f>
        <v>130</v>
      </c>
      <c r="AD5" s="11"/>
      <c r="AE5" s="11"/>
      <c r="AF5" s="11"/>
      <c r="AG5" s="11"/>
      <c r="AH5" s="11"/>
      <c r="AI5" s="11"/>
      <c r="AJ5" s="11">
        <f t="shared" si="7"/>
        <v>130</v>
      </c>
      <c r="AK5" s="12">
        <f>AJ5/26</f>
        <v>5</v>
      </c>
      <c r="AL5" s="5">
        <f>25*5</f>
        <v>125</v>
      </c>
      <c r="AM5" s="11"/>
      <c r="AN5" s="11"/>
      <c r="AO5" s="11"/>
      <c r="AP5" s="11"/>
      <c r="AQ5" s="11"/>
      <c r="AR5" s="11"/>
      <c r="AS5" s="11">
        <f t="shared" si="9"/>
        <v>125</v>
      </c>
      <c r="AT5" s="12">
        <f t="shared" ref="AT5" si="19">AS5/25</f>
        <v>5</v>
      </c>
      <c r="AU5" s="5">
        <v>0</v>
      </c>
      <c r="AV5" s="11"/>
      <c r="AW5" s="11"/>
      <c r="AX5" s="11"/>
      <c r="AY5" s="11"/>
      <c r="AZ5" s="11"/>
      <c r="BA5" s="11"/>
      <c r="BB5" s="11">
        <f t="shared" si="11"/>
        <v>0</v>
      </c>
      <c r="BD5" s="5">
        <f>25*3</f>
        <v>75</v>
      </c>
      <c r="BE5" s="11"/>
      <c r="BF5" s="11"/>
      <c r="BG5" s="11"/>
      <c r="BH5" s="11"/>
      <c r="BI5" s="11"/>
      <c r="BJ5" s="11"/>
      <c r="BK5" s="11">
        <f t="shared" si="13"/>
        <v>75</v>
      </c>
      <c r="BL5" s="12">
        <f t="shared" ref="BL5:BL8" si="20">BK5/25</f>
        <v>3</v>
      </c>
      <c r="BM5" s="5">
        <v>0</v>
      </c>
      <c r="BN5" s="11"/>
      <c r="BO5" s="11"/>
      <c r="BP5" s="11"/>
      <c r="BQ5" s="11"/>
      <c r="BR5" s="11"/>
      <c r="BS5" s="11"/>
      <c r="BT5" s="11">
        <f t="shared" si="15"/>
        <v>0</v>
      </c>
      <c r="BV5" s="5">
        <f t="shared" ref="BV5:BV16" si="21">B5+K5+T5+AC5+AL5+AU5+BD5+BM5</f>
        <v>720</v>
      </c>
      <c r="BW5" s="5">
        <f t="shared" si="18"/>
        <v>0</v>
      </c>
      <c r="BX5" s="5">
        <f t="shared" si="18"/>
        <v>0</v>
      </c>
      <c r="BY5" s="5">
        <f t="shared" si="18"/>
        <v>0</v>
      </c>
      <c r="BZ5" s="5">
        <f t="shared" si="18"/>
        <v>0</v>
      </c>
      <c r="CA5" s="5">
        <f t="shared" si="18"/>
        <v>0</v>
      </c>
      <c r="CB5" s="11"/>
      <c r="CC5" s="11">
        <f t="shared" si="17"/>
        <v>720</v>
      </c>
      <c r="CD5" s="12">
        <f t="shared" ref="CD5:CD16" si="22">J5+S5+AB5+AK5+AT5+BC5+BL5+BU5</f>
        <v>28</v>
      </c>
    </row>
    <row r="6" spans="1:82">
      <c r="A6" s="8" t="s">
        <v>11</v>
      </c>
      <c r="B6" s="5">
        <f>26*6</f>
        <v>156</v>
      </c>
      <c r="C6" s="11"/>
      <c r="D6" s="11"/>
      <c r="E6" s="11"/>
      <c r="F6" s="11"/>
      <c r="G6" s="11"/>
      <c r="H6" s="11"/>
      <c r="I6" s="11">
        <f t="shared" si="1"/>
        <v>156</v>
      </c>
      <c r="J6" s="12">
        <f t="shared" ref="J6:J9" si="23">I6/26</f>
        <v>6</v>
      </c>
      <c r="K6" s="5">
        <f>27*4</f>
        <v>108</v>
      </c>
      <c r="L6" s="11"/>
      <c r="M6" s="11"/>
      <c r="N6" s="11"/>
      <c r="O6" s="11"/>
      <c r="P6" s="11"/>
      <c r="Q6" s="11"/>
      <c r="R6" s="11">
        <f t="shared" si="3"/>
        <v>108</v>
      </c>
      <c r="S6" s="12">
        <f>R6/27</f>
        <v>4</v>
      </c>
      <c r="T6" s="5">
        <f>26*5</f>
        <v>130</v>
      </c>
      <c r="U6" s="11"/>
      <c r="V6" s="11"/>
      <c r="W6" s="11"/>
      <c r="X6" s="11"/>
      <c r="Y6" s="11"/>
      <c r="Z6" s="11"/>
      <c r="AA6" s="11">
        <f t="shared" si="5"/>
        <v>130</v>
      </c>
      <c r="AB6" s="12">
        <f t="shared" ref="AB6:AB8" si="24">AA6/26</f>
        <v>5</v>
      </c>
      <c r="AC6" s="5">
        <f>27*5</f>
        <v>135</v>
      </c>
      <c r="AD6" s="11"/>
      <c r="AE6" s="11"/>
      <c r="AF6" s="11"/>
      <c r="AG6" s="11"/>
      <c r="AH6" s="11"/>
      <c r="AI6" s="11"/>
      <c r="AJ6" s="11">
        <f t="shared" si="7"/>
        <v>135</v>
      </c>
      <c r="AK6" s="12">
        <f>AJ6/27</f>
        <v>5</v>
      </c>
      <c r="AL6" s="5">
        <f>26*5</f>
        <v>130</v>
      </c>
      <c r="AM6" s="11"/>
      <c r="AN6" s="11"/>
      <c r="AO6" s="11"/>
      <c r="AP6" s="11"/>
      <c r="AQ6" s="11"/>
      <c r="AR6" s="11"/>
      <c r="AS6" s="11">
        <f t="shared" si="9"/>
        <v>130</v>
      </c>
      <c r="AT6" s="12">
        <f>AS6/26</f>
        <v>5</v>
      </c>
      <c r="AU6" s="5">
        <v>0</v>
      </c>
      <c r="AV6" s="11"/>
      <c r="AW6" s="11"/>
      <c r="AX6" s="11"/>
      <c r="AY6" s="11"/>
      <c r="AZ6" s="11"/>
      <c r="BA6" s="11"/>
      <c r="BB6" s="11">
        <f t="shared" si="11"/>
        <v>0</v>
      </c>
      <c r="BD6" s="5">
        <f>25*3</f>
        <v>75</v>
      </c>
      <c r="BE6" s="11"/>
      <c r="BF6" s="11"/>
      <c r="BG6" s="11"/>
      <c r="BH6" s="11"/>
      <c r="BI6" s="11"/>
      <c r="BJ6" s="11"/>
      <c r="BK6" s="11">
        <f t="shared" si="13"/>
        <v>75</v>
      </c>
      <c r="BL6" s="12">
        <f t="shared" si="20"/>
        <v>3</v>
      </c>
      <c r="BM6" s="5">
        <v>0</v>
      </c>
      <c r="BN6" s="11"/>
      <c r="BO6" s="11"/>
      <c r="BP6" s="11"/>
      <c r="BQ6" s="11"/>
      <c r="BR6" s="11"/>
      <c r="BS6" s="11"/>
      <c r="BT6" s="11">
        <f t="shared" si="15"/>
        <v>0</v>
      </c>
      <c r="BV6" s="5">
        <f t="shared" si="21"/>
        <v>734</v>
      </c>
      <c r="BW6" s="5">
        <f t="shared" si="18"/>
        <v>0</v>
      </c>
      <c r="BX6" s="5">
        <f t="shared" si="18"/>
        <v>0</v>
      </c>
      <c r="BY6" s="5">
        <f t="shared" si="18"/>
        <v>0</v>
      </c>
      <c r="BZ6" s="5">
        <f t="shared" si="18"/>
        <v>0</v>
      </c>
      <c r="CA6" s="5">
        <f t="shared" si="18"/>
        <v>0</v>
      </c>
      <c r="CB6" s="11"/>
      <c r="CC6" s="11">
        <f t="shared" si="17"/>
        <v>734</v>
      </c>
      <c r="CD6" s="12">
        <f t="shared" si="22"/>
        <v>28</v>
      </c>
    </row>
    <row r="7" spans="1:82">
      <c r="A7" s="13" t="s">
        <v>12</v>
      </c>
      <c r="B7" s="5">
        <f>26*6</f>
        <v>156</v>
      </c>
      <c r="C7" s="11"/>
      <c r="D7" s="11"/>
      <c r="E7" s="11"/>
      <c r="F7" s="11"/>
      <c r="G7" s="11"/>
      <c r="H7" s="11"/>
      <c r="I7" s="11">
        <f t="shared" si="1"/>
        <v>156</v>
      </c>
      <c r="J7" s="12">
        <f t="shared" si="23"/>
        <v>6</v>
      </c>
      <c r="K7" s="5">
        <f>28*4</f>
        <v>112</v>
      </c>
      <c r="L7" s="11"/>
      <c r="M7" s="11"/>
      <c r="N7" s="11"/>
      <c r="O7" s="11"/>
      <c r="P7" s="11"/>
      <c r="Q7" s="11"/>
      <c r="R7" s="11">
        <f t="shared" si="3"/>
        <v>112</v>
      </c>
      <c r="S7" s="12">
        <f>R7/28</f>
        <v>4</v>
      </c>
      <c r="T7" s="5">
        <f t="shared" ref="T7:T8" si="25">26*5</f>
        <v>130</v>
      </c>
      <c r="U7" s="11"/>
      <c r="V7" s="11"/>
      <c r="W7" s="11"/>
      <c r="X7" s="11"/>
      <c r="Y7" s="11"/>
      <c r="Z7" s="11"/>
      <c r="AA7" s="11">
        <f t="shared" si="5"/>
        <v>130</v>
      </c>
      <c r="AB7" s="12">
        <f t="shared" si="24"/>
        <v>5</v>
      </c>
      <c r="AC7" s="5">
        <f>27*5</f>
        <v>135</v>
      </c>
      <c r="AD7" s="11"/>
      <c r="AE7" s="11"/>
      <c r="AF7" s="11"/>
      <c r="AG7" s="11"/>
      <c r="AH7" s="11"/>
      <c r="AI7" s="11"/>
      <c r="AJ7" s="11">
        <f t="shared" si="7"/>
        <v>135</v>
      </c>
      <c r="AK7" s="12">
        <f t="shared" ref="AK7" si="26">AJ7/27</f>
        <v>5</v>
      </c>
      <c r="AL7" s="5">
        <f>27*5</f>
        <v>135</v>
      </c>
      <c r="AM7" s="11"/>
      <c r="AN7" s="11"/>
      <c r="AO7" s="11"/>
      <c r="AP7" s="11"/>
      <c r="AQ7" s="11"/>
      <c r="AR7" s="11"/>
      <c r="AS7" s="11">
        <f t="shared" si="9"/>
        <v>135</v>
      </c>
      <c r="AT7" s="12">
        <f t="shared" ref="AT7:AT8" si="27">AS7/27</f>
        <v>5</v>
      </c>
      <c r="AU7" s="5">
        <v>0</v>
      </c>
      <c r="AV7" s="11"/>
      <c r="AW7" s="11"/>
      <c r="AX7" s="11"/>
      <c r="AY7" s="11"/>
      <c r="AZ7" s="11"/>
      <c r="BA7" s="11"/>
      <c r="BB7" s="11">
        <f t="shared" si="11"/>
        <v>0</v>
      </c>
      <c r="BD7" s="5">
        <f>25*3</f>
        <v>75</v>
      </c>
      <c r="BE7" s="11"/>
      <c r="BF7" s="11"/>
      <c r="BG7" s="11"/>
      <c r="BH7" s="11"/>
      <c r="BI7" s="11"/>
      <c r="BJ7" s="11"/>
      <c r="BK7" s="11">
        <f t="shared" si="13"/>
        <v>75</v>
      </c>
      <c r="BL7" s="12">
        <f t="shared" si="20"/>
        <v>3</v>
      </c>
      <c r="BM7" s="5">
        <v>0</v>
      </c>
      <c r="BN7" s="11"/>
      <c r="BO7" s="11"/>
      <c r="BP7" s="11"/>
      <c r="BQ7" s="11"/>
      <c r="BR7" s="11"/>
      <c r="BS7" s="11"/>
      <c r="BT7" s="11">
        <f t="shared" si="15"/>
        <v>0</v>
      </c>
      <c r="BV7" s="5">
        <f t="shared" si="21"/>
        <v>743</v>
      </c>
      <c r="BW7" s="5">
        <f t="shared" si="18"/>
        <v>0</v>
      </c>
      <c r="BX7" s="5">
        <f t="shared" si="18"/>
        <v>0</v>
      </c>
      <c r="BY7" s="5">
        <f t="shared" si="18"/>
        <v>0</v>
      </c>
      <c r="BZ7" s="5">
        <f t="shared" si="18"/>
        <v>0</v>
      </c>
      <c r="CA7" s="5">
        <f t="shared" si="18"/>
        <v>0</v>
      </c>
      <c r="CB7" s="11"/>
      <c r="CC7" s="11">
        <f t="shared" si="17"/>
        <v>743</v>
      </c>
      <c r="CD7" s="12">
        <f t="shared" si="22"/>
        <v>28</v>
      </c>
    </row>
    <row r="8" spans="1:82">
      <c r="A8" s="13" t="s">
        <v>13</v>
      </c>
      <c r="B8" s="5">
        <f>26*6</f>
        <v>156</v>
      </c>
      <c r="C8" s="11"/>
      <c r="D8" s="11"/>
      <c r="E8" s="11"/>
      <c r="F8" s="11"/>
      <c r="G8" s="11"/>
      <c r="H8" s="11"/>
      <c r="I8" s="11">
        <f t="shared" si="1"/>
        <v>156</v>
      </c>
      <c r="J8" s="12">
        <f t="shared" si="23"/>
        <v>6</v>
      </c>
      <c r="K8" s="5">
        <f>28*4</f>
        <v>112</v>
      </c>
      <c r="L8" s="11"/>
      <c r="M8" s="11"/>
      <c r="N8" s="11"/>
      <c r="O8" s="11"/>
      <c r="P8" s="11"/>
      <c r="Q8" s="11"/>
      <c r="R8" s="11">
        <f t="shared" si="3"/>
        <v>112</v>
      </c>
      <c r="S8" s="12">
        <f t="shared" ref="S8" si="28">R8/28</f>
        <v>4</v>
      </c>
      <c r="T8" s="5">
        <f t="shared" si="25"/>
        <v>130</v>
      </c>
      <c r="U8" s="11"/>
      <c r="V8" s="11"/>
      <c r="W8" s="11"/>
      <c r="X8" s="11"/>
      <c r="Y8" s="11"/>
      <c r="Z8" s="11"/>
      <c r="AA8" s="11">
        <f t="shared" si="5"/>
        <v>130</v>
      </c>
      <c r="AB8" s="12">
        <f t="shared" si="24"/>
        <v>5</v>
      </c>
      <c r="AC8" s="5">
        <f>28*5</f>
        <v>140</v>
      </c>
      <c r="AD8" s="11"/>
      <c r="AE8" s="11"/>
      <c r="AF8" s="11"/>
      <c r="AG8" s="11"/>
      <c r="AH8" s="11"/>
      <c r="AI8" s="11"/>
      <c r="AJ8" s="11">
        <f t="shared" si="7"/>
        <v>140</v>
      </c>
      <c r="AK8" s="12">
        <f>AJ8/28</f>
        <v>5</v>
      </c>
      <c r="AL8" s="5">
        <f t="shared" ref="AL8" si="29">27*5</f>
        <v>135</v>
      </c>
      <c r="AM8" s="11"/>
      <c r="AN8" s="11"/>
      <c r="AO8" s="11"/>
      <c r="AP8" s="11"/>
      <c r="AQ8" s="11"/>
      <c r="AR8" s="11"/>
      <c r="AS8" s="11">
        <f t="shared" si="9"/>
        <v>135</v>
      </c>
      <c r="AT8" s="12">
        <f t="shared" si="27"/>
        <v>5</v>
      </c>
      <c r="AU8" s="5">
        <v>0</v>
      </c>
      <c r="AV8" s="11"/>
      <c r="AW8" s="11"/>
      <c r="AX8" s="11"/>
      <c r="AY8" s="11"/>
      <c r="AZ8" s="11"/>
      <c r="BA8" s="11"/>
      <c r="BB8" s="11">
        <f t="shared" si="11"/>
        <v>0</v>
      </c>
      <c r="BD8" s="5">
        <f>25*3</f>
        <v>75</v>
      </c>
      <c r="BE8" s="11"/>
      <c r="BF8" s="11"/>
      <c r="BG8" s="11"/>
      <c r="BH8" s="11"/>
      <c r="BI8" s="11"/>
      <c r="BJ8" s="11"/>
      <c r="BK8" s="11">
        <f t="shared" si="13"/>
        <v>75</v>
      </c>
      <c r="BL8" s="12">
        <f t="shared" si="20"/>
        <v>3</v>
      </c>
      <c r="BM8" s="5">
        <v>0</v>
      </c>
      <c r="BN8" s="11"/>
      <c r="BO8" s="11"/>
      <c r="BP8" s="11"/>
      <c r="BQ8" s="11"/>
      <c r="BR8" s="11"/>
      <c r="BS8" s="11"/>
      <c r="BT8" s="11">
        <f t="shared" si="15"/>
        <v>0</v>
      </c>
      <c r="BV8" s="5">
        <f t="shared" si="21"/>
        <v>748</v>
      </c>
      <c r="BW8" s="5">
        <f t="shared" si="18"/>
        <v>0</v>
      </c>
      <c r="BX8" s="5">
        <f t="shared" si="18"/>
        <v>0</v>
      </c>
      <c r="BY8" s="5">
        <f t="shared" si="18"/>
        <v>0</v>
      </c>
      <c r="BZ8" s="5">
        <f t="shared" si="18"/>
        <v>0</v>
      </c>
      <c r="CA8" s="5">
        <f t="shared" si="18"/>
        <v>0</v>
      </c>
      <c r="CB8" s="11"/>
      <c r="CC8" s="11">
        <f t="shared" si="17"/>
        <v>748</v>
      </c>
      <c r="CD8" s="12">
        <f t="shared" si="22"/>
        <v>28</v>
      </c>
    </row>
    <row r="9" spans="1:82">
      <c r="A9" s="13" t="s">
        <v>14</v>
      </c>
      <c r="B9" s="5">
        <f>26*6</f>
        <v>156</v>
      </c>
      <c r="C9" s="11"/>
      <c r="D9" s="11"/>
      <c r="E9" s="11"/>
      <c r="F9" s="11"/>
      <c r="G9" s="11"/>
      <c r="H9" s="11"/>
      <c r="I9" s="11">
        <f t="shared" si="1"/>
        <v>156</v>
      </c>
      <c r="J9" s="12">
        <f t="shared" si="23"/>
        <v>6</v>
      </c>
      <c r="K9" s="5">
        <f>25*5-1</f>
        <v>124</v>
      </c>
      <c r="L9" s="11"/>
      <c r="M9" s="11"/>
      <c r="N9" s="11"/>
      <c r="O9" s="11"/>
      <c r="P9" s="11"/>
      <c r="Q9" s="11"/>
      <c r="R9" s="11">
        <f t="shared" si="3"/>
        <v>124</v>
      </c>
      <c r="S9" s="12">
        <f>R9/31</f>
        <v>4</v>
      </c>
      <c r="T9" s="5">
        <f>25*6</f>
        <v>150</v>
      </c>
      <c r="U9" s="11"/>
      <c r="V9" s="11"/>
      <c r="W9" s="11"/>
      <c r="X9" s="11"/>
      <c r="Y9" s="11"/>
      <c r="Z9" s="11"/>
      <c r="AA9" s="11">
        <f t="shared" si="5"/>
        <v>150</v>
      </c>
      <c r="AB9" s="12">
        <f>AA9/25</f>
        <v>6</v>
      </c>
      <c r="AC9" s="5">
        <f>29*5</f>
        <v>145</v>
      </c>
      <c r="AD9" s="11"/>
      <c r="AE9" s="11"/>
      <c r="AF9" s="11"/>
      <c r="AG9" s="11"/>
      <c r="AH9" s="11"/>
      <c r="AI9" s="11"/>
      <c r="AJ9" s="11">
        <f t="shared" si="7"/>
        <v>145</v>
      </c>
      <c r="AK9" s="12">
        <f>AJ9/29</f>
        <v>5</v>
      </c>
      <c r="AL9" s="5">
        <f>28*5</f>
        <v>140</v>
      </c>
      <c r="AM9" s="11"/>
      <c r="AN9" s="11"/>
      <c r="AO9" s="11"/>
      <c r="AP9" s="11"/>
      <c r="AQ9" s="11"/>
      <c r="AR9" s="11"/>
      <c r="AS9" s="11">
        <f t="shared" si="9"/>
        <v>140</v>
      </c>
      <c r="AT9" s="12">
        <f>AS9/28</f>
        <v>5</v>
      </c>
      <c r="AU9" s="5">
        <v>0</v>
      </c>
      <c r="AV9" s="11"/>
      <c r="AW9" s="11"/>
      <c r="AX9" s="11"/>
      <c r="AY9" s="11"/>
      <c r="AZ9" s="11"/>
      <c r="BA9" s="11"/>
      <c r="BB9" s="11">
        <f t="shared" si="11"/>
        <v>0</v>
      </c>
      <c r="BD9" s="5">
        <f>24*2</f>
        <v>48</v>
      </c>
      <c r="BE9" s="11"/>
      <c r="BF9" s="11"/>
      <c r="BG9" s="11"/>
      <c r="BH9" s="11"/>
      <c r="BI9" s="11"/>
      <c r="BJ9" s="11"/>
      <c r="BK9" s="11">
        <f t="shared" si="13"/>
        <v>48</v>
      </c>
      <c r="BL9" s="12">
        <f t="shared" ref="BL9:BL10" si="30">BK9/24</f>
        <v>2</v>
      </c>
      <c r="BM9" s="5">
        <v>0</v>
      </c>
      <c r="BN9" s="11"/>
      <c r="BO9" s="11"/>
      <c r="BP9" s="11"/>
      <c r="BQ9" s="11"/>
      <c r="BR9" s="11"/>
      <c r="BS9" s="11"/>
      <c r="BT9" s="11">
        <f t="shared" si="15"/>
        <v>0</v>
      </c>
      <c r="BV9" s="5">
        <f t="shared" si="21"/>
        <v>763</v>
      </c>
      <c r="BW9" s="5">
        <f t="shared" si="18"/>
        <v>0</v>
      </c>
      <c r="BX9" s="5">
        <f t="shared" si="18"/>
        <v>0</v>
      </c>
      <c r="BY9" s="5">
        <f t="shared" si="18"/>
        <v>0</v>
      </c>
      <c r="BZ9" s="5">
        <f t="shared" si="18"/>
        <v>0</v>
      </c>
      <c r="CA9" s="5">
        <f t="shared" si="18"/>
        <v>0</v>
      </c>
      <c r="CB9" s="11"/>
      <c r="CC9" s="11">
        <f t="shared" si="17"/>
        <v>763</v>
      </c>
      <c r="CD9" s="12">
        <f t="shared" si="22"/>
        <v>28</v>
      </c>
    </row>
    <row r="10" spans="1:82">
      <c r="A10" s="13" t="s">
        <v>15</v>
      </c>
      <c r="B10" s="5">
        <v>0</v>
      </c>
      <c r="C10" s="5"/>
      <c r="D10" s="5"/>
      <c r="E10" s="5"/>
      <c r="F10" s="5"/>
      <c r="G10" s="5"/>
      <c r="H10" s="5"/>
      <c r="I10" s="11">
        <f t="shared" si="1"/>
        <v>0</v>
      </c>
      <c r="J10" s="12"/>
      <c r="K10" s="5">
        <f>31*4</f>
        <v>124</v>
      </c>
      <c r="L10" s="5"/>
      <c r="M10" s="5"/>
      <c r="N10" s="5"/>
      <c r="O10" s="5"/>
      <c r="P10" s="5"/>
      <c r="Q10" s="5"/>
      <c r="R10" s="11">
        <f t="shared" si="3"/>
        <v>124</v>
      </c>
      <c r="S10" s="12">
        <f>R10/31</f>
        <v>4</v>
      </c>
      <c r="T10" s="5">
        <f>30*5</f>
        <v>150</v>
      </c>
      <c r="U10" s="5"/>
      <c r="V10" s="5"/>
      <c r="W10" s="5"/>
      <c r="X10" s="5"/>
      <c r="Y10" s="5"/>
      <c r="Z10" s="5"/>
      <c r="AA10" s="11">
        <f t="shared" si="5"/>
        <v>150</v>
      </c>
      <c r="AB10" s="12">
        <f>AA10/30</f>
        <v>5</v>
      </c>
      <c r="AC10" s="5">
        <f>31*8</f>
        <v>248</v>
      </c>
      <c r="AD10" s="5"/>
      <c r="AE10" s="5"/>
      <c r="AF10" s="5"/>
      <c r="AG10" s="5"/>
      <c r="AH10" s="5"/>
      <c r="AI10" s="5"/>
      <c r="AJ10" s="11">
        <f t="shared" si="7"/>
        <v>248</v>
      </c>
      <c r="AK10" s="12">
        <f>AJ10/31</f>
        <v>8</v>
      </c>
      <c r="AL10" s="5">
        <f>31*5</f>
        <v>155</v>
      </c>
      <c r="AM10" s="5"/>
      <c r="AN10" s="5"/>
      <c r="AO10" s="5"/>
      <c r="AP10" s="5"/>
      <c r="AQ10" s="5"/>
      <c r="AR10" s="5"/>
      <c r="AS10" s="11">
        <f t="shared" si="9"/>
        <v>155</v>
      </c>
      <c r="AT10" s="12">
        <f>AS10/31</f>
        <v>5</v>
      </c>
      <c r="AU10" s="5">
        <f>20</f>
        <v>20</v>
      </c>
      <c r="AV10" s="5"/>
      <c r="AW10" s="5"/>
      <c r="AX10" s="5"/>
      <c r="AY10" s="5"/>
      <c r="AZ10" s="5"/>
      <c r="BA10" s="5"/>
      <c r="BB10" s="11">
        <f t="shared" si="11"/>
        <v>20</v>
      </c>
      <c r="BD10" s="5">
        <f>24*2</f>
        <v>48</v>
      </c>
      <c r="BE10" s="5"/>
      <c r="BF10" s="5"/>
      <c r="BG10" s="5"/>
      <c r="BH10" s="5"/>
      <c r="BI10" s="5"/>
      <c r="BJ10" s="5"/>
      <c r="BK10" s="11">
        <f t="shared" si="13"/>
        <v>48</v>
      </c>
      <c r="BL10" s="12">
        <f t="shared" si="30"/>
        <v>2</v>
      </c>
      <c r="BM10" s="5">
        <v>0</v>
      </c>
      <c r="BN10" s="5"/>
      <c r="BO10" s="5"/>
      <c r="BP10" s="5"/>
      <c r="BQ10" s="5"/>
      <c r="BR10" s="5"/>
      <c r="BS10" s="5"/>
      <c r="BT10" s="11">
        <f t="shared" si="15"/>
        <v>0</v>
      </c>
      <c r="BV10" s="5">
        <f t="shared" si="21"/>
        <v>745</v>
      </c>
      <c r="BW10" s="5">
        <f t="shared" si="18"/>
        <v>0</v>
      </c>
      <c r="BX10" s="5">
        <f t="shared" si="18"/>
        <v>0</v>
      </c>
      <c r="BY10" s="5">
        <f t="shared" si="18"/>
        <v>0</v>
      </c>
      <c r="BZ10" s="5">
        <f t="shared" si="18"/>
        <v>0</v>
      </c>
      <c r="CA10" s="5">
        <f t="shared" si="18"/>
        <v>0</v>
      </c>
      <c r="CB10" s="5"/>
      <c r="CC10" s="11">
        <f t="shared" si="17"/>
        <v>745</v>
      </c>
      <c r="CD10" s="12">
        <f t="shared" si="22"/>
        <v>24</v>
      </c>
    </row>
    <row r="11" spans="1:82">
      <c r="A11" s="13" t="s">
        <v>16</v>
      </c>
      <c r="B11" s="5">
        <v>0</v>
      </c>
      <c r="C11" s="5"/>
      <c r="D11" s="5"/>
      <c r="E11" s="5"/>
      <c r="F11" s="5"/>
      <c r="G11" s="5"/>
      <c r="H11" s="5"/>
      <c r="I11" s="11">
        <f t="shared" si="1"/>
        <v>0</v>
      </c>
      <c r="J11" s="12"/>
      <c r="K11" s="5">
        <f t="shared" ref="K11:K12" si="31">31*4</f>
        <v>124</v>
      </c>
      <c r="L11" s="5"/>
      <c r="M11" s="5"/>
      <c r="N11" s="5"/>
      <c r="O11" s="5"/>
      <c r="P11" s="5"/>
      <c r="Q11" s="5"/>
      <c r="R11" s="11">
        <f t="shared" si="3"/>
        <v>124</v>
      </c>
      <c r="S11" s="12">
        <f t="shared" ref="S11:S12" si="32">R11/31</f>
        <v>4</v>
      </c>
      <c r="T11" s="5">
        <f t="shared" ref="T11:T12" si="33">30*5</f>
        <v>150</v>
      </c>
      <c r="U11" s="5"/>
      <c r="V11" s="5"/>
      <c r="W11" s="5"/>
      <c r="X11" s="5"/>
      <c r="Y11" s="5"/>
      <c r="Z11" s="5"/>
      <c r="AA11" s="11">
        <f t="shared" si="5"/>
        <v>150</v>
      </c>
      <c r="AB11" s="12">
        <f t="shared" ref="AB11:AB12" si="34">AA11/30</f>
        <v>5</v>
      </c>
      <c r="AC11" s="5">
        <f t="shared" ref="AC11:AC16" si="35">31*8</f>
        <v>248</v>
      </c>
      <c r="AD11" s="5"/>
      <c r="AE11" s="5"/>
      <c r="AF11" s="5"/>
      <c r="AG11" s="5"/>
      <c r="AH11" s="5"/>
      <c r="AI11" s="5"/>
      <c r="AJ11" s="11">
        <f t="shared" si="7"/>
        <v>248</v>
      </c>
      <c r="AK11" s="12">
        <f t="shared" ref="AK11:AK15" si="36">AJ11/31</f>
        <v>8</v>
      </c>
      <c r="AL11" s="5">
        <f>31*5</f>
        <v>155</v>
      </c>
      <c r="AM11" s="5"/>
      <c r="AN11" s="5"/>
      <c r="AO11" s="5"/>
      <c r="AP11" s="5"/>
      <c r="AQ11" s="5"/>
      <c r="AR11" s="5"/>
      <c r="AS11" s="11">
        <f t="shared" si="9"/>
        <v>155</v>
      </c>
      <c r="AT11" s="12">
        <f t="shared" ref="AT11:AT16" si="37">AS11/31</f>
        <v>5</v>
      </c>
      <c r="AU11" s="5">
        <f>20</f>
        <v>20</v>
      </c>
      <c r="AV11" s="5"/>
      <c r="AW11" s="5"/>
      <c r="AX11" s="5"/>
      <c r="AY11" s="5"/>
      <c r="AZ11" s="5"/>
      <c r="BA11" s="5"/>
      <c r="BB11" s="11">
        <f t="shared" si="11"/>
        <v>20</v>
      </c>
      <c r="BD11" s="5">
        <f>25*1</f>
        <v>25</v>
      </c>
      <c r="BE11" s="5"/>
      <c r="BF11" s="5"/>
      <c r="BG11" s="5"/>
      <c r="BH11" s="5"/>
      <c r="BI11" s="5"/>
      <c r="BJ11" s="5"/>
      <c r="BK11" s="11">
        <f t="shared" si="13"/>
        <v>25</v>
      </c>
      <c r="BL11" s="12">
        <f t="shared" ref="BL11" si="38">BK11/25</f>
        <v>1</v>
      </c>
      <c r="BM11" s="5">
        <v>0</v>
      </c>
      <c r="BN11" s="5"/>
      <c r="BO11" s="5"/>
      <c r="BP11" s="5"/>
      <c r="BQ11" s="5"/>
      <c r="BR11" s="5"/>
      <c r="BS11" s="5"/>
      <c r="BT11" s="11">
        <f t="shared" si="15"/>
        <v>0</v>
      </c>
      <c r="BV11" s="5">
        <f t="shared" si="21"/>
        <v>722</v>
      </c>
      <c r="BW11" s="5">
        <f t="shared" si="18"/>
        <v>0</v>
      </c>
      <c r="BX11" s="5">
        <f t="shared" si="18"/>
        <v>0</v>
      </c>
      <c r="BY11" s="5">
        <f t="shared" si="18"/>
        <v>0</v>
      </c>
      <c r="BZ11" s="5">
        <f t="shared" si="18"/>
        <v>0</v>
      </c>
      <c r="CA11" s="5">
        <f t="shared" si="18"/>
        <v>0</v>
      </c>
      <c r="CB11" s="5"/>
      <c r="CC11" s="11">
        <f t="shared" si="17"/>
        <v>722</v>
      </c>
      <c r="CD11" s="12">
        <f t="shared" si="22"/>
        <v>23</v>
      </c>
    </row>
    <row r="12" spans="1:82">
      <c r="A12" s="13" t="s">
        <v>17</v>
      </c>
      <c r="B12" s="5">
        <v>0</v>
      </c>
      <c r="C12" s="5"/>
      <c r="D12" s="5"/>
      <c r="E12" s="5"/>
      <c r="F12" s="5"/>
      <c r="G12" s="5"/>
      <c r="H12" s="5"/>
      <c r="I12" s="11">
        <f t="shared" si="1"/>
        <v>0</v>
      </c>
      <c r="J12" s="12"/>
      <c r="K12" s="5">
        <f t="shared" si="31"/>
        <v>124</v>
      </c>
      <c r="L12" s="5"/>
      <c r="M12" s="5"/>
      <c r="N12" s="5"/>
      <c r="O12" s="5"/>
      <c r="P12" s="5"/>
      <c r="Q12" s="5"/>
      <c r="R12" s="11">
        <f t="shared" si="3"/>
        <v>124</v>
      </c>
      <c r="S12" s="12">
        <f t="shared" si="32"/>
        <v>4</v>
      </c>
      <c r="T12" s="5">
        <f t="shared" si="33"/>
        <v>150</v>
      </c>
      <c r="U12" s="5"/>
      <c r="V12" s="5"/>
      <c r="W12" s="5"/>
      <c r="X12" s="5"/>
      <c r="Y12" s="5"/>
      <c r="Z12" s="5"/>
      <c r="AA12" s="11">
        <f t="shared" si="5"/>
        <v>150</v>
      </c>
      <c r="AB12" s="12">
        <f t="shared" si="34"/>
        <v>5</v>
      </c>
      <c r="AC12" s="5">
        <f t="shared" si="35"/>
        <v>248</v>
      </c>
      <c r="AD12" s="5"/>
      <c r="AE12" s="5"/>
      <c r="AF12" s="5"/>
      <c r="AG12" s="5"/>
      <c r="AH12" s="5"/>
      <c r="AI12" s="5"/>
      <c r="AJ12" s="11">
        <f t="shared" si="7"/>
        <v>248</v>
      </c>
      <c r="AK12" s="12">
        <f t="shared" si="36"/>
        <v>8</v>
      </c>
      <c r="AL12" s="5">
        <f>31*6</f>
        <v>186</v>
      </c>
      <c r="AM12" s="5"/>
      <c r="AN12" s="5"/>
      <c r="AO12" s="5"/>
      <c r="AP12" s="5"/>
      <c r="AQ12" s="5"/>
      <c r="AR12" s="5"/>
      <c r="AS12" s="11">
        <f t="shared" si="9"/>
        <v>186</v>
      </c>
      <c r="AT12" s="12">
        <f t="shared" si="37"/>
        <v>6</v>
      </c>
      <c r="AU12" s="5">
        <f>20</f>
        <v>20</v>
      </c>
      <c r="AV12" s="5"/>
      <c r="AW12" s="5"/>
      <c r="AX12" s="5"/>
      <c r="AY12" s="5"/>
      <c r="AZ12" s="5"/>
      <c r="BA12" s="5"/>
      <c r="BB12" s="11">
        <f t="shared" si="11"/>
        <v>20</v>
      </c>
      <c r="BD12" s="5">
        <v>0</v>
      </c>
      <c r="BE12" s="5"/>
      <c r="BF12" s="5"/>
      <c r="BG12" s="5"/>
      <c r="BH12" s="5"/>
      <c r="BI12" s="5"/>
      <c r="BJ12" s="5"/>
      <c r="BK12" s="11">
        <f t="shared" si="13"/>
        <v>0</v>
      </c>
      <c r="BM12" s="5">
        <v>0</v>
      </c>
      <c r="BN12" s="5"/>
      <c r="BO12" s="5"/>
      <c r="BP12" s="5"/>
      <c r="BQ12" s="5"/>
      <c r="BR12" s="5"/>
      <c r="BS12" s="5"/>
      <c r="BT12" s="11">
        <f t="shared" si="15"/>
        <v>0</v>
      </c>
      <c r="BV12" s="5">
        <f t="shared" si="21"/>
        <v>728</v>
      </c>
      <c r="BW12" s="5">
        <f t="shared" si="18"/>
        <v>0</v>
      </c>
      <c r="BX12" s="5">
        <f t="shared" si="18"/>
        <v>0</v>
      </c>
      <c r="BY12" s="5">
        <f t="shared" si="18"/>
        <v>0</v>
      </c>
      <c r="BZ12" s="5">
        <f t="shared" si="18"/>
        <v>0</v>
      </c>
      <c r="CA12" s="5">
        <f t="shared" si="18"/>
        <v>0</v>
      </c>
      <c r="CB12" s="5"/>
      <c r="CC12" s="11">
        <f t="shared" si="17"/>
        <v>728</v>
      </c>
      <c r="CD12" s="12">
        <f t="shared" si="22"/>
        <v>23</v>
      </c>
    </row>
    <row r="13" spans="1:82">
      <c r="A13" s="13" t="s">
        <v>18</v>
      </c>
      <c r="B13" s="5">
        <v>0</v>
      </c>
      <c r="C13" s="5"/>
      <c r="D13" s="5"/>
      <c r="E13" s="5"/>
      <c r="F13" s="5"/>
      <c r="G13" s="5"/>
      <c r="H13" s="5"/>
      <c r="I13" s="11">
        <f t="shared" si="1"/>
        <v>0</v>
      </c>
      <c r="K13" s="5">
        <v>0</v>
      </c>
      <c r="L13" s="5"/>
      <c r="M13" s="5"/>
      <c r="N13" s="5"/>
      <c r="O13" s="5"/>
      <c r="P13" s="5"/>
      <c r="Q13" s="5"/>
      <c r="R13" s="11">
        <f t="shared" si="3"/>
        <v>0</v>
      </c>
      <c r="T13" s="5">
        <v>0</v>
      </c>
      <c r="U13" s="5"/>
      <c r="V13" s="5"/>
      <c r="W13" s="5"/>
      <c r="X13" s="5"/>
      <c r="Y13" s="5"/>
      <c r="Z13" s="5"/>
      <c r="AA13" s="11">
        <f t="shared" si="5"/>
        <v>0</v>
      </c>
      <c r="AC13" s="5">
        <f t="shared" si="35"/>
        <v>248</v>
      </c>
      <c r="AD13" s="5"/>
      <c r="AE13" s="5"/>
      <c r="AF13" s="5"/>
      <c r="AG13" s="5"/>
      <c r="AH13" s="5"/>
      <c r="AI13" s="5"/>
      <c r="AJ13" s="11">
        <f t="shared" si="7"/>
        <v>248</v>
      </c>
      <c r="AK13" s="12">
        <f t="shared" si="36"/>
        <v>8</v>
      </c>
      <c r="AL13" s="5">
        <f>31*9</f>
        <v>279</v>
      </c>
      <c r="AM13" s="5"/>
      <c r="AN13" s="5"/>
      <c r="AO13" s="5"/>
      <c r="AP13" s="5"/>
      <c r="AQ13" s="5"/>
      <c r="AR13" s="5"/>
      <c r="AS13" s="11">
        <f t="shared" si="9"/>
        <v>279</v>
      </c>
      <c r="AT13" s="12">
        <f t="shared" si="37"/>
        <v>9</v>
      </c>
      <c r="AU13" s="5">
        <f>20</f>
        <v>20</v>
      </c>
      <c r="AV13" s="5"/>
      <c r="AW13" s="5"/>
      <c r="AX13" s="5"/>
      <c r="AY13" s="5"/>
      <c r="AZ13" s="5"/>
      <c r="BA13" s="5"/>
      <c r="BB13" s="11">
        <f t="shared" si="11"/>
        <v>20</v>
      </c>
      <c r="BD13" s="5">
        <v>0</v>
      </c>
      <c r="BE13" s="5"/>
      <c r="BF13" s="5"/>
      <c r="BG13" s="5"/>
      <c r="BH13" s="5"/>
      <c r="BI13" s="5"/>
      <c r="BJ13" s="5"/>
      <c r="BK13" s="11">
        <f t="shared" si="13"/>
        <v>0</v>
      </c>
      <c r="BM13" s="5">
        <v>0</v>
      </c>
      <c r="BN13" s="5"/>
      <c r="BO13" s="5"/>
      <c r="BP13" s="5"/>
      <c r="BQ13" s="5"/>
      <c r="BR13" s="5"/>
      <c r="BS13" s="5"/>
      <c r="BT13" s="11">
        <f t="shared" si="15"/>
        <v>0</v>
      </c>
      <c r="BV13" s="5">
        <f t="shared" si="21"/>
        <v>547</v>
      </c>
      <c r="BW13" s="5">
        <f t="shared" si="18"/>
        <v>0</v>
      </c>
      <c r="BX13" s="5">
        <f t="shared" si="18"/>
        <v>0</v>
      </c>
      <c r="BY13" s="5">
        <f t="shared" si="18"/>
        <v>0</v>
      </c>
      <c r="BZ13" s="5">
        <f t="shared" si="18"/>
        <v>0</v>
      </c>
      <c r="CA13" s="5">
        <f t="shared" si="18"/>
        <v>0</v>
      </c>
      <c r="CB13" s="5"/>
      <c r="CC13" s="11">
        <f t="shared" si="17"/>
        <v>547</v>
      </c>
      <c r="CD13" s="12">
        <f t="shared" si="22"/>
        <v>17</v>
      </c>
    </row>
    <row r="14" spans="1:82">
      <c r="A14" s="13" t="s">
        <v>19</v>
      </c>
      <c r="B14" s="5">
        <v>0</v>
      </c>
      <c r="C14" s="5"/>
      <c r="D14" s="5"/>
      <c r="E14" s="5"/>
      <c r="F14" s="5"/>
      <c r="G14" s="5"/>
      <c r="H14" s="5"/>
      <c r="I14" s="11">
        <f t="shared" si="1"/>
        <v>0</v>
      </c>
      <c r="K14" s="5">
        <v>0</v>
      </c>
      <c r="L14" s="5"/>
      <c r="M14" s="5"/>
      <c r="N14" s="5"/>
      <c r="O14" s="5"/>
      <c r="P14" s="5"/>
      <c r="Q14" s="5"/>
      <c r="R14" s="11">
        <f t="shared" si="3"/>
        <v>0</v>
      </c>
      <c r="T14" s="5">
        <v>0</v>
      </c>
      <c r="U14" s="5"/>
      <c r="V14" s="5"/>
      <c r="W14" s="5"/>
      <c r="X14" s="5"/>
      <c r="Y14" s="5"/>
      <c r="Z14" s="5"/>
      <c r="AA14" s="11">
        <f t="shared" si="5"/>
        <v>0</v>
      </c>
      <c r="AC14" s="5">
        <f t="shared" si="35"/>
        <v>248</v>
      </c>
      <c r="AD14" s="5"/>
      <c r="AE14" s="5"/>
      <c r="AF14" s="5"/>
      <c r="AG14" s="5"/>
      <c r="AH14" s="5"/>
      <c r="AI14" s="5"/>
      <c r="AJ14" s="11">
        <f t="shared" si="7"/>
        <v>248</v>
      </c>
      <c r="AK14" s="12">
        <f t="shared" si="36"/>
        <v>8</v>
      </c>
      <c r="AL14" s="5">
        <f>31*9</f>
        <v>279</v>
      </c>
      <c r="AM14" s="5"/>
      <c r="AN14" s="5"/>
      <c r="AO14" s="5"/>
      <c r="AP14" s="5"/>
      <c r="AQ14" s="5"/>
      <c r="AR14" s="5"/>
      <c r="AS14" s="11">
        <f t="shared" si="9"/>
        <v>279</v>
      </c>
      <c r="AT14" s="12">
        <f t="shared" si="37"/>
        <v>9</v>
      </c>
      <c r="AU14" s="5">
        <f>20</f>
        <v>20</v>
      </c>
      <c r="AV14" s="5"/>
      <c r="AW14" s="5"/>
      <c r="AX14" s="5"/>
      <c r="AY14" s="5"/>
      <c r="AZ14" s="5"/>
      <c r="BA14" s="5"/>
      <c r="BB14" s="11">
        <f t="shared" si="11"/>
        <v>20</v>
      </c>
      <c r="BD14" s="5">
        <v>0</v>
      </c>
      <c r="BE14" s="5"/>
      <c r="BF14" s="5"/>
      <c r="BG14" s="5"/>
      <c r="BH14" s="5"/>
      <c r="BI14" s="5"/>
      <c r="BJ14" s="5"/>
      <c r="BK14" s="11">
        <f t="shared" si="13"/>
        <v>0</v>
      </c>
      <c r="BM14" s="5">
        <v>0</v>
      </c>
      <c r="BN14" s="5"/>
      <c r="BO14" s="5"/>
      <c r="BP14" s="5"/>
      <c r="BQ14" s="5"/>
      <c r="BR14" s="5"/>
      <c r="BS14" s="5"/>
      <c r="BT14" s="11">
        <f t="shared" si="15"/>
        <v>0</v>
      </c>
      <c r="BV14" s="5">
        <f t="shared" si="21"/>
        <v>547</v>
      </c>
      <c r="BW14" s="5">
        <f t="shared" si="18"/>
        <v>0</v>
      </c>
      <c r="BX14" s="5">
        <f t="shared" si="18"/>
        <v>0</v>
      </c>
      <c r="BY14" s="5">
        <f t="shared" si="18"/>
        <v>0</v>
      </c>
      <c r="BZ14" s="5">
        <f t="shared" si="18"/>
        <v>0</v>
      </c>
      <c r="CA14" s="5">
        <f t="shared" si="18"/>
        <v>0</v>
      </c>
      <c r="CB14" s="5"/>
      <c r="CC14" s="11">
        <f t="shared" si="17"/>
        <v>547</v>
      </c>
      <c r="CD14" s="12">
        <f t="shared" si="22"/>
        <v>17</v>
      </c>
    </row>
    <row r="15" spans="1:82">
      <c r="A15" s="13" t="s">
        <v>20</v>
      </c>
      <c r="B15" s="5">
        <v>0</v>
      </c>
      <c r="C15" s="5"/>
      <c r="D15" s="5"/>
      <c r="E15" s="5"/>
      <c r="F15" s="5"/>
      <c r="G15" s="5"/>
      <c r="H15" s="5"/>
      <c r="I15" s="11">
        <f t="shared" si="1"/>
        <v>0</v>
      </c>
      <c r="K15" s="5">
        <v>0</v>
      </c>
      <c r="L15" s="5"/>
      <c r="M15" s="5"/>
      <c r="N15" s="5"/>
      <c r="O15" s="5"/>
      <c r="P15" s="5"/>
      <c r="Q15" s="5"/>
      <c r="R15" s="11">
        <f t="shared" si="3"/>
        <v>0</v>
      </c>
      <c r="T15" s="5">
        <v>0</v>
      </c>
      <c r="U15" s="5"/>
      <c r="V15" s="5"/>
      <c r="W15" s="5"/>
      <c r="X15" s="5"/>
      <c r="Y15" s="5"/>
      <c r="Z15" s="5"/>
      <c r="AA15" s="11">
        <f t="shared" si="5"/>
        <v>0</v>
      </c>
      <c r="AC15" s="5">
        <f t="shared" si="35"/>
        <v>248</v>
      </c>
      <c r="AD15" s="5"/>
      <c r="AE15" s="5"/>
      <c r="AF15" s="5"/>
      <c r="AG15" s="5"/>
      <c r="AH15" s="5"/>
      <c r="AI15" s="5"/>
      <c r="AJ15" s="11">
        <f t="shared" si="7"/>
        <v>248</v>
      </c>
      <c r="AK15" s="12">
        <f t="shared" si="36"/>
        <v>8</v>
      </c>
      <c r="AL15" s="5">
        <f>31*9</f>
        <v>279</v>
      </c>
      <c r="AM15" s="5"/>
      <c r="AN15" s="5"/>
      <c r="AO15" s="5"/>
      <c r="AP15" s="5"/>
      <c r="AQ15" s="5"/>
      <c r="AR15" s="5"/>
      <c r="AS15" s="11">
        <f t="shared" si="9"/>
        <v>279</v>
      </c>
      <c r="AT15" s="12">
        <f t="shared" si="37"/>
        <v>9</v>
      </c>
      <c r="AU15" s="5">
        <f>20</f>
        <v>20</v>
      </c>
      <c r="AV15" s="5"/>
      <c r="AW15" s="5"/>
      <c r="AX15" s="5"/>
      <c r="AY15" s="5"/>
      <c r="AZ15" s="5"/>
      <c r="BA15" s="5"/>
      <c r="BB15" s="11">
        <f t="shared" si="11"/>
        <v>20</v>
      </c>
      <c r="BD15" s="5">
        <v>0</v>
      </c>
      <c r="BE15" s="5"/>
      <c r="BF15" s="5"/>
      <c r="BG15" s="5"/>
      <c r="BH15" s="5"/>
      <c r="BI15" s="5"/>
      <c r="BJ15" s="5"/>
      <c r="BK15" s="11">
        <f t="shared" si="13"/>
        <v>0</v>
      </c>
      <c r="BM15" s="5">
        <v>0</v>
      </c>
      <c r="BN15" s="5"/>
      <c r="BO15" s="5"/>
      <c r="BP15" s="5"/>
      <c r="BQ15" s="5"/>
      <c r="BR15" s="5"/>
      <c r="BS15" s="5"/>
      <c r="BT15" s="11">
        <f t="shared" si="15"/>
        <v>0</v>
      </c>
      <c r="BV15" s="5">
        <f t="shared" si="21"/>
        <v>547</v>
      </c>
      <c r="BW15" s="5">
        <f t="shared" si="18"/>
        <v>0</v>
      </c>
      <c r="BX15" s="5">
        <f t="shared" si="18"/>
        <v>0</v>
      </c>
      <c r="BY15" s="5">
        <f t="shared" si="18"/>
        <v>0</v>
      </c>
      <c r="BZ15" s="5">
        <f t="shared" si="18"/>
        <v>0</v>
      </c>
      <c r="CA15" s="5">
        <f t="shared" si="18"/>
        <v>0</v>
      </c>
      <c r="CB15" s="5"/>
      <c r="CC15" s="11">
        <f t="shared" si="17"/>
        <v>547</v>
      </c>
      <c r="CD15" s="12">
        <f t="shared" si="22"/>
        <v>17</v>
      </c>
    </row>
    <row r="16" spans="1:82">
      <c r="A16" s="13" t="s">
        <v>21</v>
      </c>
      <c r="B16" s="5">
        <v>0</v>
      </c>
      <c r="C16" s="5"/>
      <c r="D16" s="5"/>
      <c r="E16" s="5"/>
      <c r="F16" s="5"/>
      <c r="G16" s="5"/>
      <c r="H16" s="5"/>
      <c r="I16" s="11">
        <f t="shared" si="1"/>
        <v>0</v>
      </c>
      <c r="K16" s="5">
        <v>0</v>
      </c>
      <c r="L16" s="5"/>
      <c r="M16" s="5"/>
      <c r="N16" s="5"/>
      <c r="O16" s="5"/>
      <c r="P16" s="5"/>
      <c r="Q16" s="5"/>
      <c r="R16" s="11">
        <f t="shared" si="3"/>
        <v>0</v>
      </c>
      <c r="T16" s="5">
        <v>0</v>
      </c>
      <c r="U16" s="5"/>
      <c r="V16" s="5"/>
      <c r="W16" s="5"/>
      <c r="X16" s="5"/>
      <c r="Y16" s="5"/>
      <c r="Z16" s="5"/>
      <c r="AA16" s="11">
        <f t="shared" si="5"/>
        <v>0</v>
      </c>
      <c r="AC16" s="5">
        <f t="shared" si="35"/>
        <v>248</v>
      </c>
      <c r="AD16" s="5"/>
      <c r="AE16" s="5"/>
      <c r="AF16" s="5"/>
      <c r="AG16" s="5"/>
      <c r="AH16" s="5"/>
      <c r="AI16" s="5"/>
      <c r="AJ16" s="11">
        <f t="shared" si="7"/>
        <v>248</v>
      </c>
      <c r="AK16" s="12">
        <f>AJ16/31</f>
        <v>8</v>
      </c>
      <c r="AL16" s="5">
        <f>31*9</f>
        <v>279</v>
      </c>
      <c r="AM16" s="5"/>
      <c r="AN16" s="5"/>
      <c r="AO16" s="5"/>
      <c r="AP16" s="5"/>
      <c r="AQ16" s="5"/>
      <c r="AR16" s="5"/>
      <c r="AS16" s="11">
        <f t="shared" si="9"/>
        <v>279</v>
      </c>
      <c r="AT16" s="12">
        <f t="shared" si="37"/>
        <v>9</v>
      </c>
      <c r="AU16" s="5">
        <f>20</f>
        <v>20</v>
      </c>
      <c r="AV16" s="5"/>
      <c r="AW16" s="5"/>
      <c r="AX16" s="5"/>
      <c r="AY16" s="5"/>
      <c r="AZ16" s="5"/>
      <c r="BA16" s="5"/>
      <c r="BB16" s="11">
        <f t="shared" si="11"/>
        <v>20</v>
      </c>
      <c r="BD16" s="5">
        <v>0</v>
      </c>
      <c r="BE16" s="5"/>
      <c r="BF16" s="5"/>
      <c r="BG16" s="5"/>
      <c r="BH16" s="5"/>
      <c r="BI16" s="5"/>
      <c r="BJ16" s="5"/>
      <c r="BK16" s="11">
        <f t="shared" si="13"/>
        <v>0</v>
      </c>
      <c r="BM16" s="5">
        <v>0</v>
      </c>
      <c r="BN16" s="5"/>
      <c r="BO16" s="5"/>
      <c r="BP16" s="5"/>
      <c r="BQ16" s="5"/>
      <c r="BR16" s="5"/>
      <c r="BS16" s="5"/>
      <c r="BT16" s="11">
        <f t="shared" si="15"/>
        <v>0</v>
      </c>
      <c r="BV16" s="5">
        <f t="shared" si="21"/>
        <v>547</v>
      </c>
      <c r="BW16" s="5">
        <f t="shared" si="18"/>
        <v>0</v>
      </c>
      <c r="BX16" s="5">
        <f t="shared" si="18"/>
        <v>0</v>
      </c>
      <c r="BY16" s="5">
        <f t="shared" si="18"/>
        <v>0</v>
      </c>
      <c r="BZ16" s="5">
        <f t="shared" si="18"/>
        <v>0</v>
      </c>
      <c r="CA16" s="5">
        <f t="shared" si="18"/>
        <v>0</v>
      </c>
      <c r="CB16" s="5"/>
      <c r="CC16" s="11">
        <f t="shared" si="17"/>
        <v>547</v>
      </c>
      <c r="CD16" s="12">
        <f t="shared" si="22"/>
        <v>17</v>
      </c>
    </row>
    <row r="17" spans="1:82" ht="15">
      <c r="A17" s="15" t="s">
        <v>8</v>
      </c>
      <c r="B17" s="9">
        <f t="shared" ref="B17:H17" si="39">SUM(B4:B16)</f>
        <v>930</v>
      </c>
      <c r="C17" s="9">
        <f t="shared" si="39"/>
        <v>0</v>
      </c>
      <c r="D17" s="9">
        <f t="shared" si="39"/>
        <v>0</v>
      </c>
      <c r="E17" s="9"/>
      <c r="F17" s="9">
        <f t="shared" si="39"/>
        <v>0</v>
      </c>
      <c r="G17" s="9">
        <f t="shared" si="39"/>
        <v>0</v>
      </c>
      <c r="H17" s="9">
        <f t="shared" si="39"/>
        <v>0</v>
      </c>
      <c r="I17" s="9">
        <f>SUM(I4:I16)</f>
        <v>930</v>
      </c>
      <c r="J17" s="106" t="b">
        <f>SUM(J4:J12)=I27</f>
        <v>1</v>
      </c>
      <c r="K17" s="9">
        <f t="shared" ref="K17:Q17" si="40">SUM(K4:K16)</f>
        <v>1032</v>
      </c>
      <c r="L17" s="9">
        <f t="shared" si="40"/>
        <v>0</v>
      </c>
      <c r="M17" s="9">
        <f t="shared" si="40"/>
        <v>0</v>
      </c>
      <c r="N17" s="9"/>
      <c r="O17" s="9">
        <f t="shared" si="40"/>
        <v>0</v>
      </c>
      <c r="P17" s="9">
        <f t="shared" si="40"/>
        <v>0</v>
      </c>
      <c r="Q17" s="9">
        <f t="shared" si="40"/>
        <v>0</v>
      </c>
      <c r="R17" s="9">
        <f>SUM(R4:R16)</f>
        <v>1032</v>
      </c>
      <c r="S17" s="106" t="b">
        <f>SUM(S4:S12)=R27</f>
        <v>1</v>
      </c>
      <c r="T17" s="9">
        <f t="shared" ref="T17:Z17" si="41">SUM(T4:T16)</f>
        <v>1245</v>
      </c>
      <c r="U17" s="9">
        <f t="shared" si="41"/>
        <v>0</v>
      </c>
      <c r="V17" s="9">
        <f t="shared" si="41"/>
        <v>0</v>
      </c>
      <c r="W17" s="9"/>
      <c r="X17" s="9">
        <f t="shared" si="41"/>
        <v>0</v>
      </c>
      <c r="Y17" s="9">
        <f t="shared" si="41"/>
        <v>0</v>
      </c>
      <c r="Z17" s="9">
        <f t="shared" si="41"/>
        <v>0</v>
      </c>
      <c r="AA17" s="9">
        <f>SUM(AA4:AA16)</f>
        <v>1245</v>
      </c>
      <c r="AB17" s="106" t="b">
        <f>SUM(AB4:AB12)=AA27</f>
        <v>1</v>
      </c>
      <c r="AC17" s="9">
        <f t="shared" ref="AC17:AI17" si="42">SUM(AC4:AC16)</f>
        <v>2546</v>
      </c>
      <c r="AD17" s="9">
        <f t="shared" si="42"/>
        <v>0</v>
      </c>
      <c r="AE17" s="9">
        <f t="shared" si="42"/>
        <v>0</v>
      </c>
      <c r="AF17" s="9"/>
      <c r="AG17" s="9">
        <f t="shared" si="42"/>
        <v>0</v>
      </c>
      <c r="AH17" s="9">
        <f t="shared" si="42"/>
        <v>0</v>
      </c>
      <c r="AI17" s="9">
        <f t="shared" si="42"/>
        <v>0</v>
      </c>
      <c r="AJ17" s="9">
        <f>SUM(AJ4:AJ16)</f>
        <v>2546</v>
      </c>
      <c r="AK17" s="106" t="b">
        <f>SUM(AK4:AK16)=AJ27</f>
        <v>1</v>
      </c>
      <c r="AL17" s="9">
        <f t="shared" ref="AL17:AR17" si="43">SUM(AL4:AL16)</f>
        <v>2402</v>
      </c>
      <c r="AM17" s="9">
        <f t="shared" si="43"/>
        <v>0</v>
      </c>
      <c r="AN17" s="9">
        <f t="shared" si="43"/>
        <v>0</v>
      </c>
      <c r="AO17" s="9"/>
      <c r="AP17" s="9">
        <f t="shared" si="43"/>
        <v>0</v>
      </c>
      <c r="AQ17" s="9">
        <f t="shared" si="43"/>
        <v>0</v>
      </c>
      <c r="AR17" s="9">
        <f t="shared" si="43"/>
        <v>0</v>
      </c>
      <c r="AS17" s="9">
        <f>SUM(AS4:AS16)</f>
        <v>2402</v>
      </c>
      <c r="AT17" s="106" t="b">
        <f>SUM(AT4:AT16)=AS27</f>
        <v>1</v>
      </c>
      <c r="AU17" s="9">
        <f t="shared" ref="AU17:BA17" si="44">SUM(AU4:AU16)</f>
        <v>140</v>
      </c>
      <c r="AV17" s="9">
        <f t="shared" si="44"/>
        <v>0</v>
      </c>
      <c r="AW17" s="9">
        <f t="shared" si="44"/>
        <v>0</v>
      </c>
      <c r="AX17" s="9"/>
      <c r="AY17" s="9">
        <f t="shared" si="44"/>
        <v>0</v>
      </c>
      <c r="AZ17" s="9">
        <f t="shared" si="44"/>
        <v>0</v>
      </c>
      <c r="BA17" s="9">
        <f t="shared" si="44"/>
        <v>0</v>
      </c>
      <c r="BB17" s="9">
        <f>SUM(BB4:BB16)</f>
        <v>140</v>
      </c>
      <c r="BC17" s="106" t="b">
        <f>SUM(BC4:BC16)=BB27</f>
        <v>1</v>
      </c>
      <c r="BD17" s="9">
        <f t="shared" ref="BD17:BJ17" si="45">SUM(BD4:BD16)</f>
        <v>496</v>
      </c>
      <c r="BE17" s="9">
        <f t="shared" si="45"/>
        <v>0</v>
      </c>
      <c r="BF17" s="9">
        <f t="shared" si="45"/>
        <v>0</v>
      </c>
      <c r="BG17" s="9"/>
      <c r="BH17" s="9">
        <f t="shared" si="45"/>
        <v>0</v>
      </c>
      <c r="BI17" s="9">
        <f t="shared" si="45"/>
        <v>0</v>
      </c>
      <c r="BJ17" s="9">
        <f t="shared" si="45"/>
        <v>0</v>
      </c>
      <c r="BK17" s="9">
        <f>SUM(BK4:BK16)</f>
        <v>496</v>
      </c>
      <c r="BL17" s="106" t="b">
        <f>SUM(BL4:BL16)=BK27</f>
        <v>1</v>
      </c>
      <c r="BM17" s="9">
        <f t="shared" ref="BM17:BS17" si="46">SUM(BM4:BM16)</f>
        <v>0</v>
      </c>
      <c r="BN17" s="9">
        <f t="shared" si="46"/>
        <v>0</v>
      </c>
      <c r="BO17" s="9">
        <f t="shared" si="46"/>
        <v>0</v>
      </c>
      <c r="BP17" s="9"/>
      <c r="BQ17" s="9">
        <f t="shared" si="46"/>
        <v>0</v>
      </c>
      <c r="BR17" s="9">
        <f t="shared" si="46"/>
        <v>0</v>
      </c>
      <c r="BS17" s="9">
        <f t="shared" si="46"/>
        <v>0</v>
      </c>
      <c r="BT17" s="9">
        <f>SUM(BT4:BT16)</f>
        <v>0</v>
      </c>
      <c r="BV17" s="9">
        <f t="shared" ref="BV17:BX17" si="47">SUM(BV4:BV16)</f>
        <v>8791</v>
      </c>
      <c r="BW17" s="9">
        <f t="shared" si="47"/>
        <v>0</v>
      </c>
      <c r="BX17" s="9">
        <f t="shared" si="47"/>
        <v>0</v>
      </c>
      <c r="BY17" s="9"/>
      <c r="BZ17" s="9">
        <f t="shared" ref="BZ17:CB17" si="48">SUM(BZ4:BZ16)</f>
        <v>0</v>
      </c>
      <c r="CA17" s="9">
        <f t="shared" si="48"/>
        <v>0</v>
      </c>
      <c r="CB17" s="9">
        <f t="shared" si="48"/>
        <v>0</v>
      </c>
      <c r="CC17" s="9">
        <f>SUM(CC4:CC16)</f>
        <v>8791</v>
      </c>
      <c r="CD17" s="106" t="b">
        <f>SUM(CD4:CD16)=CC27</f>
        <v>1</v>
      </c>
    </row>
    <row r="18" spans="1:82">
      <c r="A18" s="13"/>
      <c r="B18" s="5"/>
      <c r="C18" s="16"/>
      <c r="D18" s="16"/>
      <c r="E18" s="16"/>
      <c r="F18" s="16"/>
      <c r="G18" s="16"/>
      <c r="H18" s="16"/>
      <c r="I18" s="16"/>
      <c r="J18" s="7"/>
      <c r="K18" s="5"/>
      <c r="L18" s="16"/>
      <c r="M18" s="16"/>
      <c r="N18" s="16"/>
      <c r="O18" s="16"/>
      <c r="P18" s="16"/>
      <c r="Q18" s="16"/>
      <c r="R18" s="16"/>
      <c r="T18" s="5"/>
      <c r="U18" s="16"/>
      <c r="V18" s="16"/>
      <c r="W18" s="16"/>
      <c r="X18" s="16"/>
      <c r="Y18" s="16"/>
      <c r="Z18" s="16"/>
      <c r="AA18" s="16"/>
      <c r="AC18" s="5"/>
      <c r="AD18" s="16"/>
      <c r="AE18" s="16"/>
      <c r="AF18" s="16"/>
      <c r="AG18" s="16"/>
      <c r="AH18" s="16"/>
      <c r="AI18" s="16"/>
      <c r="AJ18" s="16"/>
      <c r="AL18" s="5"/>
      <c r="AM18" s="16"/>
      <c r="AN18" s="16"/>
      <c r="AO18" s="16"/>
      <c r="AP18" s="16"/>
      <c r="AQ18" s="16"/>
      <c r="AR18" s="16"/>
      <c r="AS18" s="16"/>
      <c r="AU18" s="5"/>
      <c r="AV18" s="16"/>
      <c r="AW18" s="16"/>
      <c r="AX18" s="16"/>
      <c r="AY18" s="16"/>
      <c r="AZ18" s="16"/>
      <c r="BA18" s="16"/>
      <c r="BB18" s="16"/>
      <c r="BD18" s="5"/>
      <c r="BE18" s="16"/>
      <c r="BF18" s="16"/>
      <c r="BG18" s="16"/>
      <c r="BH18" s="16"/>
      <c r="BI18" s="16"/>
      <c r="BJ18" s="16"/>
      <c r="BK18" s="16"/>
      <c r="BM18" s="5"/>
      <c r="BN18" s="16"/>
      <c r="BO18" s="16"/>
      <c r="BP18" s="16"/>
      <c r="BQ18" s="16"/>
      <c r="BR18" s="16"/>
      <c r="BS18" s="16"/>
      <c r="BT18" s="16"/>
      <c r="BV18" s="5"/>
      <c r="BW18" s="16"/>
      <c r="BX18" s="16"/>
      <c r="BY18" s="16"/>
      <c r="BZ18" s="16"/>
      <c r="CA18" s="16"/>
      <c r="CB18" s="16"/>
      <c r="CC18" s="16"/>
    </row>
    <row r="19" spans="1:82" ht="15">
      <c r="A19" s="17" t="s">
        <v>22</v>
      </c>
      <c r="B19" s="18" t="str">
        <f t="shared" ref="B19:I19" si="49">B1</f>
        <v>Operating</v>
      </c>
      <c r="C19" s="18" t="str">
        <f t="shared" si="49"/>
        <v>SPED</v>
      </c>
      <c r="D19" s="18" t="str">
        <f t="shared" si="49"/>
        <v>NSLP</v>
      </c>
      <c r="E19" s="18" t="str">
        <f t="shared" si="49"/>
        <v>Other</v>
      </c>
      <c r="F19" s="18" t="str">
        <f t="shared" si="49"/>
        <v>Title I</v>
      </c>
      <c r="G19" s="18" t="str">
        <f t="shared" si="49"/>
        <v>SGF</v>
      </c>
      <c r="H19" s="18" t="str">
        <f t="shared" si="49"/>
        <v>Title III</v>
      </c>
      <c r="I19" s="18" t="str">
        <f t="shared" si="49"/>
        <v>Horizon</v>
      </c>
      <c r="J19" s="19"/>
      <c r="K19" s="18" t="str">
        <f t="shared" ref="K19:R19" si="50">K1</f>
        <v>Operating</v>
      </c>
      <c r="L19" s="18" t="str">
        <f t="shared" si="50"/>
        <v>SPED</v>
      </c>
      <c r="M19" s="18" t="str">
        <f t="shared" si="50"/>
        <v>NSLP</v>
      </c>
      <c r="N19" s="18" t="str">
        <f t="shared" si="50"/>
        <v>Other</v>
      </c>
      <c r="O19" s="18" t="str">
        <f t="shared" si="50"/>
        <v>Title I</v>
      </c>
      <c r="P19" s="18" t="str">
        <f t="shared" si="50"/>
        <v>SGF</v>
      </c>
      <c r="Q19" s="18" t="str">
        <f t="shared" si="50"/>
        <v>Title III</v>
      </c>
      <c r="R19" s="18" t="str">
        <f t="shared" si="50"/>
        <v>St. Rose</v>
      </c>
      <c r="T19" s="18" t="str">
        <f t="shared" ref="T19:AA19" si="51">T1</f>
        <v>Operating</v>
      </c>
      <c r="U19" s="18" t="str">
        <f t="shared" si="51"/>
        <v>SPED</v>
      </c>
      <c r="V19" s="18" t="str">
        <f t="shared" si="51"/>
        <v>NSLP</v>
      </c>
      <c r="W19" s="18" t="str">
        <f t="shared" si="51"/>
        <v>Other</v>
      </c>
      <c r="X19" s="18" t="str">
        <f t="shared" si="51"/>
        <v>Title I</v>
      </c>
      <c r="Y19" s="18" t="str">
        <f t="shared" si="51"/>
        <v>SGF</v>
      </c>
      <c r="Z19" s="18" t="str">
        <f t="shared" si="51"/>
        <v>Title III</v>
      </c>
      <c r="AA19" s="18" t="str">
        <f t="shared" si="51"/>
        <v>Inspirada</v>
      </c>
      <c r="AC19" s="18" t="str">
        <f t="shared" ref="AC19:AJ19" si="52">AC1</f>
        <v>Operating</v>
      </c>
      <c r="AD19" s="18" t="str">
        <f t="shared" si="52"/>
        <v>SPED</v>
      </c>
      <c r="AE19" s="18" t="str">
        <f t="shared" si="52"/>
        <v>NSLP</v>
      </c>
      <c r="AF19" s="18" t="str">
        <f t="shared" si="52"/>
        <v>Other</v>
      </c>
      <c r="AG19" s="18" t="str">
        <f t="shared" si="52"/>
        <v>Title I</v>
      </c>
      <c r="AH19" s="18" t="str">
        <f t="shared" si="52"/>
        <v>SGF</v>
      </c>
      <c r="AI19" s="18" t="str">
        <f t="shared" si="52"/>
        <v>Title III</v>
      </c>
      <c r="AJ19" s="18" t="str">
        <f t="shared" si="52"/>
        <v>Cadence</v>
      </c>
      <c r="AL19" s="18" t="str">
        <f t="shared" ref="AL19:AS19" si="53">AL1</f>
        <v>Operating</v>
      </c>
      <c r="AM19" s="18" t="str">
        <f t="shared" si="53"/>
        <v>SPED</v>
      </c>
      <c r="AN19" s="18" t="str">
        <f t="shared" si="53"/>
        <v>NSLP</v>
      </c>
      <c r="AO19" s="18" t="str">
        <f t="shared" si="53"/>
        <v>Other</v>
      </c>
      <c r="AP19" s="18" t="str">
        <f t="shared" si="53"/>
        <v>Title I</v>
      </c>
      <c r="AQ19" s="18" t="str">
        <f t="shared" si="53"/>
        <v>SGF</v>
      </c>
      <c r="AR19" s="18" t="str">
        <f t="shared" si="53"/>
        <v>Title III</v>
      </c>
      <c r="AS19" s="18" t="str">
        <f t="shared" si="53"/>
        <v>Sloan</v>
      </c>
      <c r="AU19" s="18" t="str">
        <f t="shared" ref="AU19:BB19" si="54">AU1</f>
        <v>Operating</v>
      </c>
      <c r="AV19" s="18" t="str">
        <f t="shared" si="54"/>
        <v>SPED</v>
      </c>
      <c r="AW19" s="18" t="str">
        <f t="shared" si="54"/>
        <v>NSLP</v>
      </c>
      <c r="AX19" s="18" t="str">
        <f t="shared" si="54"/>
        <v>Other</v>
      </c>
      <c r="AY19" s="18" t="str">
        <f t="shared" si="54"/>
        <v>Title I</v>
      </c>
      <c r="AZ19" s="18" t="str">
        <f t="shared" si="54"/>
        <v>SGF</v>
      </c>
      <c r="BA19" s="18" t="str">
        <f t="shared" si="54"/>
        <v>Title III</v>
      </c>
      <c r="BB19" s="18" t="str">
        <f t="shared" si="54"/>
        <v>Virtual</v>
      </c>
      <c r="BD19" s="18" t="str">
        <f t="shared" ref="BD19:BK19" si="55">BD1</f>
        <v>Operating</v>
      </c>
      <c r="BE19" s="18" t="str">
        <f t="shared" si="55"/>
        <v>SPED</v>
      </c>
      <c r="BF19" s="18" t="str">
        <f t="shared" si="55"/>
        <v>NSLP</v>
      </c>
      <c r="BG19" s="18" t="str">
        <f t="shared" si="55"/>
        <v>Other</v>
      </c>
      <c r="BH19" s="18" t="str">
        <f t="shared" si="55"/>
        <v>Title I</v>
      </c>
      <c r="BI19" s="18" t="str">
        <f t="shared" si="55"/>
        <v>SGF</v>
      </c>
      <c r="BJ19" s="18" t="str">
        <f t="shared" si="55"/>
        <v>Title III</v>
      </c>
      <c r="BK19" s="18" t="str">
        <f t="shared" si="55"/>
        <v>Springs</v>
      </c>
      <c r="BM19" s="18" t="str">
        <f t="shared" ref="BM19:BT19" si="56">BM1</f>
        <v>Operating</v>
      </c>
      <c r="BN19" s="18" t="str">
        <f t="shared" si="56"/>
        <v>SPED</v>
      </c>
      <c r="BO19" s="18" t="str">
        <f t="shared" si="56"/>
        <v>NSLP</v>
      </c>
      <c r="BP19" s="18" t="str">
        <f t="shared" si="56"/>
        <v>Other</v>
      </c>
      <c r="BQ19" s="18" t="str">
        <f t="shared" si="56"/>
        <v>Title I</v>
      </c>
      <c r="BR19" s="18" t="str">
        <f t="shared" si="56"/>
        <v>SGF</v>
      </c>
      <c r="BS19" s="18" t="str">
        <f t="shared" si="56"/>
        <v>Title III</v>
      </c>
      <c r="BT19" s="18" t="str">
        <f t="shared" si="56"/>
        <v>Exec. Office</v>
      </c>
      <c r="BV19" s="18" t="str">
        <f t="shared" ref="BV19:CC19" si="57">BV1</f>
        <v>Operating</v>
      </c>
      <c r="BW19" s="18" t="str">
        <f t="shared" si="57"/>
        <v>SPED</v>
      </c>
      <c r="BX19" s="18" t="str">
        <f t="shared" si="57"/>
        <v>NSLP</v>
      </c>
      <c r="BY19" s="18" t="str">
        <f t="shared" si="57"/>
        <v>Other</v>
      </c>
      <c r="BZ19" s="18" t="str">
        <f t="shared" si="57"/>
        <v>Title I</v>
      </c>
      <c r="CA19" s="18" t="str">
        <f t="shared" si="57"/>
        <v>SGF</v>
      </c>
      <c r="CB19" s="18" t="str">
        <f t="shared" si="57"/>
        <v>Title III</v>
      </c>
      <c r="CC19" s="18" t="str">
        <f t="shared" si="57"/>
        <v>Systemwide</v>
      </c>
    </row>
    <row r="20" spans="1:82">
      <c r="A20" s="13" t="s">
        <v>23</v>
      </c>
      <c r="B20" s="5"/>
      <c r="C20" s="5">
        <f>('26-27'!C20/'26-27'!B17)*'27-28'!B17</f>
        <v>124.3425414364641</v>
      </c>
      <c r="D20" s="5"/>
      <c r="E20" s="5"/>
      <c r="F20" s="5"/>
      <c r="G20" s="5"/>
      <c r="H20" s="5"/>
      <c r="I20" s="5">
        <f>SUM(B20:H20)</f>
        <v>124.3425414364641</v>
      </c>
      <c r="J20" s="20"/>
      <c r="K20" s="5"/>
      <c r="L20" s="5">
        <f>('26-27'!L20/'26-27'!K17)*'27-28'!K17</f>
        <v>73.714285714285708</v>
      </c>
      <c r="M20" s="5"/>
      <c r="N20" s="5"/>
      <c r="O20" s="5"/>
      <c r="P20" s="5"/>
      <c r="Q20" s="5"/>
      <c r="R20" s="5">
        <f>SUM(K20:Q20)</f>
        <v>73.714285714285708</v>
      </c>
      <c r="T20" s="5"/>
      <c r="U20" s="5">
        <f>('26-27'!U20/'26-27'!T17)*'27-28'!T17</f>
        <v>112.70746018440904</v>
      </c>
      <c r="V20" s="5"/>
      <c r="W20" s="5"/>
      <c r="X20" s="5"/>
      <c r="Y20" s="5"/>
      <c r="Z20" s="5"/>
      <c r="AA20" s="5">
        <f>SUM(T20:Z20)</f>
        <v>112.70746018440904</v>
      </c>
      <c r="AC20" s="5"/>
      <c r="AD20" s="5">
        <f>('26-27'!AD20/'26-27'!AC17)*'27-28'!AC17</f>
        <v>302.73224978614195</v>
      </c>
      <c r="AE20" s="5"/>
      <c r="AF20" s="5"/>
      <c r="AG20" s="5"/>
      <c r="AH20" s="5"/>
      <c r="AI20" s="5"/>
      <c r="AJ20" s="5">
        <f>SUM(AC20:AI20)</f>
        <v>302.73224978614195</v>
      </c>
      <c r="AL20" s="5"/>
      <c r="AM20" s="5">
        <f>('26-27'!AM20/'26-27'!AL17)*'27-28'!AL17</f>
        <v>225.28665785997359</v>
      </c>
      <c r="AN20" s="5"/>
      <c r="AO20" s="5"/>
      <c r="AP20" s="5"/>
      <c r="AQ20" s="5"/>
      <c r="AR20" s="5"/>
      <c r="AS20" s="5">
        <f>SUM(AL20:AR20)</f>
        <v>225.28665785997359</v>
      </c>
      <c r="AU20" s="5"/>
      <c r="AV20" s="5">
        <f>('26-27'!AV20/'26-27'!AU17)*'27-28'!AU17</f>
        <v>18.666666666666668</v>
      </c>
      <c r="AW20" s="5"/>
      <c r="AX20" s="5"/>
      <c r="AY20" s="5"/>
      <c r="AZ20" s="5"/>
      <c r="BA20" s="5"/>
      <c r="BB20" s="5">
        <f>SUM(AU20:BA20)</f>
        <v>18.666666666666668</v>
      </c>
      <c r="BD20" s="5"/>
      <c r="BE20" s="5">
        <f>('26-27'!BE20/'26-27'!BD17)*'27-28'!BD17</f>
        <v>31.699248120300751</v>
      </c>
      <c r="BF20" s="5"/>
      <c r="BG20" s="5"/>
      <c r="BH20" s="5"/>
      <c r="BI20" s="5"/>
      <c r="BJ20" s="5"/>
      <c r="BK20" s="5">
        <f>SUM(BD20:BJ20)</f>
        <v>31.699248120300751</v>
      </c>
      <c r="BM20" s="5">
        <v>0</v>
      </c>
      <c r="BN20" s="5">
        <v>0</v>
      </c>
      <c r="BO20" s="5"/>
      <c r="BP20" s="5"/>
      <c r="BQ20" s="5"/>
      <c r="BR20" s="5"/>
      <c r="BS20" s="5"/>
      <c r="BT20" s="5">
        <f>SUM(BM20:BS20)</f>
        <v>0</v>
      </c>
      <c r="BV20" s="5">
        <f>B20+K20+T20+AC20+AL20+AU20+BD20+BM20</f>
        <v>0</v>
      </c>
      <c r="BW20" s="5">
        <f t="shared" ref="BW20:CA24" si="58">C20+L20+U20+AD20+AM20+AV20+BE20+BN20</f>
        <v>889.14910976824194</v>
      </c>
      <c r="BX20" s="5">
        <f t="shared" si="58"/>
        <v>0</v>
      </c>
      <c r="BY20" s="5">
        <f t="shared" si="58"/>
        <v>0</v>
      </c>
      <c r="BZ20" s="5">
        <f t="shared" si="58"/>
        <v>0</v>
      </c>
      <c r="CA20" s="5">
        <f t="shared" si="58"/>
        <v>0</v>
      </c>
      <c r="CB20" s="5"/>
      <c r="CC20" s="5">
        <f>SUM(BV20:CB20)</f>
        <v>889.14910976824194</v>
      </c>
    </row>
    <row r="21" spans="1:82">
      <c r="A21" s="13" t="s">
        <v>24</v>
      </c>
      <c r="B21" s="5">
        <f>('26-27'!B21/'26-27'!B17)*'27-28'!B17</f>
        <v>36.994475138121544</v>
      </c>
      <c r="C21" s="5"/>
      <c r="D21" s="5"/>
      <c r="E21" s="5"/>
      <c r="F21" s="5"/>
      <c r="G21" s="5"/>
      <c r="H21" s="5"/>
      <c r="I21" s="5">
        <f>SUM(B21:H21)</f>
        <v>36.994475138121544</v>
      </c>
      <c r="J21" s="20"/>
      <c r="K21" s="5">
        <f>('26-27'!K21/'26-27'!K17)*'27-28'!K17</f>
        <v>22.215264187866925</v>
      </c>
      <c r="L21" s="5"/>
      <c r="M21" s="5"/>
      <c r="N21" s="5"/>
      <c r="O21" s="5"/>
      <c r="P21" s="5"/>
      <c r="Q21" s="5"/>
      <c r="R21" s="5">
        <f>SUM(K21:Q21)</f>
        <v>22.215264187866925</v>
      </c>
      <c r="T21" s="5">
        <f>('26-27'!T21/'26-27'!T17)*'27-28'!T17</f>
        <v>17.740989103101423</v>
      </c>
      <c r="U21" s="5"/>
      <c r="V21" s="5"/>
      <c r="W21" s="5"/>
      <c r="X21" s="5"/>
      <c r="Y21" s="5"/>
      <c r="Z21" s="5"/>
      <c r="AA21" s="5">
        <f>SUM(T21:Z21)</f>
        <v>17.740989103101423</v>
      </c>
      <c r="AC21" s="5">
        <f>('26-27'!AC21/'26-27'!AC17)*'27-28'!AC17</f>
        <v>45.73652694610778</v>
      </c>
      <c r="AD21" s="5"/>
      <c r="AE21" s="5"/>
      <c r="AF21" s="5"/>
      <c r="AG21" s="5"/>
      <c r="AH21" s="5"/>
      <c r="AI21" s="5"/>
      <c r="AJ21" s="5">
        <f>SUM(AC21:AI21)</f>
        <v>45.73652694610778</v>
      </c>
      <c r="AL21" s="5">
        <f>('26-27'!AL21/'26-27'!AL17)*'27-28'!AL17</f>
        <v>43.365037428445625</v>
      </c>
      <c r="AM21" s="5"/>
      <c r="AN21" s="5"/>
      <c r="AO21" s="5"/>
      <c r="AP21" s="5"/>
      <c r="AQ21" s="5"/>
      <c r="AR21" s="5"/>
      <c r="AS21" s="5">
        <f>SUM(AL21:AR21)</f>
        <v>43.365037428445625</v>
      </c>
      <c r="AU21" s="5">
        <f>('26-27'!AU21/'26-27'!AU17)*'27-28'!AU17</f>
        <v>1.037037037037037</v>
      </c>
      <c r="AV21" s="5"/>
      <c r="AW21" s="5"/>
      <c r="AX21" s="5"/>
      <c r="AY21" s="5"/>
      <c r="AZ21" s="5"/>
      <c r="BA21" s="5"/>
      <c r="BB21" s="5">
        <f>SUM(AU21:BA21)</f>
        <v>1.037037037037037</v>
      </c>
      <c r="BD21" s="5">
        <f>('26-27'!BD21/'26-27'!BD17)*'27-28'!BD17</f>
        <v>41.022556390977442</v>
      </c>
      <c r="BE21" s="5"/>
      <c r="BF21" s="5"/>
      <c r="BG21" s="5"/>
      <c r="BH21" s="5"/>
      <c r="BI21" s="5"/>
      <c r="BJ21" s="5"/>
      <c r="BK21" s="5">
        <f>SUM(BD21:BJ21)</f>
        <v>41.022556390977442</v>
      </c>
      <c r="BM21" s="5"/>
      <c r="BN21" s="5"/>
      <c r="BO21" s="5"/>
      <c r="BP21" s="5"/>
      <c r="BQ21" s="5"/>
      <c r="BR21" s="5"/>
      <c r="BS21" s="5"/>
      <c r="BT21" s="5">
        <f>SUM(BM21:BS21)</f>
        <v>0</v>
      </c>
      <c r="BV21" s="5">
        <f t="shared" ref="BV21:BV24" si="59">B21+K21+T21+AC21+AL21+AU21+BD21+BM21</f>
        <v>208.11188623165776</v>
      </c>
      <c r="BW21" s="5">
        <f t="shared" si="58"/>
        <v>0</v>
      </c>
      <c r="BX21" s="5">
        <f t="shared" si="58"/>
        <v>0</v>
      </c>
      <c r="BY21" s="5">
        <f t="shared" si="58"/>
        <v>0</v>
      </c>
      <c r="BZ21" s="5">
        <f t="shared" si="58"/>
        <v>0</v>
      </c>
      <c r="CA21" s="5">
        <f t="shared" si="58"/>
        <v>0</v>
      </c>
      <c r="CB21" s="5"/>
      <c r="CC21" s="5">
        <f>SUM(BV21:CB21)</f>
        <v>208.11188623165776</v>
      </c>
    </row>
    <row r="22" spans="1:82">
      <c r="A22" s="13" t="s">
        <v>25</v>
      </c>
      <c r="B22" s="11">
        <f>('26-27'!B22/'26-27'!B17)*'27-28'!B17</f>
        <v>52.408839779005518</v>
      </c>
      <c r="C22" s="11"/>
      <c r="D22" s="11"/>
      <c r="E22" s="11"/>
      <c r="F22" s="11"/>
      <c r="G22" s="11"/>
      <c r="H22" s="11"/>
      <c r="I22" s="5">
        <f>SUM(B22:H22)</f>
        <v>52.408839779005518</v>
      </c>
      <c r="K22" s="11">
        <f>('26-27'!K22/'26-27'!K17)*'27-28'!K17</f>
        <v>67.655577299412911</v>
      </c>
      <c r="L22" s="11"/>
      <c r="M22" s="11"/>
      <c r="N22" s="11"/>
      <c r="O22" s="11"/>
      <c r="P22" s="11"/>
      <c r="Q22" s="11"/>
      <c r="R22" s="5">
        <f>SUM(K22:Q22)</f>
        <v>67.655577299412911</v>
      </c>
      <c r="T22" s="11">
        <f>('26-27'!T22/'26-27'!T17)*'27-28'!T17</f>
        <v>115.83822296730931</v>
      </c>
      <c r="U22" s="11"/>
      <c r="V22" s="11"/>
      <c r="W22" s="11"/>
      <c r="X22" s="11"/>
      <c r="Y22" s="11"/>
      <c r="Z22" s="11"/>
      <c r="AA22" s="5">
        <f>SUM(T22:Z22)</f>
        <v>115.83822296730931</v>
      </c>
      <c r="AC22" s="11">
        <f>('26-27'!AC22/'26-27'!AC17)*'27-28'!AC17</f>
        <v>69.693755346449947</v>
      </c>
      <c r="AD22" s="11"/>
      <c r="AE22" s="11"/>
      <c r="AF22" s="11"/>
      <c r="AG22" s="11"/>
      <c r="AH22" s="11"/>
      <c r="AI22" s="11"/>
      <c r="AJ22" s="5">
        <f>SUM(AC22:AI22)</f>
        <v>69.693755346449947</v>
      </c>
      <c r="AL22" s="11">
        <f>('26-27'!AL22/'26-27'!AL17)*'27-28'!AL17</f>
        <v>120.57595772787319</v>
      </c>
      <c r="AM22" s="11"/>
      <c r="AN22" s="11"/>
      <c r="AO22" s="11"/>
      <c r="AP22" s="11"/>
      <c r="AQ22" s="11"/>
      <c r="AR22" s="11"/>
      <c r="AS22" s="5">
        <f>SUM(AL22:AR22)</f>
        <v>120.57595772787319</v>
      </c>
      <c r="AU22" s="11">
        <f>('26-27'!AU22/'26-27'!AU17)*'27-28'!AU17</f>
        <v>0</v>
      </c>
      <c r="AV22" s="11"/>
      <c r="AW22" s="11"/>
      <c r="AX22" s="11"/>
      <c r="AY22" s="11"/>
      <c r="AZ22" s="11"/>
      <c r="BA22" s="11"/>
      <c r="BB22" s="5">
        <f>SUM(AU22:BA22)</f>
        <v>0</v>
      </c>
      <c r="BD22" s="11">
        <f>('26-27'!BD22/'26-27'!BD17)*'27-28'!BD17</f>
        <v>0</v>
      </c>
      <c r="BE22" s="11"/>
      <c r="BF22" s="11"/>
      <c r="BG22" s="11"/>
      <c r="BH22" s="11"/>
      <c r="BI22" s="11"/>
      <c r="BJ22" s="11"/>
      <c r="BK22" s="5">
        <f>SUM(BD22:BJ22)</f>
        <v>0</v>
      </c>
      <c r="BM22" s="11"/>
      <c r="BN22" s="11"/>
      <c r="BO22" s="11"/>
      <c r="BP22" s="11"/>
      <c r="BQ22" s="11"/>
      <c r="BR22" s="11"/>
      <c r="BS22" s="11"/>
      <c r="BT22" s="5">
        <f>SUM(BM22:BS22)</f>
        <v>0</v>
      </c>
      <c r="BV22" s="5">
        <f t="shared" si="59"/>
        <v>426.17235312005084</v>
      </c>
      <c r="BW22" s="5">
        <f t="shared" si="58"/>
        <v>0</v>
      </c>
      <c r="BX22" s="5">
        <f t="shared" si="58"/>
        <v>0</v>
      </c>
      <c r="BY22" s="5">
        <f t="shared" si="58"/>
        <v>0</v>
      </c>
      <c r="BZ22" s="5">
        <f t="shared" si="58"/>
        <v>0</v>
      </c>
      <c r="CA22" s="5">
        <f t="shared" si="58"/>
        <v>0</v>
      </c>
      <c r="CB22" s="11"/>
      <c r="CC22" s="5">
        <f>SUM(BV22:CB22)</f>
        <v>426.17235312005084</v>
      </c>
    </row>
    <row r="23" spans="1:82">
      <c r="A23" s="13" t="s">
        <v>26</v>
      </c>
      <c r="B23" s="21"/>
      <c r="C23" s="21"/>
      <c r="D23" s="22">
        <v>0.4073</v>
      </c>
      <c r="E23" s="22"/>
      <c r="F23" s="22"/>
      <c r="G23" s="22"/>
      <c r="H23" s="22"/>
      <c r="I23" s="21">
        <f>SUM(B23:H23)</f>
        <v>0.4073</v>
      </c>
      <c r="J23" s="23"/>
      <c r="K23" s="21"/>
      <c r="L23" s="21"/>
      <c r="M23" s="22">
        <v>0.31319999999999998</v>
      </c>
      <c r="N23" s="22"/>
      <c r="O23" s="22"/>
      <c r="P23" s="22"/>
      <c r="Q23" s="22"/>
      <c r="R23" s="21">
        <f>SUM(K23:Q23)</f>
        <v>0.31319999999999998</v>
      </c>
      <c r="T23" s="21"/>
      <c r="U23" s="21"/>
      <c r="V23" s="22">
        <v>0.13780000000000001</v>
      </c>
      <c r="W23" s="22"/>
      <c r="X23" s="22"/>
      <c r="Y23" s="22"/>
      <c r="Z23" s="22"/>
      <c r="AA23" s="21">
        <f>SUM(T23:Z23)</f>
        <v>0.13780000000000001</v>
      </c>
      <c r="AC23" s="21"/>
      <c r="AD23" s="21"/>
      <c r="AE23" s="22">
        <v>0.31780000000000003</v>
      </c>
      <c r="AF23" s="22"/>
      <c r="AG23" s="22"/>
      <c r="AH23" s="22"/>
      <c r="AI23" s="22"/>
      <c r="AJ23" s="21">
        <f>SUM(AC23:AI23)</f>
        <v>0.31780000000000003</v>
      </c>
      <c r="AL23" s="21"/>
      <c r="AM23" s="21"/>
      <c r="AN23" s="104">
        <v>0.1978</v>
      </c>
      <c r="AO23" s="22"/>
      <c r="AP23" s="22"/>
      <c r="AQ23" s="22"/>
      <c r="AR23" s="22"/>
      <c r="AS23" s="21">
        <f>SUM(AL23:AR23)</f>
        <v>0.1978</v>
      </c>
      <c r="AU23" s="21"/>
      <c r="AV23" s="21"/>
      <c r="AW23" s="22">
        <v>0.24360000000000001</v>
      </c>
      <c r="AX23" s="22"/>
      <c r="AY23" s="22"/>
      <c r="AZ23" s="22"/>
      <c r="BA23" s="22"/>
      <c r="BB23" s="21">
        <f>SUM(AU23:BA23)</f>
        <v>0.24360000000000001</v>
      </c>
      <c r="BD23" s="21"/>
      <c r="BE23" s="21"/>
      <c r="BF23" s="22">
        <v>1</v>
      </c>
      <c r="BG23" s="22"/>
      <c r="BH23" s="22"/>
      <c r="BI23" s="22"/>
      <c r="BJ23" s="22"/>
      <c r="BK23" s="21">
        <f>SUM(BD23:BJ23)</f>
        <v>1</v>
      </c>
      <c r="BM23" s="21"/>
      <c r="BN23" s="21"/>
      <c r="BO23" s="22"/>
      <c r="BP23" s="22"/>
      <c r="BQ23" s="22"/>
      <c r="BR23" s="22"/>
      <c r="BS23" s="22"/>
      <c r="BT23" s="21">
        <f>SUM(BM23:BS23)</f>
        <v>0</v>
      </c>
      <c r="BV23" s="5">
        <f t="shared" si="59"/>
        <v>0</v>
      </c>
      <c r="BW23" s="5">
        <f t="shared" si="58"/>
        <v>0</v>
      </c>
      <c r="BX23" s="101">
        <f>AVERAGE(D23,M23,V23,AE23,AN23,AW23,BF23,BO23)</f>
        <v>0.37392857142857139</v>
      </c>
      <c r="BY23" s="5">
        <f t="shared" si="58"/>
        <v>0</v>
      </c>
      <c r="BZ23" s="5">
        <f t="shared" si="58"/>
        <v>0</v>
      </c>
      <c r="CA23" s="5">
        <f t="shared" si="58"/>
        <v>0</v>
      </c>
      <c r="CB23" s="22"/>
      <c r="CC23" s="21">
        <f>SUM(BV23:CB23)</f>
        <v>0.37392857142857139</v>
      </c>
    </row>
    <row r="24" spans="1:82">
      <c r="A24" s="13" t="s">
        <v>27</v>
      </c>
      <c r="B24" s="5"/>
      <c r="C24" s="5"/>
      <c r="D24" s="5"/>
      <c r="E24" s="5"/>
      <c r="F24" s="5"/>
      <c r="G24" s="5"/>
      <c r="H24" s="5"/>
      <c r="I24" s="5">
        <f>SUM(B24:H24)</f>
        <v>0</v>
      </c>
      <c r="J24" s="23"/>
      <c r="K24" s="5"/>
      <c r="L24" s="5"/>
      <c r="M24" s="5"/>
      <c r="N24" s="5"/>
      <c r="O24" s="5"/>
      <c r="P24" s="5"/>
      <c r="Q24" s="5"/>
      <c r="R24" s="5">
        <f>SUM(K24:Q24)</f>
        <v>0</v>
      </c>
      <c r="T24" s="5">
        <v>0</v>
      </c>
      <c r="U24" s="5"/>
      <c r="V24" s="5"/>
      <c r="W24" s="5"/>
      <c r="X24" s="5"/>
      <c r="Y24" s="5"/>
      <c r="Z24" s="5"/>
      <c r="AA24" s="5">
        <f>SUM(T24:Z24)</f>
        <v>0</v>
      </c>
      <c r="AC24" s="5">
        <v>152</v>
      </c>
      <c r="AD24" s="5"/>
      <c r="AE24" s="5"/>
      <c r="AF24" s="5"/>
      <c r="AG24" s="5"/>
      <c r="AH24" s="5"/>
      <c r="AI24" s="5"/>
      <c r="AJ24" s="5">
        <f>SUM(AC24:AI24)</f>
        <v>152</v>
      </c>
      <c r="AL24" s="5">
        <v>122</v>
      </c>
      <c r="AM24" s="5"/>
      <c r="AN24" s="5"/>
      <c r="AO24" s="5"/>
      <c r="AP24" s="5"/>
      <c r="AQ24" s="5"/>
      <c r="AR24" s="5"/>
      <c r="AS24" s="5">
        <f>SUM(AL24:AR24)</f>
        <v>122</v>
      </c>
      <c r="AU24" s="5">
        <v>39</v>
      </c>
      <c r="AV24" s="5"/>
      <c r="AW24" s="5"/>
      <c r="AX24" s="5"/>
      <c r="AY24" s="5"/>
      <c r="AZ24" s="5"/>
      <c r="BA24" s="5"/>
      <c r="BB24" s="5">
        <f>SUM(AU24:BA24)</f>
        <v>39</v>
      </c>
      <c r="BD24" s="5">
        <v>35</v>
      </c>
      <c r="BE24" s="5"/>
      <c r="BF24" s="5"/>
      <c r="BG24" s="5"/>
      <c r="BH24" s="5"/>
      <c r="BI24" s="5"/>
      <c r="BJ24" s="5"/>
      <c r="BK24" s="5">
        <f>SUM(BD24:BJ24)</f>
        <v>35</v>
      </c>
      <c r="BM24" s="5"/>
      <c r="BN24" s="5"/>
      <c r="BO24" s="5"/>
      <c r="BP24" s="5"/>
      <c r="BQ24" s="5"/>
      <c r="BR24" s="5"/>
      <c r="BS24" s="5"/>
      <c r="BT24" s="5">
        <f>SUM(BM24:BS24)</f>
        <v>0</v>
      </c>
      <c r="BV24" s="5">
        <f t="shared" si="59"/>
        <v>348</v>
      </c>
      <c r="BW24" s="5">
        <f t="shared" si="58"/>
        <v>0</v>
      </c>
      <c r="BX24" s="5">
        <f t="shared" si="58"/>
        <v>0</v>
      </c>
      <c r="BY24" s="5">
        <f t="shared" si="58"/>
        <v>0</v>
      </c>
      <c r="BZ24" s="5">
        <f t="shared" si="58"/>
        <v>0</v>
      </c>
      <c r="CA24" s="5">
        <f t="shared" si="58"/>
        <v>0</v>
      </c>
      <c r="CB24" s="5"/>
      <c r="CC24" s="5">
        <f>SUM(BV24:CB24)</f>
        <v>348</v>
      </c>
    </row>
    <row r="25" spans="1:82">
      <c r="A25" s="13"/>
      <c r="B25" s="5"/>
      <c r="C25" s="5"/>
      <c r="D25" s="5"/>
      <c r="E25" s="5"/>
      <c r="F25" s="5"/>
      <c r="G25" s="5"/>
      <c r="H25" s="5"/>
      <c r="I25" s="5"/>
      <c r="J25" s="7"/>
      <c r="K25" s="5"/>
      <c r="L25" s="5"/>
      <c r="M25" s="5"/>
      <c r="N25" s="5"/>
      <c r="O25" s="5"/>
      <c r="P25" s="5"/>
      <c r="Q25" s="5"/>
      <c r="R25" s="5"/>
      <c r="T25" s="5"/>
      <c r="U25" s="5"/>
      <c r="V25" s="5"/>
      <c r="W25" s="5"/>
      <c r="X25" s="5"/>
      <c r="Y25" s="5"/>
      <c r="Z25" s="5"/>
      <c r="AA25" s="5"/>
      <c r="AC25" s="5"/>
      <c r="AD25" s="5"/>
      <c r="AE25" s="5"/>
      <c r="AF25" s="5"/>
      <c r="AG25" s="5"/>
      <c r="AH25" s="5"/>
      <c r="AI25" s="5"/>
      <c r="AJ25" s="5"/>
      <c r="AL25" s="5"/>
      <c r="AM25" s="5"/>
      <c r="AN25" s="5"/>
      <c r="AO25" s="5"/>
      <c r="AP25" s="5"/>
      <c r="AQ25" s="5"/>
      <c r="AR25" s="5"/>
      <c r="AS25" s="5"/>
      <c r="AU25" s="5"/>
      <c r="AV25" s="5"/>
      <c r="AW25" s="5"/>
      <c r="AX25" s="5"/>
      <c r="AY25" s="5"/>
      <c r="AZ25" s="5"/>
      <c r="BA25" s="5"/>
      <c r="BB25" s="5"/>
      <c r="BD25" s="5"/>
      <c r="BE25" s="5"/>
      <c r="BF25" s="5"/>
      <c r="BG25" s="5"/>
      <c r="BH25" s="5"/>
      <c r="BI25" s="5"/>
      <c r="BJ25" s="5"/>
      <c r="BK25" s="5"/>
      <c r="BM25" s="5"/>
      <c r="BN25" s="5"/>
      <c r="BO25" s="5"/>
      <c r="BP25" s="5"/>
      <c r="BQ25" s="5"/>
      <c r="BR25" s="5"/>
      <c r="BS25" s="5"/>
      <c r="BT25" s="5"/>
      <c r="BV25" s="5"/>
      <c r="BW25" s="5"/>
      <c r="BX25" s="5"/>
      <c r="BY25" s="5"/>
      <c r="BZ25" s="5"/>
      <c r="CA25" s="5"/>
      <c r="CB25" s="5"/>
      <c r="CC25" s="5"/>
    </row>
    <row r="26" spans="1:82" ht="15">
      <c r="A26" s="24" t="s">
        <v>28</v>
      </c>
      <c r="B26" s="18" t="str">
        <f t="shared" ref="B26:I26" si="60">B1</f>
        <v>Operating</v>
      </c>
      <c r="C26" s="18" t="str">
        <f t="shared" si="60"/>
        <v>SPED</v>
      </c>
      <c r="D26" s="18" t="str">
        <f t="shared" si="60"/>
        <v>NSLP</v>
      </c>
      <c r="E26" s="18" t="str">
        <f t="shared" si="60"/>
        <v>Other</v>
      </c>
      <c r="F26" s="18" t="str">
        <f t="shared" si="60"/>
        <v>Title I</v>
      </c>
      <c r="G26" s="18" t="str">
        <f t="shared" si="60"/>
        <v>SGF</v>
      </c>
      <c r="H26" s="18" t="str">
        <f t="shared" si="60"/>
        <v>Title III</v>
      </c>
      <c r="I26" s="18" t="str">
        <f t="shared" si="60"/>
        <v>Horizon</v>
      </c>
      <c r="J26" s="19"/>
      <c r="K26" s="18" t="str">
        <f t="shared" ref="K26:R26" si="61">K1</f>
        <v>Operating</v>
      </c>
      <c r="L26" s="18" t="str">
        <f t="shared" si="61"/>
        <v>SPED</v>
      </c>
      <c r="M26" s="18" t="str">
        <f t="shared" si="61"/>
        <v>NSLP</v>
      </c>
      <c r="N26" s="18" t="str">
        <f t="shared" si="61"/>
        <v>Other</v>
      </c>
      <c r="O26" s="18" t="str">
        <f t="shared" si="61"/>
        <v>Title I</v>
      </c>
      <c r="P26" s="18" t="str">
        <f t="shared" si="61"/>
        <v>SGF</v>
      </c>
      <c r="Q26" s="18" t="str">
        <f t="shared" si="61"/>
        <v>Title III</v>
      </c>
      <c r="R26" s="18" t="str">
        <f t="shared" si="61"/>
        <v>St. Rose</v>
      </c>
      <c r="T26" s="18" t="str">
        <f t="shared" ref="T26:AA26" si="62">T1</f>
        <v>Operating</v>
      </c>
      <c r="U26" s="18" t="str">
        <f t="shared" si="62"/>
        <v>SPED</v>
      </c>
      <c r="V26" s="18" t="str">
        <f t="shared" si="62"/>
        <v>NSLP</v>
      </c>
      <c r="W26" s="18" t="str">
        <f t="shared" si="62"/>
        <v>Other</v>
      </c>
      <c r="X26" s="18" t="str">
        <f t="shared" si="62"/>
        <v>Title I</v>
      </c>
      <c r="Y26" s="18" t="str">
        <f t="shared" si="62"/>
        <v>SGF</v>
      </c>
      <c r="Z26" s="18" t="str">
        <f t="shared" si="62"/>
        <v>Title III</v>
      </c>
      <c r="AA26" s="18" t="str">
        <f t="shared" si="62"/>
        <v>Inspirada</v>
      </c>
      <c r="AC26" s="18" t="str">
        <f t="shared" ref="AC26:AJ26" si="63">AC1</f>
        <v>Operating</v>
      </c>
      <c r="AD26" s="18" t="str">
        <f t="shared" si="63"/>
        <v>SPED</v>
      </c>
      <c r="AE26" s="18" t="str">
        <f t="shared" si="63"/>
        <v>NSLP</v>
      </c>
      <c r="AF26" s="18" t="str">
        <f t="shared" si="63"/>
        <v>Other</v>
      </c>
      <c r="AG26" s="18" t="str">
        <f t="shared" si="63"/>
        <v>Title I</v>
      </c>
      <c r="AH26" s="18" t="str">
        <f t="shared" si="63"/>
        <v>SGF</v>
      </c>
      <c r="AI26" s="18" t="str">
        <f t="shared" si="63"/>
        <v>Title III</v>
      </c>
      <c r="AJ26" s="18" t="str">
        <f t="shared" si="63"/>
        <v>Cadence</v>
      </c>
      <c r="AL26" s="18" t="str">
        <f t="shared" ref="AL26:AS26" si="64">AL1</f>
        <v>Operating</v>
      </c>
      <c r="AM26" s="18" t="str">
        <f t="shared" si="64"/>
        <v>SPED</v>
      </c>
      <c r="AN26" s="18" t="str">
        <f t="shared" si="64"/>
        <v>NSLP</v>
      </c>
      <c r="AO26" s="18" t="str">
        <f t="shared" si="64"/>
        <v>Other</v>
      </c>
      <c r="AP26" s="18" t="str">
        <f t="shared" si="64"/>
        <v>Title I</v>
      </c>
      <c r="AQ26" s="18" t="str">
        <f t="shared" si="64"/>
        <v>SGF</v>
      </c>
      <c r="AR26" s="18" t="str">
        <f t="shared" si="64"/>
        <v>Title III</v>
      </c>
      <c r="AS26" s="18" t="str">
        <f t="shared" si="64"/>
        <v>Sloan</v>
      </c>
      <c r="AU26" s="18" t="str">
        <f t="shared" ref="AU26:BB26" si="65">AU1</f>
        <v>Operating</v>
      </c>
      <c r="AV26" s="18" t="str">
        <f t="shared" si="65"/>
        <v>SPED</v>
      </c>
      <c r="AW26" s="18" t="str">
        <f t="shared" si="65"/>
        <v>NSLP</v>
      </c>
      <c r="AX26" s="18" t="str">
        <f t="shared" si="65"/>
        <v>Other</v>
      </c>
      <c r="AY26" s="18" t="str">
        <f t="shared" si="65"/>
        <v>Title I</v>
      </c>
      <c r="AZ26" s="18" t="str">
        <f t="shared" si="65"/>
        <v>SGF</v>
      </c>
      <c r="BA26" s="18" t="str">
        <f t="shared" si="65"/>
        <v>Title III</v>
      </c>
      <c r="BB26" s="18" t="str">
        <f t="shared" si="65"/>
        <v>Virtual</v>
      </c>
      <c r="BD26" s="18" t="str">
        <f t="shared" ref="BD26:BK26" si="66">BD1</f>
        <v>Operating</v>
      </c>
      <c r="BE26" s="18" t="str">
        <f t="shared" si="66"/>
        <v>SPED</v>
      </c>
      <c r="BF26" s="18" t="str">
        <f t="shared" si="66"/>
        <v>NSLP</v>
      </c>
      <c r="BG26" s="18" t="str">
        <f t="shared" si="66"/>
        <v>Other</v>
      </c>
      <c r="BH26" s="18" t="str">
        <f t="shared" si="66"/>
        <v>Title I</v>
      </c>
      <c r="BI26" s="18" t="str">
        <f t="shared" si="66"/>
        <v>SGF</v>
      </c>
      <c r="BJ26" s="18" t="str">
        <f t="shared" si="66"/>
        <v>Title III</v>
      </c>
      <c r="BK26" s="18" t="str">
        <f t="shared" si="66"/>
        <v>Springs</v>
      </c>
      <c r="BM26" s="18" t="str">
        <f t="shared" ref="BM26:BT26" si="67">BM1</f>
        <v>Operating</v>
      </c>
      <c r="BN26" s="18" t="str">
        <f t="shared" si="67"/>
        <v>SPED</v>
      </c>
      <c r="BO26" s="18" t="str">
        <f t="shared" si="67"/>
        <v>NSLP</v>
      </c>
      <c r="BP26" s="18" t="str">
        <f t="shared" si="67"/>
        <v>Other</v>
      </c>
      <c r="BQ26" s="18" t="str">
        <f t="shared" si="67"/>
        <v>Title I</v>
      </c>
      <c r="BR26" s="18" t="str">
        <f t="shared" si="67"/>
        <v>SGF</v>
      </c>
      <c r="BS26" s="18" t="str">
        <f t="shared" si="67"/>
        <v>Title III</v>
      </c>
      <c r="BT26" s="18" t="str">
        <f t="shared" si="67"/>
        <v>Exec. Office</v>
      </c>
      <c r="BV26" s="18" t="str">
        <f t="shared" ref="BV26:CC26" si="68">BV1</f>
        <v>Operating</v>
      </c>
      <c r="BW26" s="18" t="str">
        <f t="shared" si="68"/>
        <v>SPED</v>
      </c>
      <c r="BX26" s="18" t="str">
        <f t="shared" si="68"/>
        <v>NSLP</v>
      </c>
      <c r="BY26" s="18" t="str">
        <f t="shared" si="68"/>
        <v>Other</v>
      </c>
      <c r="BZ26" s="18" t="str">
        <f t="shared" si="68"/>
        <v>Title I</v>
      </c>
      <c r="CA26" s="18" t="str">
        <f t="shared" si="68"/>
        <v>SGF</v>
      </c>
      <c r="CB26" s="18" t="str">
        <f t="shared" si="68"/>
        <v>Title III</v>
      </c>
      <c r="CC26" s="18" t="str">
        <f t="shared" si="68"/>
        <v>Systemwide</v>
      </c>
    </row>
    <row r="27" spans="1:82">
      <c r="A27" s="25" t="s">
        <v>29</v>
      </c>
      <c r="B27" s="26">
        <v>36</v>
      </c>
      <c r="C27" s="26"/>
      <c r="D27" s="26"/>
      <c r="E27" s="26"/>
      <c r="F27" s="26"/>
      <c r="G27" s="26"/>
      <c r="H27" s="26"/>
      <c r="I27" s="26">
        <f t="shared" ref="I27:I32" si="69">SUM(B27:H27)</f>
        <v>36</v>
      </c>
      <c r="J27" s="12">
        <f>I27/6</f>
        <v>6</v>
      </c>
      <c r="K27" s="26">
        <v>36</v>
      </c>
      <c r="L27" s="26"/>
      <c r="M27" s="26"/>
      <c r="N27" s="26"/>
      <c r="O27" s="26"/>
      <c r="P27" s="26"/>
      <c r="Q27" s="26"/>
      <c r="R27" s="26">
        <f t="shared" ref="R27:R32" si="70">SUM(K27:Q27)</f>
        <v>36</v>
      </c>
      <c r="S27" s="12">
        <f>R27/6</f>
        <v>6</v>
      </c>
      <c r="T27" s="26">
        <v>46</v>
      </c>
      <c r="U27" s="26"/>
      <c r="V27" s="26"/>
      <c r="W27" s="26"/>
      <c r="X27" s="26"/>
      <c r="Y27" s="26"/>
      <c r="Z27" s="26"/>
      <c r="AA27" s="26">
        <f t="shared" ref="AA27:AA32" si="71">SUM(T27:Z27)</f>
        <v>46</v>
      </c>
      <c r="AB27" s="12">
        <f>AA27/6</f>
        <v>7.666666666666667</v>
      </c>
      <c r="AC27" s="26">
        <v>86</v>
      </c>
      <c r="AD27" s="26"/>
      <c r="AE27" s="26"/>
      <c r="AF27" s="26"/>
      <c r="AG27" s="26"/>
      <c r="AH27" s="26"/>
      <c r="AI27" s="26"/>
      <c r="AJ27" s="26">
        <f t="shared" ref="AJ27:AJ32" si="72">SUM(AC27:AI27)</f>
        <v>86</v>
      </c>
      <c r="AK27" s="12">
        <f>AJ27/6</f>
        <v>14.333333333333334</v>
      </c>
      <c r="AL27" s="26">
        <v>82</v>
      </c>
      <c r="AM27" s="26"/>
      <c r="AN27" s="26"/>
      <c r="AO27" s="26"/>
      <c r="AP27" s="26"/>
      <c r="AQ27" s="26"/>
      <c r="AR27" s="26"/>
      <c r="AS27" s="26">
        <f t="shared" ref="AS27:AS32" si="73">SUM(AL27:AR27)</f>
        <v>82</v>
      </c>
      <c r="AT27" s="12">
        <f>AS27/6</f>
        <v>13.666666666666666</v>
      </c>
      <c r="AU27" s="26"/>
      <c r="AV27" s="26"/>
      <c r="AW27" s="26"/>
      <c r="AX27" s="26"/>
      <c r="AY27" s="26"/>
      <c r="AZ27" s="26"/>
      <c r="BA27" s="26"/>
      <c r="BB27" s="26">
        <f t="shared" ref="BB27:BB32" si="74">SUM(AU27:BA27)</f>
        <v>0</v>
      </c>
      <c r="BC27" s="12">
        <f>BB27/6</f>
        <v>0</v>
      </c>
      <c r="BD27" s="26">
        <v>20</v>
      </c>
      <c r="BE27" s="26"/>
      <c r="BF27" s="26"/>
      <c r="BG27" s="26"/>
      <c r="BH27" s="26"/>
      <c r="BI27" s="26"/>
      <c r="BJ27" s="26"/>
      <c r="BK27" s="26">
        <f t="shared" ref="BK27:BK32" si="75">SUM(BD27:BJ27)</f>
        <v>20</v>
      </c>
      <c r="BL27" s="12">
        <f>BK27/6</f>
        <v>3.3333333333333335</v>
      </c>
      <c r="BM27" s="26"/>
      <c r="BN27" s="26"/>
      <c r="BO27" s="26"/>
      <c r="BP27" s="26"/>
      <c r="BQ27" s="26"/>
      <c r="BR27" s="26"/>
      <c r="BS27" s="26"/>
      <c r="BT27" s="26">
        <f t="shared" ref="BT27:BT32" si="76">SUM(BM27:BS27)</f>
        <v>0</v>
      </c>
      <c r="BU27" s="12">
        <f>BT27/6</f>
        <v>0</v>
      </c>
      <c r="BV27" s="26">
        <f>B27+K27+T27+AC27+AL27+AU27+BD27+BM27</f>
        <v>306</v>
      </c>
      <c r="BW27" s="26">
        <f t="shared" ref="BW27:CA35" si="77">C27+L27+U27+AD27+AM27+AV27+BE27+BN27</f>
        <v>0</v>
      </c>
      <c r="BX27" s="26">
        <f t="shared" si="77"/>
        <v>0</v>
      </c>
      <c r="BY27" s="26">
        <f t="shared" si="77"/>
        <v>0</v>
      </c>
      <c r="BZ27" s="26">
        <f t="shared" si="77"/>
        <v>0</v>
      </c>
      <c r="CA27" s="26">
        <f t="shared" si="77"/>
        <v>0</v>
      </c>
      <c r="CB27" s="26"/>
      <c r="CC27" s="26">
        <f t="shared" ref="CC27:CC28" si="78">SUM(BV27:CB27)</f>
        <v>306</v>
      </c>
      <c r="CD27" s="12">
        <f>CC27/6</f>
        <v>51</v>
      </c>
    </row>
    <row r="28" spans="1:82">
      <c r="A28" s="25" t="s">
        <v>30</v>
      </c>
      <c r="B28" s="27">
        <v>0</v>
      </c>
      <c r="C28" s="27">
        <v>5</v>
      </c>
      <c r="D28" s="27"/>
      <c r="E28" s="27"/>
      <c r="F28" s="27"/>
      <c r="G28" s="27"/>
      <c r="H28" s="27"/>
      <c r="I28" s="26">
        <f t="shared" si="69"/>
        <v>5</v>
      </c>
      <c r="J28" s="12">
        <f>C20/21</f>
        <v>5.9210734017363862</v>
      </c>
      <c r="K28" s="27">
        <v>0</v>
      </c>
      <c r="L28" s="27">
        <v>4</v>
      </c>
      <c r="M28" s="27"/>
      <c r="N28" s="27"/>
      <c r="O28" s="27"/>
      <c r="P28" s="27"/>
      <c r="Q28" s="27"/>
      <c r="R28" s="26">
        <f t="shared" si="70"/>
        <v>4</v>
      </c>
      <c r="S28" s="12">
        <f>L20/21</f>
        <v>3.510204081632653</v>
      </c>
      <c r="T28" s="27"/>
      <c r="U28" s="27">
        <v>5</v>
      </c>
      <c r="V28" s="27"/>
      <c r="W28" s="27"/>
      <c r="X28" s="27"/>
      <c r="Y28" s="27"/>
      <c r="Z28" s="27"/>
      <c r="AA28" s="26">
        <f t="shared" si="71"/>
        <v>5</v>
      </c>
      <c r="AB28" s="12">
        <f>U20/21</f>
        <v>5.3670219135432875</v>
      </c>
      <c r="AC28" s="27">
        <v>0</v>
      </c>
      <c r="AD28" s="27">
        <v>13</v>
      </c>
      <c r="AE28" s="27"/>
      <c r="AF28" s="27"/>
      <c r="AG28" s="27"/>
      <c r="AH28" s="27"/>
      <c r="AI28" s="27"/>
      <c r="AJ28" s="26">
        <f t="shared" si="72"/>
        <v>13</v>
      </c>
      <c r="AK28" s="12">
        <f>AD20/21</f>
        <v>14.415821418387711</v>
      </c>
      <c r="AL28" s="27">
        <v>0</v>
      </c>
      <c r="AM28" s="27">
        <v>12</v>
      </c>
      <c r="AN28" s="27"/>
      <c r="AO28" s="27"/>
      <c r="AP28" s="27"/>
      <c r="AQ28" s="27"/>
      <c r="AR28" s="27"/>
      <c r="AS28" s="26">
        <f t="shared" si="73"/>
        <v>12</v>
      </c>
      <c r="AT28" s="12">
        <f>AM20/21</f>
        <v>10.727936088570171</v>
      </c>
      <c r="AU28" s="27"/>
      <c r="AV28" s="27">
        <v>1</v>
      </c>
      <c r="AW28" s="27"/>
      <c r="AX28" s="27"/>
      <c r="AY28" s="27"/>
      <c r="AZ28" s="27"/>
      <c r="BA28" s="27"/>
      <c r="BB28" s="26">
        <f t="shared" si="74"/>
        <v>1</v>
      </c>
      <c r="BC28" s="12">
        <f>AV20/21</f>
        <v>0.88888888888888895</v>
      </c>
      <c r="BD28" s="27">
        <v>0</v>
      </c>
      <c r="BE28" s="27">
        <v>1</v>
      </c>
      <c r="BF28" s="27"/>
      <c r="BG28" s="27"/>
      <c r="BH28" s="27"/>
      <c r="BI28" s="27"/>
      <c r="BJ28" s="27"/>
      <c r="BK28" s="26">
        <f t="shared" si="75"/>
        <v>1</v>
      </c>
      <c r="BL28" s="12">
        <f>BE20/21</f>
        <v>1.5094880057286073</v>
      </c>
      <c r="BM28" s="27"/>
      <c r="BN28" s="27"/>
      <c r="BO28" s="27"/>
      <c r="BP28" s="27"/>
      <c r="BQ28" s="27"/>
      <c r="BR28" s="27"/>
      <c r="BS28" s="27"/>
      <c r="BT28" s="26">
        <f t="shared" si="76"/>
        <v>0</v>
      </c>
      <c r="BU28" s="12">
        <f>BN20/21</f>
        <v>0</v>
      </c>
      <c r="BV28" s="26">
        <f t="shared" ref="BV28:BV35" si="79">B28+K28+T28+AC28+AL28+AU28+BD28+BM28</f>
        <v>0</v>
      </c>
      <c r="BW28" s="26">
        <f t="shared" si="77"/>
        <v>41</v>
      </c>
      <c r="BX28" s="26">
        <f t="shared" si="77"/>
        <v>0</v>
      </c>
      <c r="BY28" s="26">
        <f t="shared" si="77"/>
        <v>0</v>
      </c>
      <c r="BZ28" s="26">
        <f t="shared" si="77"/>
        <v>0</v>
      </c>
      <c r="CA28" s="26">
        <f t="shared" si="77"/>
        <v>0</v>
      </c>
      <c r="CB28" s="27"/>
      <c r="CC28" s="26">
        <f t="shared" si="78"/>
        <v>41</v>
      </c>
      <c r="CD28" s="12">
        <f>BW20/21</f>
        <v>42.340433798487709</v>
      </c>
    </row>
    <row r="29" spans="1:82">
      <c r="A29" s="25" t="s">
        <v>31</v>
      </c>
      <c r="B29" s="26">
        <v>1</v>
      </c>
      <c r="C29" s="26"/>
      <c r="D29" s="26"/>
      <c r="E29" s="26"/>
      <c r="F29" s="26"/>
      <c r="G29" s="26"/>
      <c r="H29" s="26"/>
      <c r="I29" s="26">
        <f>SUM(B29:H29)</f>
        <v>1</v>
      </c>
      <c r="K29" s="26">
        <v>1</v>
      </c>
      <c r="L29" s="26"/>
      <c r="M29" s="26"/>
      <c r="N29" s="26"/>
      <c r="O29" s="26"/>
      <c r="P29" s="26"/>
      <c r="Q29" s="26"/>
      <c r="R29" s="26">
        <f>SUM(K29:Q29)</f>
        <v>1</v>
      </c>
      <c r="T29" s="26">
        <v>1</v>
      </c>
      <c r="U29" s="26"/>
      <c r="V29" s="26"/>
      <c r="W29" s="26"/>
      <c r="X29" s="26"/>
      <c r="Y29" s="26"/>
      <c r="Z29" s="26"/>
      <c r="AA29" s="26">
        <f>SUM(T29:Z29)</f>
        <v>1</v>
      </c>
      <c r="AC29" s="26">
        <v>2</v>
      </c>
      <c r="AD29" s="26"/>
      <c r="AE29" s="26"/>
      <c r="AF29" s="26"/>
      <c r="AG29" s="26"/>
      <c r="AH29" s="26"/>
      <c r="AI29" s="26"/>
      <c r="AJ29" s="26">
        <f>SUM(AC29:AI29)</f>
        <v>2</v>
      </c>
      <c r="AL29" s="26">
        <v>2</v>
      </c>
      <c r="AM29" s="26"/>
      <c r="AN29" s="26"/>
      <c r="AO29" s="26"/>
      <c r="AP29" s="26"/>
      <c r="AQ29" s="26"/>
      <c r="AR29" s="26"/>
      <c r="AS29" s="26">
        <f>SUM(AL29:AR29)</f>
        <v>2</v>
      </c>
      <c r="AU29" s="26"/>
      <c r="AV29" s="26"/>
      <c r="AW29" s="26"/>
      <c r="AX29" s="26"/>
      <c r="AY29" s="26"/>
      <c r="AZ29" s="26"/>
      <c r="BA29" s="26"/>
      <c r="BB29" s="26">
        <f>SUM(AU29:BA29)</f>
        <v>0</v>
      </c>
      <c r="BD29" s="26">
        <v>0</v>
      </c>
      <c r="BE29" s="26"/>
      <c r="BF29" s="26"/>
      <c r="BG29" s="26"/>
      <c r="BH29" s="26"/>
      <c r="BI29" s="26"/>
      <c r="BJ29" s="26"/>
      <c r="BK29" s="26">
        <f>SUM(BD29:BJ29)</f>
        <v>0</v>
      </c>
      <c r="BM29" s="26"/>
      <c r="BN29" s="26"/>
      <c r="BO29" s="26"/>
      <c r="BP29" s="26"/>
      <c r="BQ29" s="26"/>
      <c r="BR29" s="26"/>
      <c r="BS29" s="26"/>
      <c r="BT29" s="26">
        <f>SUM(BM29:BS29)</f>
        <v>0</v>
      </c>
      <c r="BV29" s="26">
        <f t="shared" si="79"/>
        <v>7</v>
      </c>
      <c r="BW29" s="26">
        <f t="shared" si="77"/>
        <v>0</v>
      </c>
      <c r="BX29" s="26">
        <f t="shared" si="77"/>
        <v>0</v>
      </c>
      <c r="BY29" s="26">
        <f t="shared" si="77"/>
        <v>0</v>
      </c>
      <c r="BZ29" s="26">
        <f t="shared" si="77"/>
        <v>0</v>
      </c>
      <c r="CA29" s="26">
        <f t="shared" si="77"/>
        <v>0</v>
      </c>
      <c r="CB29" s="26"/>
      <c r="CC29" s="26">
        <f>SUM(BV29:CB29)</f>
        <v>7</v>
      </c>
    </row>
    <row r="30" spans="1:82">
      <c r="A30" s="25" t="s">
        <v>32</v>
      </c>
      <c r="B30" s="26">
        <v>1</v>
      </c>
      <c r="C30" s="26"/>
      <c r="D30" s="26"/>
      <c r="E30" s="26"/>
      <c r="F30" s="26"/>
      <c r="G30" s="26"/>
      <c r="H30" s="26"/>
      <c r="I30" s="26">
        <f t="shared" si="69"/>
        <v>1</v>
      </c>
      <c r="K30" s="26">
        <v>1</v>
      </c>
      <c r="L30" s="26"/>
      <c r="M30" s="26"/>
      <c r="N30" s="26"/>
      <c r="O30" s="26"/>
      <c r="P30" s="26"/>
      <c r="Q30" s="26"/>
      <c r="R30" s="26">
        <f t="shared" si="70"/>
        <v>1</v>
      </c>
      <c r="T30" s="26">
        <v>1</v>
      </c>
      <c r="U30" s="26"/>
      <c r="V30" s="26"/>
      <c r="W30" s="26"/>
      <c r="X30" s="26"/>
      <c r="Y30" s="26"/>
      <c r="Z30" s="26"/>
      <c r="AA30" s="26">
        <f t="shared" si="71"/>
        <v>1</v>
      </c>
      <c r="AC30" s="26">
        <v>2</v>
      </c>
      <c r="AD30" s="26"/>
      <c r="AE30" s="26"/>
      <c r="AF30" s="26"/>
      <c r="AG30" s="26"/>
      <c r="AH30" s="26"/>
      <c r="AI30" s="26"/>
      <c r="AJ30" s="26">
        <f t="shared" si="72"/>
        <v>2</v>
      </c>
      <c r="AL30" s="26">
        <v>3</v>
      </c>
      <c r="AM30" s="26"/>
      <c r="AN30" s="26"/>
      <c r="AO30" s="26"/>
      <c r="AP30" s="26"/>
      <c r="AQ30" s="26"/>
      <c r="AR30" s="26"/>
      <c r="AS30" s="26">
        <f t="shared" si="73"/>
        <v>3</v>
      </c>
      <c r="AU30" s="26"/>
      <c r="AV30" s="26"/>
      <c r="AW30" s="26"/>
      <c r="AX30" s="26"/>
      <c r="AY30" s="26"/>
      <c r="AZ30" s="26"/>
      <c r="BA30" s="26"/>
      <c r="BB30" s="26">
        <f t="shared" si="74"/>
        <v>0</v>
      </c>
      <c r="BD30" s="26">
        <v>0</v>
      </c>
      <c r="BE30" s="26"/>
      <c r="BF30" s="26"/>
      <c r="BG30" s="26"/>
      <c r="BH30" s="26"/>
      <c r="BI30" s="26"/>
      <c r="BJ30" s="26"/>
      <c r="BK30" s="26">
        <f t="shared" si="75"/>
        <v>0</v>
      </c>
      <c r="BM30" s="26">
        <v>1</v>
      </c>
      <c r="BN30" s="26"/>
      <c r="BO30" s="26"/>
      <c r="BP30" s="26"/>
      <c r="BQ30" s="26"/>
      <c r="BR30" s="26"/>
      <c r="BS30" s="26"/>
      <c r="BT30" s="26">
        <f t="shared" si="76"/>
        <v>1</v>
      </c>
      <c r="BV30" s="26">
        <f t="shared" si="79"/>
        <v>9</v>
      </c>
      <c r="BW30" s="26">
        <f t="shared" si="77"/>
        <v>0</v>
      </c>
      <c r="BX30" s="26">
        <f t="shared" si="77"/>
        <v>0</v>
      </c>
      <c r="BY30" s="26">
        <f t="shared" si="77"/>
        <v>0</v>
      </c>
      <c r="BZ30" s="26">
        <f t="shared" si="77"/>
        <v>0</v>
      </c>
      <c r="CA30" s="26">
        <f t="shared" si="77"/>
        <v>0</v>
      </c>
      <c r="CB30" s="26"/>
      <c r="CC30" s="26">
        <f t="shared" ref="CC30:CC32" si="80">SUM(BV30:CB30)</f>
        <v>9</v>
      </c>
    </row>
    <row r="31" spans="1:82">
      <c r="A31" s="25" t="s">
        <v>33</v>
      </c>
      <c r="B31" s="26">
        <v>1</v>
      </c>
      <c r="C31" s="26"/>
      <c r="D31" s="26"/>
      <c r="E31" s="26"/>
      <c r="F31" s="26"/>
      <c r="G31" s="26"/>
      <c r="H31" s="26"/>
      <c r="I31" s="26">
        <f t="shared" si="69"/>
        <v>1</v>
      </c>
      <c r="K31" s="26">
        <v>1</v>
      </c>
      <c r="L31" s="26"/>
      <c r="M31" s="26"/>
      <c r="N31" s="26"/>
      <c r="O31" s="26"/>
      <c r="P31" s="26"/>
      <c r="Q31" s="26"/>
      <c r="R31" s="26">
        <f t="shared" si="70"/>
        <v>1</v>
      </c>
      <c r="T31" s="26">
        <v>1</v>
      </c>
      <c r="U31" s="26"/>
      <c r="V31" s="26"/>
      <c r="W31" s="26"/>
      <c r="X31" s="26"/>
      <c r="Y31" s="26"/>
      <c r="Z31" s="26"/>
      <c r="AA31" s="26">
        <f t="shared" si="71"/>
        <v>1</v>
      </c>
      <c r="AC31" s="26">
        <v>3</v>
      </c>
      <c r="AD31" s="26"/>
      <c r="AE31" s="26"/>
      <c r="AF31" s="26"/>
      <c r="AG31" s="26"/>
      <c r="AH31" s="26"/>
      <c r="AI31" s="26"/>
      <c r="AJ31" s="26">
        <f t="shared" si="72"/>
        <v>3</v>
      </c>
      <c r="AL31" s="26">
        <v>2</v>
      </c>
      <c r="AM31" s="26"/>
      <c r="AN31" s="26"/>
      <c r="AO31" s="26"/>
      <c r="AP31" s="26"/>
      <c r="AQ31" s="26"/>
      <c r="AR31" s="26"/>
      <c r="AS31" s="26">
        <f t="shared" si="73"/>
        <v>2</v>
      </c>
      <c r="AU31" s="26"/>
      <c r="AV31" s="26"/>
      <c r="AW31" s="26"/>
      <c r="AX31" s="26"/>
      <c r="AY31" s="26"/>
      <c r="AZ31" s="26"/>
      <c r="BA31" s="26"/>
      <c r="BB31" s="26">
        <f t="shared" si="74"/>
        <v>0</v>
      </c>
      <c r="BD31" s="26">
        <v>1</v>
      </c>
      <c r="BE31" s="26"/>
      <c r="BF31" s="26"/>
      <c r="BG31" s="26"/>
      <c r="BH31" s="26"/>
      <c r="BI31" s="26"/>
      <c r="BJ31" s="26"/>
      <c r="BK31" s="26">
        <f t="shared" si="75"/>
        <v>1</v>
      </c>
      <c r="BM31" s="26"/>
      <c r="BN31" s="26"/>
      <c r="BO31" s="26"/>
      <c r="BP31" s="26"/>
      <c r="BQ31" s="26"/>
      <c r="BR31" s="26"/>
      <c r="BS31" s="26"/>
      <c r="BT31" s="26">
        <f t="shared" si="76"/>
        <v>0</v>
      </c>
      <c r="BV31" s="26">
        <f t="shared" si="79"/>
        <v>9</v>
      </c>
      <c r="BW31" s="26">
        <f t="shared" si="77"/>
        <v>0</v>
      </c>
      <c r="BX31" s="26">
        <f t="shared" si="77"/>
        <v>0</v>
      </c>
      <c r="BY31" s="26">
        <f t="shared" si="77"/>
        <v>0</v>
      </c>
      <c r="BZ31" s="26">
        <f t="shared" si="77"/>
        <v>0</v>
      </c>
      <c r="CA31" s="26">
        <f t="shared" si="77"/>
        <v>0</v>
      </c>
      <c r="CB31" s="26"/>
      <c r="CC31" s="26">
        <f t="shared" si="80"/>
        <v>9</v>
      </c>
    </row>
    <row r="32" spans="1:82">
      <c r="A32" s="28" t="s">
        <v>34</v>
      </c>
      <c r="B32" s="26">
        <v>1</v>
      </c>
      <c r="C32" s="26"/>
      <c r="D32" s="26"/>
      <c r="E32" s="26"/>
      <c r="F32" s="26"/>
      <c r="G32" s="26"/>
      <c r="H32" s="26"/>
      <c r="I32" s="26">
        <f t="shared" si="69"/>
        <v>1</v>
      </c>
      <c r="K32" s="26">
        <v>1</v>
      </c>
      <c r="L32" s="26"/>
      <c r="M32" s="26"/>
      <c r="N32" s="26"/>
      <c r="O32" s="26"/>
      <c r="P32" s="26"/>
      <c r="Q32" s="26"/>
      <c r="R32" s="26">
        <f t="shared" si="70"/>
        <v>1</v>
      </c>
      <c r="T32" s="26">
        <v>1</v>
      </c>
      <c r="U32" s="26"/>
      <c r="V32" s="26"/>
      <c r="W32" s="26"/>
      <c r="X32" s="26"/>
      <c r="Y32" s="26"/>
      <c r="Z32" s="26"/>
      <c r="AA32" s="26">
        <f t="shared" si="71"/>
        <v>1</v>
      </c>
      <c r="AC32" s="26">
        <v>3</v>
      </c>
      <c r="AD32" s="26"/>
      <c r="AE32" s="26"/>
      <c r="AF32" s="26"/>
      <c r="AG32" s="26"/>
      <c r="AH32" s="26"/>
      <c r="AI32" s="26"/>
      <c r="AJ32" s="26">
        <f t="shared" si="72"/>
        <v>3</v>
      </c>
      <c r="AL32" s="26">
        <v>2</v>
      </c>
      <c r="AM32" s="26"/>
      <c r="AN32" s="26"/>
      <c r="AO32" s="26"/>
      <c r="AP32" s="26"/>
      <c r="AQ32" s="26"/>
      <c r="AR32" s="26"/>
      <c r="AS32" s="26">
        <f t="shared" si="73"/>
        <v>2</v>
      </c>
      <c r="AU32" s="26"/>
      <c r="AV32" s="26"/>
      <c r="AW32" s="26"/>
      <c r="AX32" s="26"/>
      <c r="AY32" s="26"/>
      <c r="AZ32" s="26"/>
      <c r="BA32" s="26"/>
      <c r="BB32" s="26">
        <f t="shared" si="74"/>
        <v>0</v>
      </c>
      <c r="BD32" s="26">
        <v>1</v>
      </c>
      <c r="BE32" s="26"/>
      <c r="BF32" s="26"/>
      <c r="BG32" s="26"/>
      <c r="BH32" s="26"/>
      <c r="BI32" s="26"/>
      <c r="BJ32" s="26"/>
      <c r="BK32" s="26">
        <f t="shared" si="75"/>
        <v>1</v>
      </c>
      <c r="BM32" s="26"/>
      <c r="BN32" s="26"/>
      <c r="BO32" s="26"/>
      <c r="BP32" s="26"/>
      <c r="BQ32" s="26"/>
      <c r="BR32" s="26"/>
      <c r="BS32" s="26"/>
      <c r="BT32" s="26">
        <f t="shared" si="76"/>
        <v>0</v>
      </c>
      <c r="BV32" s="26">
        <f t="shared" si="79"/>
        <v>9</v>
      </c>
      <c r="BW32" s="26">
        <f t="shared" si="77"/>
        <v>0</v>
      </c>
      <c r="BX32" s="26">
        <f t="shared" si="77"/>
        <v>0</v>
      </c>
      <c r="BY32" s="26">
        <f t="shared" si="77"/>
        <v>0</v>
      </c>
      <c r="BZ32" s="26">
        <f t="shared" si="77"/>
        <v>0</v>
      </c>
      <c r="CA32" s="26">
        <f t="shared" si="77"/>
        <v>0</v>
      </c>
      <c r="CB32" s="26"/>
      <c r="CC32" s="26">
        <f t="shared" si="80"/>
        <v>9</v>
      </c>
    </row>
    <row r="33" spans="1:81">
      <c r="A33" s="28" t="s">
        <v>35</v>
      </c>
      <c r="B33" s="26">
        <v>1</v>
      </c>
      <c r="C33" s="26"/>
      <c r="D33" s="26"/>
      <c r="E33" s="26"/>
      <c r="F33" s="26"/>
      <c r="G33" s="26"/>
      <c r="H33" s="26"/>
      <c r="I33" s="26">
        <f>SUM(B33:H33)</f>
        <v>1</v>
      </c>
      <c r="K33" s="26">
        <v>1</v>
      </c>
      <c r="L33" s="26"/>
      <c r="M33" s="26"/>
      <c r="N33" s="26"/>
      <c r="O33" s="26"/>
      <c r="P33" s="26"/>
      <c r="Q33" s="26"/>
      <c r="R33" s="26">
        <f>SUM(K33:Q33)</f>
        <v>1</v>
      </c>
      <c r="T33" s="26">
        <v>1</v>
      </c>
      <c r="U33" s="26"/>
      <c r="V33" s="26"/>
      <c r="W33" s="26"/>
      <c r="X33" s="26"/>
      <c r="Y33" s="26"/>
      <c r="Z33" s="26"/>
      <c r="AA33" s="26">
        <f>SUM(T33:Z33)</f>
        <v>1</v>
      </c>
      <c r="AC33" s="26">
        <v>2</v>
      </c>
      <c r="AD33" s="26"/>
      <c r="AE33" s="26"/>
      <c r="AF33" s="26"/>
      <c r="AG33" s="26"/>
      <c r="AH33" s="26"/>
      <c r="AI33" s="26"/>
      <c r="AJ33" s="26">
        <f>SUM(AC33:AI33)</f>
        <v>2</v>
      </c>
      <c r="AL33" s="26">
        <v>2</v>
      </c>
      <c r="AM33" s="26"/>
      <c r="AN33" s="26"/>
      <c r="AO33" s="26"/>
      <c r="AP33" s="26"/>
      <c r="AQ33" s="26"/>
      <c r="AR33" s="26"/>
      <c r="AS33" s="26">
        <f>SUM(AL33:AR33)</f>
        <v>2</v>
      </c>
      <c r="AU33" s="26"/>
      <c r="AV33" s="26"/>
      <c r="AW33" s="26"/>
      <c r="AX33" s="26"/>
      <c r="AY33" s="26"/>
      <c r="AZ33" s="26"/>
      <c r="BA33" s="26"/>
      <c r="BB33" s="26">
        <f>SUM(AU33:BA33)</f>
        <v>0</v>
      </c>
      <c r="BD33" s="26">
        <v>0</v>
      </c>
      <c r="BE33" s="26"/>
      <c r="BF33" s="26"/>
      <c r="BG33" s="26"/>
      <c r="BH33" s="26"/>
      <c r="BI33" s="26"/>
      <c r="BJ33" s="26"/>
      <c r="BK33" s="26">
        <f>SUM(BD33:BJ33)</f>
        <v>0</v>
      </c>
      <c r="BM33" s="26"/>
      <c r="BN33" s="26"/>
      <c r="BO33" s="26"/>
      <c r="BP33" s="26"/>
      <c r="BQ33" s="26"/>
      <c r="BR33" s="26"/>
      <c r="BS33" s="26"/>
      <c r="BT33" s="26">
        <f>SUM(BM33:BS33)</f>
        <v>0</v>
      </c>
      <c r="BV33" s="26">
        <f t="shared" si="79"/>
        <v>7</v>
      </c>
      <c r="BW33" s="26">
        <f t="shared" si="77"/>
        <v>0</v>
      </c>
      <c r="BX33" s="26">
        <f t="shared" si="77"/>
        <v>0</v>
      </c>
      <c r="BY33" s="26">
        <f t="shared" si="77"/>
        <v>0</v>
      </c>
      <c r="BZ33" s="26">
        <f t="shared" si="77"/>
        <v>0</v>
      </c>
      <c r="CA33" s="26">
        <f t="shared" si="77"/>
        <v>0</v>
      </c>
      <c r="CB33" s="26"/>
      <c r="CC33" s="26">
        <f>SUM(BV33:CB33)</f>
        <v>7</v>
      </c>
    </row>
    <row r="34" spans="1:81">
      <c r="A34" s="28" t="s">
        <v>36</v>
      </c>
      <c r="B34" s="26">
        <v>1</v>
      </c>
      <c r="C34" s="26"/>
      <c r="D34" s="26"/>
      <c r="E34" s="26"/>
      <c r="F34" s="26"/>
      <c r="G34" s="26"/>
      <c r="H34" s="26"/>
      <c r="I34" s="26">
        <f>SUM(B34:H34)</f>
        <v>1</v>
      </c>
      <c r="K34" s="26">
        <v>2</v>
      </c>
      <c r="L34" s="26"/>
      <c r="M34" s="26"/>
      <c r="N34" s="26"/>
      <c r="O34" s="26"/>
      <c r="P34" s="26"/>
      <c r="Q34" s="26"/>
      <c r="R34" s="26">
        <f>SUM(K34:Q34)</f>
        <v>2</v>
      </c>
      <c r="T34" s="26">
        <v>3</v>
      </c>
      <c r="U34" s="26"/>
      <c r="V34" s="26"/>
      <c r="W34" s="26"/>
      <c r="X34" s="26"/>
      <c r="Y34" s="26"/>
      <c r="Z34" s="26"/>
      <c r="AA34" s="26">
        <f>SUM(T34:Z34)</f>
        <v>3</v>
      </c>
      <c r="AC34" s="26">
        <v>3</v>
      </c>
      <c r="AD34" s="26"/>
      <c r="AE34" s="26"/>
      <c r="AF34" s="26"/>
      <c r="AG34" s="26"/>
      <c r="AH34" s="26"/>
      <c r="AI34" s="26"/>
      <c r="AJ34" s="26">
        <f>SUM(AC34:AI34)</f>
        <v>3</v>
      </c>
      <c r="AL34" s="26">
        <v>3</v>
      </c>
      <c r="AM34" s="26"/>
      <c r="AN34" s="26"/>
      <c r="AO34" s="26"/>
      <c r="AP34" s="26"/>
      <c r="AQ34" s="26"/>
      <c r="AR34" s="26"/>
      <c r="AS34" s="26">
        <f>SUM(AL34:AR34)</f>
        <v>3</v>
      </c>
      <c r="AU34" s="26"/>
      <c r="AV34" s="26"/>
      <c r="AW34" s="26"/>
      <c r="AX34" s="26"/>
      <c r="AY34" s="26"/>
      <c r="AZ34" s="26"/>
      <c r="BA34" s="26"/>
      <c r="BB34" s="26">
        <f>SUM(AU34:BA34)</f>
        <v>0</v>
      </c>
      <c r="BD34" s="26">
        <v>1</v>
      </c>
      <c r="BE34" s="26"/>
      <c r="BF34" s="26"/>
      <c r="BG34" s="26"/>
      <c r="BH34" s="26"/>
      <c r="BI34" s="26"/>
      <c r="BJ34" s="26"/>
      <c r="BK34" s="26">
        <f>SUM(BD34:BJ34)</f>
        <v>1</v>
      </c>
      <c r="BM34" s="26"/>
      <c r="BN34" s="26"/>
      <c r="BO34" s="26"/>
      <c r="BP34" s="26"/>
      <c r="BQ34" s="26"/>
      <c r="BR34" s="26"/>
      <c r="BS34" s="26"/>
      <c r="BT34" s="26">
        <f>SUM(BM34:BS34)</f>
        <v>0</v>
      </c>
      <c r="BV34" s="26">
        <f t="shared" si="79"/>
        <v>13</v>
      </c>
      <c r="BW34" s="26">
        <f t="shared" si="77"/>
        <v>0</v>
      </c>
      <c r="BX34" s="26">
        <f t="shared" si="77"/>
        <v>0</v>
      </c>
      <c r="BY34" s="26">
        <f t="shared" si="77"/>
        <v>0</v>
      </c>
      <c r="BZ34" s="26">
        <f t="shared" si="77"/>
        <v>0</v>
      </c>
      <c r="CA34" s="26">
        <f t="shared" si="77"/>
        <v>0</v>
      </c>
      <c r="CB34" s="26"/>
      <c r="CC34" s="26">
        <f>SUM(BV34:CB34)</f>
        <v>13</v>
      </c>
    </row>
    <row r="35" spans="1:81">
      <c r="A35" s="29" t="s">
        <v>37</v>
      </c>
      <c r="B35" s="26">
        <v>0.5</v>
      </c>
      <c r="C35" s="26"/>
      <c r="D35" s="26"/>
      <c r="E35" s="26"/>
      <c r="F35" s="26"/>
      <c r="G35" s="26"/>
      <c r="H35" s="26"/>
      <c r="I35" s="26">
        <f>SUM(B35:H35)</f>
        <v>0.5</v>
      </c>
      <c r="K35" s="26">
        <v>1</v>
      </c>
      <c r="L35" s="26"/>
      <c r="M35" s="26"/>
      <c r="N35" s="26"/>
      <c r="O35" s="26"/>
      <c r="P35" s="26"/>
      <c r="Q35" s="26"/>
      <c r="R35" s="26">
        <f>SUM(K35:Q35)</f>
        <v>1</v>
      </c>
      <c r="T35" s="26">
        <v>2</v>
      </c>
      <c r="U35" s="26"/>
      <c r="V35" s="26"/>
      <c r="W35" s="26"/>
      <c r="X35" s="26"/>
      <c r="Y35" s="26"/>
      <c r="Z35" s="26"/>
      <c r="AA35" s="26">
        <f>SUM(T35:Z35)</f>
        <v>2</v>
      </c>
      <c r="AC35" s="26">
        <v>1</v>
      </c>
      <c r="AD35" s="26"/>
      <c r="AE35" s="26"/>
      <c r="AF35" s="26"/>
      <c r="AG35" s="26"/>
      <c r="AH35" s="26"/>
      <c r="AI35" s="26"/>
      <c r="AJ35" s="26">
        <f>SUM(AC35:AI35)</f>
        <v>1</v>
      </c>
      <c r="AL35" s="26">
        <v>2</v>
      </c>
      <c r="AM35" s="26"/>
      <c r="AN35" s="26"/>
      <c r="AO35" s="26"/>
      <c r="AP35" s="26"/>
      <c r="AQ35" s="26"/>
      <c r="AR35" s="26"/>
      <c r="AS35" s="26">
        <f>SUM(AL35:AR35)</f>
        <v>2</v>
      </c>
      <c r="AU35" s="26"/>
      <c r="AV35" s="26"/>
      <c r="AW35" s="26"/>
      <c r="AX35" s="26"/>
      <c r="AY35" s="26"/>
      <c r="AZ35" s="26"/>
      <c r="BA35" s="26"/>
      <c r="BB35" s="26">
        <f>SUM(AU35:BA35)</f>
        <v>0</v>
      </c>
      <c r="BD35" s="26">
        <v>0</v>
      </c>
      <c r="BE35" s="26"/>
      <c r="BF35" s="26"/>
      <c r="BG35" s="26"/>
      <c r="BH35" s="26"/>
      <c r="BI35" s="26"/>
      <c r="BJ35" s="26"/>
      <c r="BK35" s="26">
        <f>SUM(BD35:BJ35)</f>
        <v>0</v>
      </c>
      <c r="BM35" s="26">
        <v>0</v>
      </c>
      <c r="BN35" s="26"/>
      <c r="BO35" s="26"/>
      <c r="BP35" s="26"/>
      <c r="BQ35" s="26"/>
      <c r="BR35" s="26"/>
      <c r="BS35" s="26"/>
      <c r="BT35" s="26">
        <f>SUM(BM35:BS35)</f>
        <v>0</v>
      </c>
      <c r="BV35" s="26">
        <f t="shared" si="79"/>
        <v>6.5</v>
      </c>
      <c r="BW35" s="26">
        <f t="shared" si="77"/>
        <v>0</v>
      </c>
      <c r="BX35" s="26">
        <f t="shared" si="77"/>
        <v>0</v>
      </c>
      <c r="BY35" s="26">
        <f t="shared" si="77"/>
        <v>0</v>
      </c>
      <c r="BZ35" s="26">
        <f t="shared" si="77"/>
        <v>0</v>
      </c>
      <c r="CA35" s="26">
        <f t="shared" si="77"/>
        <v>0</v>
      </c>
      <c r="CB35" s="26"/>
      <c r="CC35" s="26">
        <f>SUM(BV35:CB35)</f>
        <v>6.5</v>
      </c>
    </row>
    <row r="36" spans="1:81" ht="15">
      <c r="A36" s="24" t="s">
        <v>38</v>
      </c>
      <c r="B36" s="30">
        <f>SUM(B27:B35)</f>
        <v>42.5</v>
      </c>
      <c r="C36" s="30">
        <f t="shared" ref="C36:H36" si="81">SUM(C27:C35)</f>
        <v>5</v>
      </c>
      <c r="D36" s="30">
        <f t="shared" si="81"/>
        <v>0</v>
      </c>
      <c r="E36" s="30"/>
      <c r="F36" s="30">
        <f t="shared" si="81"/>
        <v>0</v>
      </c>
      <c r="G36" s="30">
        <f t="shared" si="81"/>
        <v>0</v>
      </c>
      <c r="H36" s="30">
        <f t="shared" si="81"/>
        <v>0</v>
      </c>
      <c r="I36" s="30">
        <f>SUM(I27:I35)</f>
        <v>47.5</v>
      </c>
      <c r="J36" s="7"/>
      <c r="K36" s="30">
        <f>SUM(K27:K35)</f>
        <v>44</v>
      </c>
      <c r="L36" s="30">
        <f t="shared" ref="L36:Q36" si="82">SUM(L27:L35)</f>
        <v>4</v>
      </c>
      <c r="M36" s="30">
        <f t="shared" si="82"/>
        <v>0</v>
      </c>
      <c r="N36" s="30"/>
      <c r="O36" s="30">
        <f t="shared" si="82"/>
        <v>0</v>
      </c>
      <c r="P36" s="30">
        <f t="shared" si="82"/>
        <v>0</v>
      </c>
      <c r="Q36" s="30">
        <f t="shared" si="82"/>
        <v>0</v>
      </c>
      <c r="R36" s="30">
        <f>SUM(R27:R35)</f>
        <v>48</v>
      </c>
      <c r="T36" s="30">
        <f>SUM(T27:T35)</f>
        <v>56</v>
      </c>
      <c r="U36" s="30">
        <f t="shared" ref="U36:Z36" si="83">SUM(U27:U35)</f>
        <v>5</v>
      </c>
      <c r="V36" s="30">
        <f t="shared" si="83"/>
        <v>0</v>
      </c>
      <c r="W36" s="30"/>
      <c r="X36" s="30">
        <f t="shared" si="83"/>
        <v>0</v>
      </c>
      <c r="Y36" s="30">
        <f t="shared" si="83"/>
        <v>0</v>
      </c>
      <c r="Z36" s="30">
        <f t="shared" si="83"/>
        <v>0</v>
      </c>
      <c r="AA36" s="30">
        <f>SUM(AA27:AA35)</f>
        <v>61</v>
      </c>
      <c r="AC36" s="30">
        <f>SUM(AC27:AC35)</f>
        <v>102</v>
      </c>
      <c r="AD36" s="30">
        <f t="shared" ref="AD36:AI36" si="84">SUM(AD27:AD35)</f>
        <v>13</v>
      </c>
      <c r="AE36" s="30">
        <f t="shared" si="84"/>
        <v>0</v>
      </c>
      <c r="AF36" s="30"/>
      <c r="AG36" s="30">
        <f t="shared" si="84"/>
        <v>0</v>
      </c>
      <c r="AH36" s="30">
        <f t="shared" si="84"/>
        <v>0</v>
      </c>
      <c r="AI36" s="30">
        <f t="shared" si="84"/>
        <v>0</v>
      </c>
      <c r="AJ36" s="30">
        <f>SUM(AJ27:AJ35)</f>
        <v>115</v>
      </c>
      <c r="AL36" s="30">
        <f>SUM(AL27:AL35)</f>
        <v>98</v>
      </c>
      <c r="AM36" s="30">
        <f t="shared" ref="AM36:AR36" si="85">SUM(AM27:AM35)</f>
        <v>12</v>
      </c>
      <c r="AN36" s="30">
        <f t="shared" si="85"/>
        <v>0</v>
      </c>
      <c r="AO36" s="30"/>
      <c r="AP36" s="30">
        <f t="shared" si="85"/>
        <v>0</v>
      </c>
      <c r="AQ36" s="30">
        <f t="shared" si="85"/>
        <v>0</v>
      </c>
      <c r="AR36" s="30">
        <f t="shared" si="85"/>
        <v>0</v>
      </c>
      <c r="AS36" s="30">
        <f>SUM(AS27:AS35)</f>
        <v>110</v>
      </c>
      <c r="AU36" s="30">
        <f>SUM(AU27:AU35)</f>
        <v>0</v>
      </c>
      <c r="AV36" s="30">
        <f t="shared" ref="AV36:BA36" si="86">SUM(AV27:AV35)</f>
        <v>1</v>
      </c>
      <c r="AW36" s="30">
        <f t="shared" si="86"/>
        <v>0</v>
      </c>
      <c r="AX36" s="30"/>
      <c r="AY36" s="30">
        <f t="shared" si="86"/>
        <v>0</v>
      </c>
      <c r="AZ36" s="30">
        <f t="shared" si="86"/>
        <v>0</v>
      </c>
      <c r="BA36" s="30">
        <f t="shared" si="86"/>
        <v>0</v>
      </c>
      <c r="BB36" s="30">
        <f>SUM(BB27:BB35)</f>
        <v>1</v>
      </c>
      <c r="BD36" s="30">
        <f>SUM(BD27:BD35)</f>
        <v>23</v>
      </c>
      <c r="BE36" s="30">
        <f t="shared" ref="BE36:BJ36" si="87">SUM(BE27:BE35)</f>
        <v>1</v>
      </c>
      <c r="BF36" s="30">
        <f t="shared" si="87"/>
        <v>0</v>
      </c>
      <c r="BG36" s="30"/>
      <c r="BH36" s="30">
        <f t="shared" si="87"/>
        <v>0</v>
      </c>
      <c r="BI36" s="30">
        <f t="shared" si="87"/>
        <v>0</v>
      </c>
      <c r="BJ36" s="30">
        <f t="shared" si="87"/>
        <v>0</v>
      </c>
      <c r="BK36" s="30">
        <f>SUM(BK27:BK35)</f>
        <v>24</v>
      </c>
      <c r="BM36" s="30">
        <f>SUM(BM27:BM35)</f>
        <v>1</v>
      </c>
      <c r="BN36" s="30">
        <f t="shared" ref="BN36:BS36" si="88">SUM(BN27:BN35)</f>
        <v>0</v>
      </c>
      <c r="BO36" s="30">
        <f t="shared" si="88"/>
        <v>0</v>
      </c>
      <c r="BP36" s="30"/>
      <c r="BQ36" s="30">
        <f t="shared" si="88"/>
        <v>0</v>
      </c>
      <c r="BR36" s="30">
        <f t="shared" si="88"/>
        <v>0</v>
      </c>
      <c r="BS36" s="30">
        <f t="shared" si="88"/>
        <v>0</v>
      </c>
      <c r="BT36" s="30">
        <f>SUM(BT27:BT35)</f>
        <v>1</v>
      </c>
      <c r="BV36" s="30">
        <f>SUM(BV27:BV35)</f>
        <v>366.5</v>
      </c>
      <c r="BW36" s="30">
        <f t="shared" ref="BW36:BX36" si="89">SUM(BW27:BW35)</f>
        <v>41</v>
      </c>
      <c r="BX36" s="30">
        <f t="shared" si="89"/>
        <v>0</v>
      </c>
      <c r="BY36" s="30"/>
      <c r="BZ36" s="30">
        <f t="shared" ref="BZ36:CB36" si="90">SUM(BZ27:BZ35)</f>
        <v>0</v>
      </c>
      <c r="CA36" s="30">
        <f t="shared" si="90"/>
        <v>0</v>
      </c>
      <c r="CB36" s="30">
        <f t="shared" si="90"/>
        <v>0</v>
      </c>
      <c r="CC36" s="30">
        <f>SUM(CC27:CC35)</f>
        <v>407.5</v>
      </c>
    </row>
    <row r="37" spans="1:81" ht="15">
      <c r="A37" s="31"/>
      <c r="B37" s="5"/>
      <c r="C37" s="5"/>
      <c r="D37" s="5"/>
      <c r="E37" s="5"/>
      <c r="F37" s="5"/>
      <c r="G37" s="5"/>
      <c r="H37" s="5"/>
      <c r="I37" s="5"/>
      <c r="J37" s="7"/>
      <c r="K37" s="5"/>
      <c r="L37" s="5"/>
      <c r="M37" s="5"/>
      <c r="N37" s="5"/>
      <c r="O37" s="5"/>
      <c r="P37" s="5"/>
      <c r="Q37" s="5"/>
      <c r="R37" s="5"/>
      <c r="T37" s="5"/>
      <c r="U37" s="5"/>
      <c r="V37" s="5"/>
      <c r="W37" s="5"/>
      <c r="X37" s="5"/>
      <c r="Y37" s="5"/>
      <c r="Z37" s="5"/>
      <c r="AA37" s="5"/>
      <c r="AC37" s="5"/>
      <c r="AD37" s="5"/>
      <c r="AE37" s="5"/>
      <c r="AF37" s="5"/>
      <c r="AG37" s="5"/>
      <c r="AH37" s="5"/>
      <c r="AI37" s="5"/>
      <c r="AJ37" s="5"/>
      <c r="AL37" s="5"/>
      <c r="AM37" s="5"/>
      <c r="AN37" s="5"/>
      <c r="AO37" s="5"/>
      <c r="AP37" s="5"/>
      <c r="AQ37" s="5"/>
      <c r="AR37" s="5"/>
      <c r="AS37" s="5"/>
      <c r="AU37" s="5"/>
      <c r="AV37" s="5"/>
      <c r="AW37" s="5"/>
      <c r="AX37" s="5"/>
      <c r="AY37" s="5"/>
      <c r="AZ37" s="5"/>
      <c r="BA37" s="5"/>
      <c r="BB37" s="5"/>
      <c r="BD37" s="5"/>
      <c r="BE37" s="5"/>
      <c r="BF37" s="5"/>
      <c r="BG37" s="5"/>
      <c r="BH37" s="5"/>
      <c r="BI37" s="5"/>
      <c r="BJ37" s="5"/>
      <c r="BK37" s="5"/>
      <c r="BM37" s="5"/>
      <c r="BN37" s="5"/>
      <c r="BO37" s="5"/>
      <c r="BP37" s="5"/>
      <c r="BQ37" s="5"/>
      <c r="BR37" s="5"/>
      <c r="BS37" s="5"/>
      <c r="BT37" s="5"/>
      <c r="BV37" s="5"/>
      <c r="BW37" s="5"/>
      <c r="BX37" s="5"/>
      <c r="BY37" s="5"/>
      <c r="BZ37" s="5"/>
      <c r="CA37" s="5"/>
      <c r="CB37" s="5"/>
      <c r="CC37" s="5"/>
    </row>
    <row r="38" spans="1:81" ht="15">
      <c r="A38" s="24" t="s">
        <v>39</v>
      </c>
      <c r="B38" s="18" t="str">
        <f t="shared" ref="B38:I38" si="91">B1</f>
        <v>Operating</v>
      </c>
      <c r="C38" s="18" t="str">
        <f t="shared" si="91"/>
        <v>SPED</v>
      </c>
      <c r="D38" s="18" t="str">
        <f t="shared" si="91"/>
        <v>NSLP</v>
      </c>
      <c r="E38" s="18" t="str">
        <f t="shared" si="91"/>
        <v>Other</v>
      </c>
      <c r="F38" s="18" t="str">
        <f t="shared" si="91"/>
        <v>Title I</v>
      </c>
      <c r="G38" s="18" t="str">
        <f t="shared" si="91"/>
        <v>SGF</v>
      </c>
      <c r="H38" s="18" t="str">
        <f t="shared" si="91"/>
        <v>Title III</v>
      </c>
      <c r="I38" s="18" t="str">
        <f t="shared" si="91"/>
        <v>Horizon</v>
      </c>
      <c r="J38" s="19"/>
      <c r="K38" s="18" t="str">
        <f t="shared" ref="K38:R38" si="92">K1</f>
        <v>Operating</v>
      </c>
      <c r="L38" s="18" t="str">
        <f t="shared" si="92"/>
        <v>SPED</v>
      </c>
      <c r="M38" s="18" t="str">
        <f t="shared" si="92"/>
        <v>NSLP</v>
      </c>
      <c r="N38" s="18" t="str">
        <f t="shared" si="92"/>
        <v>Other</v>
      </c>
      <c r="O38" s="18" t="str">
        <f t="shared" si="92"/>
        <v>Title I</v>
      </c>
      <c r="P38" s="18" t="str">
        <f t="shared" si="92"/>
        <v>SGF</v>
      </c>
      <c r="Q38" s="18" t="str">
        <f t="shared" si="92"/>
        <v>Title III</v>
      </c>
      <c r="R38" s="18" t="str">
        <f t="shared" si="92"/>
        <v>St. Rose</v>
      </c>
      <c r="T38" s="18" t="str">
        <f t="shared" ref="T38:AA38" si="93">T1</f>
        <v>Operating</v>
      </c>
      <c r="U38" s="18" t="str">
        <f t="shared" si="93"/>
        <v>SPED</v>
      </c>
      <c r="V38" s="18" t="str">
        <f t="shared" si="93"/>
        <v>NSLP</v>
      </c>
      <c r="W38" s="18" t="str">
        <f t="shared" si="93"/>
        <v>Other</v>
      </c>
      <c r="X38" s="18" t="str">
        <f t="shared" si="93"/>
        <v>Title I</v>
      </c>
      <c r="Y38" s="18" t="str">
        <f t="shared" si="93"/>
        <v>SGF</v>
      </c>
      <c r="Z38" s="18" t="str">
        <f t="shared" si="93"/>
        <v>Title III</v>
      </c>
      <c r="AA38" s="18" t="str">
        <f t="shared" si="93"/>
        <v>Inspirada</v>
      </c>
      <c r="AC38" s="18" t="str">
        <f t="shared" ref="AC38:AJ38" si="94">AC1</f>
        <v>Operating</v>
      </c>
      <c r="AD38" s="18" t="str">
        <f t="shared" si="94"/>
        <v>SPED</v>
      </c>
      <c r="AE38" s="18" t="str">
        <f t="shared" si="94"/>
        <v>NSLP</v>
      </c>
      <c r="AF38" s="18" t="str">
        <f t="shared" si="94"/>
        <v>Other</v>
      </c>
      <c r="AG38" s="18" t="str">
        <f t="shared" si="94"/>
        <v>Title I</v>
      </c>
      <c r="AH38" s="18" t="str">
        <f t="shared" si="94"/>
        <v>SGF</v>
      </c>
      <c r="AI38" s="18" t="str">
        <f t="shared" si="94"/>
        <v>Title III</v>
      </c>
      <c r="AJ38" s="18" t="str">
        <f t="shared" si="94"/>
        <v>Cadence</v>
      </c>
      <c r="AL38" s="18" t="str">
        <f t="shared" ref="AL38:AS38" si="95">AL1</f>
        <v>Operating</v>
      </c>
      <c r="AM38" s="18" t="str">
        <f t="shared" si="95"/>
        <v>SPED</v>
      </c>
      <c r="AN38" s="18" t="str">
        <f t="shared" si="95"/>
        <v>NSLP</v>
      </c>
      <c r="AO38" s="18" t="str">
        <f t="shared" si="95"/>
        <v>Other</v>
      </c>
      <c r="AP38" s="18" t="str">
        <f t="shared" si="95"/>
        <v>Title I</v>
      </c>
      <c r="AQ38" s="18" t="str">
        <f t="shared" si="95"/>
        <v>SGF</v>
      </c>
      <c r="AR38" s="18" t="str">
        <f t="shared" si="95"/>
        <v>Title III</v>
      </c>
      <c r="AS38" s="18" t="str">
        <f t="shared" si="95"/>
        <v>Sloan</v>
      </c>
      <c r="AU38" s="18" t="str">
        <f t="shared" ref="AU38:BB38" si="96">AU1</f>
        <v>Operating</v>
      </c>
      <c r="AV38" s="18" t="str">
        <f t="shared" si="96"/>
        <v>SPED</v>
      </c>
      <c r="AW38" s="18" t="str">
        <f t="shared" si="96"/>
        <v>NSLP</v>
      </c>
      <c r="AX38" s="18" t="str">
        <f t="shared" si="96"/>
        <v>Other</v>
      </c>
      <c r="AY38" s="18" t="str">
        <f t="shared" si="96"/>
        <v>Title I</v>
      </c>
      <c r="AZ38" s="18" t="str">
        <f t="shared" si="96"/>
        <v>SGF</v>
      </c>
      <c r="BA38" s="18" t="str">
        <f t="shared" si="96"/>
        <v>Title III</v>
      </c>
      <c r="BB38" s="18" t="str">
        <f t="shared" si="96"/>
        <v>Virtual</v>
      </c>
      <c r="BD38" s="18" t="str">
        <f t="shared" ref="BD38:BK38" si="97">BD1</f>
        <v>Operating</v>
      </c>
      <c r="BE38" s="18" t="str">
        <f t="shared" si="97"/>
        <v>SPED</v>
      </c>
      <c r="BF38" s="18" t="str">
        <f t="shared" si="97"/>
        <v>NSLP</v>
      </c>
      <c r="BG38" s="18" t="str">
        <f t="shared" si="97"/>
        <v>Other</v>
      </c>
      <c r="BH38" s="18" t="str">
        <f t="shared" si="97"/>
        <v>Title I</v>
      </c>
      <c r="BI38" s="18" t="str">
        <f t="shared" si="97"/>
        <v>SGF</v>
      </c>
      <c r="BJ38" s="18" t="str">
        <f t="shared" si="97"/>
        <v>Title III</v>
      </c>
      <c r="BK38" s="18" t="str">
        <f t="shared" si="97"/>
        <v>Springs</v>
      </c>
      <c r="BM38" s="18" t="str">
        <f t="shared" ref="BM38:BT38" si="98">BM1</f>
        <v>Operating</v>
      </c>
      <c r="BN38" s="18" t="str">
        <f t="shared" si="98"/>
        <v>SPED</v>
      </c>
      <c r="BO38" s="18" t="str">
        <f t="shared" si="98"/>
        <v>NSLP</v>
      </c>
      <c r="BP38" s="18" t="str">
        <f t="shared" si="98"/>
        <v>Other</v>
      </c>
      <c r="BQ38" s="18" t="str">
        <f t="shared" si="98"/>
        <v>Title I</v>
      </c>
      <c r="BR38" s="18" t="str">
        <f t="shared" si="98"/>
        <v>SGF</v>
      </c>
      <c r="BS38" s="18" t="str">
        <f t="shared" si="98"/>
        <v>Title III</v>
      </c>
      <c r="BT38" s="18" t="str">
        <f t="shared" si="98"/>
        <v>Exec. Office</v>
      </c>
      <c r="BV38" s="18" t="str">
        <f t="shared" ref="BV38:CC38" si="99">BV1</f>
        <v>Operating</v>
      </c>
      <c r="BW38" s="18" t="str">
        <f t="shared" si="99"/>
        <v>SPED</v>
      </c>
      <c r="BX38" s="18" t="str">
        <f t="shared" si="99"/>
        <v>NSLP</v>
      </c>
      <c r="BY38" s="18" t="str">
        <f t="shared" si="99"/>
        <v>Other</v>
      </c>
      <c r="BZ38" s="18" t="str">
        <f t="shared" si="99"/>
        <v>Title I</v>
      </c>
      <c r="CA38" s="18" t="str">
        <f t="shared" si="99"/>
        <v>SGF</v>
      </c>
      <c r="CB38" s="18" t="str">
        <f t="shared" si="99"/>
        <v>Title III</v>
      </c>
      <c r="CC38" s="18" t="str">
        <f t="shared" si="99"/>
        <v>Systemwide</v>
      </c>
    </row>
    <row r="39" spans="1:81">
      <c r="A39" s="25" t="s">
        <v>40</v>
      </c>
      <c r="B39" s="27">
        <v>1</v>
      </c>
      <c r="C39" s="27"/>
      <c r="D39" s="27"/>
      <c r="E39" s="27"/>
      <c r="F39" s="27"/>
      <c r="G39" s="27"/>
      <c r="H39" s="27"/>
      <c r="I39" s="26">
        <f t="shared" ref="I39:I60" si="100">SUM(B39:H39)</f>
        <v>1</v>
      </c>
      <c r="K39" s="27">
        <v>1</v>
      </c>
      <c r="L39" s="27"/>
      <c r="M39" s="27"/>
      <c r="N39" s="27"/>
      <c r="O39" s="27"/>
      <c r="P39" s="27"/>
      <c r="Q39" s="27"/>
      <c r="R39" s="26">
        <f t="shared" ref="R39:R60" si="101">SUM(K39:Q39)</f>
        <v>1</v>
      </c>
      <c r="T39" s="27">
        <v>1</v>
      </c>
      <c r="U39" s="27"/>
      <c r="V39" s="27"/>
      <c r="W39" s="27"/>
      <c r="X39" s="27"/>
      <c r="Y39" s="27"/>
      <c r="Z39" s="27"/>
      <c r="AA39" s="26">
        <f t="shared" ref="AA39:AA60" si="102">SUM(T39:Z39)</f>
        <v>1</v>
      </c>
      <c r="AC39" s="27">
        <v>1</v>
      </c>
      <c r="AD39" s="27"/>
      <c r="AE39" s="27"/>
      <c r="AF39" s="27"/>
      <c r="AG39" s="27"/>
      <c r="AH39" s="27"/>
      <c r="AI39" s="27"/>
      <c r="AJ39" s="26">
        <f t="shared" ref="AJ39:AJ60" si="103">SUM(AC39:AI39)</f>
        <v>1</v>
      </c>
      <c r="AL39" s="27">
        <v>1</v>
      </c>
      <c r="AM39" s="27"/>
      <c r="AN39" s="27"/>
      <c r="AO39" s="27"/>
      <c r="AP39" s="27"/>
      <c r="AQ39" s="27"/>
      <c r="AR39" s="27"/>
      <c r="AS39" s="26">
        <f t="shared" ref="AS39:AS60" si="104">SUM(AL39:AR39)</f>
        <v>1</v>
      </c>
      <c r="AU39" s="27"/>
      <c r="AV39" s="27"/>
      <c r="AW39" s="27"/>
      <c r="AX39" s="27"/>
      <c r="AY39" s="27"/>
      <c r="AZ39" s="27"/>
      <c r="BA39" s="27"/>
      <c r="BB39" s="26">
        <f t="shared" ref="BB39:BB60" si="105">SUM(AU39:BA39)</f>
        <v>0</v>
      </c>
      <c r="BD39" s="27">
        <v>1</v>
      </c>
      <c r="BE39" s="27"/>
      <c r="BF39" s="27"/>
      <c r="BG39" s="27"/>
      <c r="BH39" s="27"/>
      <c r="BI39" s="27"/>
      <c r="BJ39" s="27"/>
      <c r="BK39" s="26">
        <f t="shared" ref="BK39:BK60" si="106">SUM(BD39:BJ39)</f>
        <v>1</v>
      </c>
      <c r="BM39" s="27">
        <v>0</v>
      </c>
      <c r="BN39" s="27"/>
      <c r="BO39" s="27"/>
      <c r="BP39" s="27"/>
      <c r="BQ39" s="27"/>
      <c r="BR39" s="27"/>
      <c r="BS39" s="27"/>
      <c r="BT39" s="26">
        <f t="shared" ref="BT39:BT60" si="107">SUM(BM39:BS39)</f>
        <v>0</v>
      </c>
      <c r="BV39" s="26">
        <f>B39+K39+T39+AC39+AL39+AU39+BD39+BM39</f>
        <v>6</v>
      </c>
      <c r="BW39" s="26">
        <f t="shared" ref="BW39:CA54" si="108">C39+L39+U39+AD39+AM39+AV39+BE39+BN39</f>
        <v>0</v>
      </c>
      <c r="BX39" s="26">
        <f t="shared" si="108"/>
        <v>0</v>
      </c>
      <c r="BY39" s="26">
        <f t="shared" si="108"/>
        <v>0</v>
      </c>
      <c r="BZ39" s="26">
        <f t="shared" si="108"/>
        <v>0</v>
      </c>
      <c r="CA39" s="26">
        <f t="shared" si="108"/>
        <v>0</v>
      </c>
      <c r="CB39" s="27"/>
      <c r="CC39" s="26">
        <f t="shared" ref="CC39" si="109">SUM(BV39:CB39)</f>
        <v>6</v>
      </c>
    </row>
    <row r="40" spans="1:81">
      <c r="A40" s="25" t="s">
        <v>41</v>
      </c>
      <c r="B40" s="27">
        <v>3</v>
      </c>
      <c r="C40" s="27"/>
      <c r="D40" s="27"/>
      <c r="E40" s="27"/>
      <c r="F40" s="27"/>
      <c r="G40" s="27"/>
      <c r="H40" s="27"/>
      <c r="I40" s="26">
        <f>SUM(B40:H40)</f>
        <v>3</v>
      </c>
      <c r="K40" s="27">
        <v>3</v>
      </c>
      <c r="L40" s="27"/>
      <c r="M40" s="27"/>
      <c r="N40" s="27"/>
      <c r="O40" s="27"/>
      <c r="P40" s="27"/>
      <c r="Q40" s="27"/>
      <c r="R40" s="26">
        <f>SUM(K40:Q40)</f>
        <v>3</v>
      </c>
      <c r="T40" s="27">
        <v>3</v>
      </c>
      <c r="U40" s="27"/>
      <c r="V40" s="27"/>
      <c r="W40" s="27"/>
      <c r="X40" s="27"/>
      <c r="Y40" s="27"/>
      <c r="Z40" s="27"/>
      <c r="AA40" s="26">
        <f>SUM(T40:Z40)</f>
        <v>3</v>
      </c>
      <c r="AC40" s="27">
        <v>5</v>
      </c>
      <c r="AD40" s="27"/>
      <c r="AE40" s="27"/>
      <c r="AF40" s="27"/>
      <c r="AG40" s="27"/>
      <c r="AH40" s="27"/>
      <c r="AI40" s="27"/>
      <c r="AJ40" s="26">
        <f>SUM(AC40:AI40)</f>
        <v>5</v>
      </c>
      <c r="AL40" s="27">
        <v>4</v>
      </c>
      <c r="AM40" s="27"/>
      <c r="AN40" s="27"/>
      <c r="AO40" s="27"/>
      <c r="AP40" s="27"/>
      <c r="AQ40" s="27"/>
      <c r="AR40" s="27"/>
      <c r="AS40" s="26">
        <f>SUM(AL40:AR40)</f>
        <v>4</v>
      </c>
      <c r="AU40" s="27"/>
      <c r="AV40" s="27"/>
      <c r="AW40" s="27"/>
      <c r="AX40" s="27"/>
      <c r="AY40" s="27"/>
      <c r="AZ40" s="27"/>
      <c r="BA40" s="27"/>
      <c r="BB40" s="26">
        <f>SUM(AU40:BA40)</f>
        <v>0</v>
      </c>
      <c r="BD40" s="27">
        <v>1</v>
      </c>
      <c r="BE40" s="27"/>
      <c r="BF40" s="27"/>
      <c r="BG40" s="27"/>
      <c r="BH40" s="27"/>
      <c r="BI40" s="27"/>
      <c r="BJ40" s="27"/>
      <c r="BK40" s="26">
        <f>SUM(BD40:BJ40)</f>
        <v>1</v>
      </c>
      <c r="BM40" s="27">
        <v>0</v>
      </c>
      <c r="BN40" s="27"/>
      <c r="BO40" s="27"/>
      <c r="BP40" s="27"/>
      <c r="BQ40" s="27"/>
      <c r="BR40" s="27"/>
      <c r="BS40" s="27"/>
      <c r="BT40" s="26">
        <f>SUM(BM40:BS40)</f>
        <v>0</v>
      </c>
      <c r="BV40" s="26">
        <f t="shared" ref="BV40:CA60" si="110">B40+K40+T40+AC40+AL40+AU40+BD40+BM40</f>
        <v>19</v>
      </c>
      <c r="BW40" s="26">
        <f t="shared" si="108"/>
        <v>0</v>
      </c>
      <c r="BX40" s="26">
        <f t="shared" si="108"/>
        <v>0</v>
      </c>
      <c r="BY40" s="26">
        <f t="shared" si="108"/>
        <v>0</v>
      </c>
      <c r="BZ40" s="26">
        <f t="shared" si="108"/>
        <v>0</v>
      </c>
      <c r="CA40" s="26">
        <f t="shared" si="108"/>
        <v>0</v>
      </c>
      <c r="CB40" s="27"/>
      <c r="CC40" s="26">
        <f>SUM(BV40:CB40)</f>
        <v>19</v>
      </c>
    </row>
    <row r="41" spans="1:81">
      <c r="A41" s="29" t="s">
        <v>42</v>
      </c>
      <c r="B41" s="27">
        <v>0</v>
      </c>
      <c r="C41" s="27"/>
      <c r="D41" s="27"/>
      <c r="E41" s="27"/>
      <c r="F41" s="27"/>
      <c r="G41" s="27"/>
      <c r="H41" s="27"/>
      <c r="I41" s="26">
        <f>SUM(B41:H41)</f>
        <v>0</v>
      </c>
      <c r="K41" s="27">
        <v>0</v>
      </c>
      <c r="L41" s="27"/>
      <c r="M41" s="27"/>
      <c r="N41" s="27"/>
      <c r="O41" s="27"/>
      <c r="P41" s="27"/>
      <c r="Q41" s="27"/>
      <c r="R41" s="26">
        <f>SUM(K41:Q41)</f>
        <v>0</v>
      </c>
      <c r="T41" s="27"/>
      <c r="U41" s="27"/>
      <c r="V41" s="27"/>
      <c r="W41" s="27"/>
      <c r="X41" s="27"/>
      <c r="Y41" s="27"/>
      <c r="Z41" s="27"/>
      <c r="AA41" s="26">
        <f>SUM(T41:Z41)</f>
        <v>0</v>
      </c>
      <c r="AC41" s="27">
        <v>0</v>
      </c>
      <c r="AD41" s="27"/>
      <c r="AE41" s="27"/>
      <c r="AF41" s="27"/>
      <c r="AG41" s="27"/>
      <c r="AH41" s="27"/>
      <c r="AI41" s="27"/>
      <c r="AJ41" s="26">
        <f>SUM(AC41:AI41)</f>
        <v>0</v>
      </c>
      <c r="AL41" s="27">
        <v>0</v>
      </c>
      <c r="AM41" s="27"/>
      <c r="AN41" s="27"/>
      <c r="AO41" s="27"/>
      <c r="AP41" s="27"/>
      <c r="AQ41" s="27"/>
      <c r="AR41" s="27"/>
      <c r="AS41" s="26">
        <f>SUM(AL41:AR41)</f>
        <v>0</v>
      </c>
      <c r="AU41" s="27"/>
      <c r="AV41" s="27"/>
      <c r="AW41" s="27"/>
      <c r="AX41" s="27"/>
      <c r="AY41" s="27"/>
      <c r="AZ41" s="27"/>
      <c r="BA41" s="27"/>
      <c r="BB41" s="26">
        <f>SUM(AU41:BA41)</f>
        <v>0</v>
      </c>
      <c r="BD41" s="27">
        <v>1</v>
      </c>
      <c r="BE41" s="27"/>
      <c r="BF41" s="27"/>
      <c r="BG41" s="27"/>
      <c r="BH41" s="27"/>
      <c r="BI41" s="27"/>
      <c r="BJ41" s="27"/>
      <c r="BK41" s="26">
        <f>SUM(BD41:BJ41)</f>
        <v>1</v>
      </c>
      <c r="BM41" s="27">
        <v>0</v>
      </c>
      <c r="BN41" s="27"/>
      <c r="BO41" s="27"/>
      <c r="BP41" s="27"/>
      <c r="BQ41" s="27"/>
      <c r="BR41" s="27"/>
      <c r="BS41" s="27"/>
      <c r="BT41" s="26">
        <f>SUM(BM41:BS41)</f>
        <v>0</v>
      </c>
      <c r="BV41" s="26">
        <f t="shared" si="110"/>
        <v>1</v>
      </c>
      <c r="BW41" s="26">
        <f t="shared" si="108"/>
        <v>0</v>
      </c>
      <c r="BX41" s="26">
        <f t="shared" si="108"/>
        <v>0</v>
      </c>
      <c r="BY41" s="26">
        <f t="shared" si="108"/>
        <v>0</v>
      </c>
      <c r="BZ41" s="26">
        <f t="shared" si="108"/>
        <v>0</v>
      </c>
      <c r="CA41" s="26">
        <f t="shared" si="108"/>
        <v>0</v>
      </c>
      <c r="CB41" s="27"/>
      <c r="CC41" s="26">
        <f>SUM(BV41:CB41)</f>
        <v>1</v>
      </c>
    </row>
    <row r="42" spans="1:81">
      <c r="A42" s="32" t="s">
        <v>43</v>
      </c>
      <c r="B42" s="27">
        <v>0</v>
      </c>
      <c r="C42" s="27"/>
      <c r="D42" s="27"/>
      <c r="E42" s="27"/>
      <c r="F42" s="27"/>
      <c r="G42" s="27"/>
      <c r="H42" s="27"/>
      <c r="I42" s="26">
        <f>SUM(B42:H42)</f>
        <v>0</v>
      </c>
      <c r="K42" s="27">
        <v>1</v>
      </c>
      <c r="L42" s="27"/>
      <c r="M42" s="27"/>
      <c r="N42" s="27"/>
      <c r="O42" s="27"/>
      <c r="P42" s="27"/>
      <c r="Q42" s="27"/>
      <c r="R42" s="26">
        <f>SUM(K42:Q42)</f>
        <v>1</v>
      </c>
      <c r="T42" s="27"/>
      <c r="U42" s="27"/>
      <c r="V42" s="27"/>
      <c r="W42" s="27"/>
      <c r="X42" s="27"/>
      <c r="Y42" s="27"/>
      <c r="Z42" s="27"/>
      <c r="AA42" s="26">
        <f>SUM(T42:Z42)</f>
        <v>0</v>
      </c>
      <c r="AC42" s="27">
        <v>3</v>
      </c>
      <c r="AD42" s="27"/>
      <c r="AE42" s="27"/>
      <c r="AF42" s="27"/>
      <c r="AG42" s="27"/>
      <c r="AH42" s="27"/>
      <c r="AI42" s="27"/>
      <c r="AJ42" s="26">
        <f>SUM(AC42:AI42)</f>
        <v>3</v>
      </c>
      <c r="AL42" s="27">
        <v>3</v>
      </c>
      <c r="AM42" s="27"/>
      <c r="AN42" s="27"/>
      <c r="AO42" s="27"/>
      <c r="AP42" s="27"/>
      <c r="AQ42" s="27"/>
      <c r="AR42" s="27"/>
      <c r="AS42" s="26">
        <f>SUM(AL42:AR42)</f>
        <v>3</v>
      </c>
      <c r="AU42" s="27"/>
      <c r="AV42" s="27"/>
      <c r="AW42" s="27"/>
      <c r="AX42" s="27"/>
      <c r="AY42" s="27"/>
      <c r="AZ42" s="27"/>
      <c r="BA42" s="27"/>
      <c r="BB42" s="26">
        <f>SUM(AU42:BA42)</f>
        <v>0</v>
      </c>
      <c r="BD42" s="27">
        <v>0</v>
      </c>
      <c r="BE42" s="27"/>
      <c r="BF42" s="27"/>
      <c r="BG42" s="27"/>
      <c r="BH42" s="27"/>
      <c r="BI42" s="27"/>
      <c r="BJ42" s="27"/>
      <c r="BK42" s="26">
        <f>SUM(BD42:BJ42)</f>
        <v>0</v>
      </c>
      <c r="BM42" s="27">
        <v>0</v>
      </c>
      <c r="BN42" s="27"/>
      <c r="BO42" s="27"/>
      <c r="BP42" s="27"/>
      <c r="BQ42" s="27"/>
      <c r="BR42" s="27"/>
      <c r="BS42" s="27"/>
      <c r="BT42" s="26">
        <f>SUM(BM42:BS42)</f>
        <v>0</v>
      </c>
      <c r="BV42" s="26">
        <f t="shared" si="110"/>
        <v>7</v>
      </c>
      <c r="BW42" s="26">
        <f t="shared" si="108"/>
        <v>0</v>
      </c>
      <c r="BX42" s="26">
        <f t="shared" si="108"/>
        <v>0</v>
      </c>
      <c r="BY42" s="26">
        <f t="shared" si="108"/>
        <v>0</v>
      </c>
      <c r="BZ42" s="26">
        <f t="shared" si="108"/>
        <v>0</v>
      </c>
      <c r="CA42" s="26">
        <f t="shared" si="108"/>
        <v>0</v>
      </c>
      <c r="CB42" s="27"/>
      <c r="CC42" s="26">
        <f>SUM(BV42:CB42)</f>
        <v>7</v>
      </c>
    </row>
    <row r="43" spans="1:81">
      <c r="A43" s="32" t="s">
        <v>44</v>
      </c>
      <c r="B43" s="27">
        <v>1</v>
      </c>
      <c r="C43" s="27"/>
      <c r="D43" s="27"/>
      <c r="E43" s="27"/>
      <c r="F43" s="27"/>
      <c r="G43" s="27"/>
      <c r="H43" s="27"/>
      <c r="I43" s="26">
        <f>SUM(B43:H43)</f>
        <v>1</v>
      </c>
      <c r="K43" s="27">
        <v>1</v>
      </c>
      <c r="L43" s="27"/>
      <c r="M43" s="27"/>
      <c r="N43" s="27"/>
      <c r="O43" s="27"/>
      <c r="P43" s="27"/>
      <c r="Q43" s="27"/>
      <c r="R43" s="26">
        <f>SUM(K43:Q43)</f>
        <v>1</v>
      </c>
      <c r="T43" s="27">
        <v>1</v>
      </c>
      <c r="U43" s="27"/>
      <c r="V43" s="27"/>
      <c r="W43" s="27"/>
      <c r="X43" s="27"/>
      <c r="Y43" s="27"/>
      <c r="Z43" s="27"/>
      <c r="AA43" s="26">
        <f>SUM(T43:Z43)</f>
        <v>1</v>
      </c>
      <c r="AC43" s="27">
        <v>2</v>
      </c>
      <c r="AD43" s="27"/>
      <c r="AE43" s="27"/>
      <c r="AF43" s="27"/>
      <c r="AG43" s="27"/>
      <c r="AH43" s="27"/>
      <c r="AI43" s="27"/>
      <c r="AJ43" s="26">
        <f>SUM(AC43:AI43)</f>
        <v>2</v>
      </c>
      <c r="AL43" s="27">
        <v>2</v>
      </c>
      <c r="AM43" s="27"/>
      <c r="AN43" s="27"/>
      <c r="AO43" s="27"/>
      <c r="AP43" s="27"/>
      <c r="AQ43" s="27"/>
      <c r="AR43" s="27"/>
      <c r="AS43" s="26">
        <f>SUM(AL43:AR43)</f>
        <v>2</v>
      </c>
      <c r="AU43" s="27">
        <v>1</v>
      </c>
      <c r="AV43" s="27"/>
      <c r="AW43" s="27"/>
      <c r="AX43" s="27"/>
      <c r="AY43" s="27"/>
      <c r="AZ43" s="27"/>
      <c r="BA43" s="27"/>
      <c r="BB43" s="26">
        <f>SUM(AU43:BA43)</f>
        <v>1</v>
      </c>
      <c r="BD43" s="27">
        <v>0</v>
      </c>
      <c r="BE43" s="27"/>
      <c r="BF43" s="27"/>
      <c r="BG43" s="27"/>
      <c r="BH43" s="27"/>
      <c r="BI43" s="27"/>
      <c r="BJ43" s="27"/>
      <c r="BK43" s="26">
        <f>SUM(BD43:BJ43)</f>
        <v>0</v>
      </c>
      <c r="BM43" s="27">
        <v>1</v>
      </c>
      <c r="BN43" s="27"/>
      <c r="BO43" s="27"/>
      <c r="BP43" s="27"/>
      <c r="BQ43" s="27"/>
      <c r="BR43" s="27"/>
      <c r="BS43" s="27"/>
      <c r="BT43" s="26">
        <f>SUM(BM43:BS43)</f>
        <v>1</v>
      </c>
      <c r="BV43" s="26">
        <f t="shared" si="110"/>
        <v>9</v>
      </c>
      <c r="BW43" s="26">
        <f t="shared" si="108"/>
        <v>0</v>
      </c>
      <c r="BX43" s="26">
        <f t="shared" si="108"/>
        <v>0</v>
      </c>
      <c r="BY43" s="26">
        <f t="shared" si="108"/>
        <v>0</v>
      </c>
      <c r="BZ43" s="26">
        <f t="shared" si="108"/>
        <v>0</v>
      </c>
      <c r="CA43" s="26">
        <f t="shared" si="108"/>
        <v>0</v>
      </c>
      <c r="CB43" s="27"/>
      <c r="CC43" s="26">
        <f>SUM(BV43:CB43)</f>
        <v>9</v>
      </c>
    </row>
    <row r="44" spans="1:81">
      <c r="A44" s="32" t="s">
        <v>45</v>
      </c>
      <c r="B44" s="27">
        <v>0</v>
      </c>
      <c r="C44" s="27"/>
      <c r="D44" s="27"/>
      <c r="E44" s="27"/>
      <c r="F44" s="27"/>
      <c r="G44" s="27"/>
      <c r="H44" s="27"/>
      <c r="I44" s="26">
        <f>SUM(B44:H44)</f>
        <v>0</v>
      </c>
      <c r="K44" s="27">
        <v>0</v>
      </c>
      <c r="L44" s="27"/>
      <c r="M44" s="27"/>
      <c r="N44" s="27"/>
      <c r="O44" s="27"/>
      <c r="P44" s="27"/>
      <c r="Q44" s="27"/>
      <c r="R44" s="26">
        <f>SUM(K44:Q44)</f>
        <v>0</v>
      </c>
      <c r="T44" s="27">
        <v>1</v>
      </c>
      <c r="U44" s="27"/>
      <c r="V44" s="27"/>
      <c r="W44" s="27"/>
      <c r="X44" s="27"/>
      <c r="Y44" s="27"/>
      <c r="Z44" s="27"/>
      <c r="AA44" s="26">
        <f>SUM(T44:Z44)</f>
        <v>1</v>
      </c>
      <c r="AC44" s="27">
        <v>4</v>
      </c>
      <c r="AD44" s="27"/>
      <c r="AE44" s="27"/>
      <c r="AF44" s="27"/>
      <c r="AG44" s="27"/>
      <c r="AH44" s="27"/>
      <c r="AI44" s="27"/>
      <c r="AJ44" s="26">
        <f>SUM(AC44:AI44)</f>
        <v>4</v>
      </c>
      <c r="AL44" s="27">
        <v>3</v>
      </c>
      <c r="AM44" s="27"/>
      <c r="AN44" s="27"/>
      <c r="AO44" s="27"/>
      <c r="AP44" s="27"/>
      <c r="AQ44" s="27"/>
      <c r="AR44" s="27"/>
      <c r="AS44" s="26">
        <f>SUM(AL44:AR44)</f>
        <v>3</v>
      </c>
      <c r="AU44" s="27"/>
      <c r="AV44" s="27"/>
      <c r="AW44" s="27"/>
      <c r="AX44" s="27"/>
      <c r="AY44" s="27"/>
      <c r="AZ44" s="27"/>
      <c r="BA44" s="27"/>
      <c r="BB44" s="26">
        <f>SUM(AU44:BA44)</f>
        <v>0</v>
      </c>
      <c r="BD44" s="27">
        <v>0</v>
      </c>
      <c r="BE44" s="27"/>
      <c r="BF44" s="27"/>
      <c r="BG44" s="27"/>
      <c r="BH44" s="27"/>
      <c r="BI44" s="27"/>
      <c r="BJ44" s="27"/>
      <c r="BK44" s="26">
        <f>SUM(BD44:BJ44)</f>
        <v>0</v>
      </c>
      <c r="BM44" s="27">
        <v>0</v>
      </c>
      <c r="BN44" s="27"/>
      <c r="BO44" s="27"/>
      <c r="BP44" s="27"/>
      <c r="BQ44" s="27"/>
      <c r="BR44" s="27"/>
      <c r="BS44" s="27"/>
      <c r="BT44" s="26">
        <f>SUM(BM44:BS44)</f>
        <v>0</v>
      </c>
      <c r="BV44" s="26">
        <f t="shared" si="110"/>
        <v>8</v>
      </c>
      <c r="BW44" s="26">
        <f t="shared" si="108"/>
        <v>0</v>
      </c>
      <c r="BX44" s="26">
        <f t="shared" si="108"/>
        <v>0</v>
      </c>
      <c r="BY44" s="26">
        <f t="shared" si="108"/>
        <v>0</v>
      </c>
      <c r="BZ44" s="26">
        <f t="shared" si="108"/>
        <v>0</v>
      </c>
      <c r="CA44" s="26">
        <f t="shared" si="108"/>
        <v>0</v>
      </c>
      <c r="CB44" s="27"/>
      <c r="CC44" s="26">
        <f>SUM(BV44:CB44)</f>
        <v>8</v>
      </c>
    </row>
    <row r="45" spans="1:81">
      <c r="A45" s="32" t="s">
        <v>46</v>
      </c>
      <c r="B45" s="27">
        <v>0</v>
      </c>
      <c r="C45" s="27"/>
      <c r="D45" s="27"/>
      <c r="E45" s="27"/>
      <c r="F45" s="27"/>
      <c r="G45" s="27"/>
      <c r="H45" s="27"/>
      <c r="I45" s="26">
        <f t="shared" si="100"/>
        <v>0</v>
      </c>
      <c r="K45" s="27"/>
      <c r="L45" s="27"/>
      <c r="M45" s="27"/>
      <c r="N45" s="27"/>
      <c r="O45" s="27"/>
      <c r="P45" s="27"/>
      <c r="Q45" s="27"/>
      <c r="R45" s="26">
        <f t="shared" si="101"/>
        <v>0</v>
      </c>
      <c r="T45" s="27"/>
      <c r="U45" s="27"/>
      <c r="V45" s="27"/>
      <c r="W45" s="27"/>
      <c r="X45" s="27"/>
      <c r="Y45" s="27"/>
      <c r="Z45" s="27"/>
      <c r="AA45" s="26">
        <f t="shared" si="102"/>
        <v>0</v>
      </c>
      <c r="AC45" s="27">
        <v>0</v>
      </c>
      <c r="AD45" s="27"/>
      <c r="AE45" s="27"/>
      <c r="AF45" s="27"/>
      <c r="AG45" s="27"/>
      <c r="AH45" s="27"/>
      <c r="AI45" s="27"/>
      <c r="AJ45" s="26">
        <f t="shared" si="103"/>
        <v>0</v>
      </c>
      <c r="AL45" s="27">
        <v>0</v>
      </c>
      <c r="AM45" s="27"/>
      <c r="AN45" s="27"/>
      <c r="AO45" s="27"/>
      <c r="AP45" s="27"/>
      <c r="AQ45" s="27"/>
      <c r="AR45" s="27"/>
      <c r="AS45" s="26">
        <f t="shared" si="104"/>
        <v>0</v>
      </c>
      <c r="AU45" s="27"/>
      <c r="AV45" s="27"/>
      <c r="AW45" s="27"/>
      <c r="AX45" s="27"/>
      <c r="AY45" s="27"/>
      <c r="AZ45" s="27"/>
      <c r="BA45" s="27"/>
      <c r="BB45" s="26">
        <f t="shared" si="105"/>
        <v>0</v>
      </c>
      <c r="BD45" s="27">
        <v>0</v>
      </c>
      <c r="BE45" s="27"/>
      <c r="BF45" s="27"/>
      <c r="BG45" s="27"/>
      <c r="BH45" s="27"/>
      <c r="BI45" s="27"/>
      <c r="BJ45" s="27"/>
      <c r="BK45" s="26">
        <f t="shared" si="106"/>
        <v>0</v>
      </c>
      <c r="BM45" s="27">
        <v>0</v>
      </c>
      <c r="BN45" s="27"/>
      <c r="BO45" s="27"/>
      <c r="BP45" s="27"/>
      <c r="BQ45" s="27"/>
      <c r="BR45" s="27"/>
      <c r="BS45" s="27"/>
      <c r="BT45" s="26">
        <f t="shared" si="107"/>
        <v>0</v>
      </c>
      <c r="BV45" s="26">
        <f t="shared" si="110"/>
        <v>0</v>
      </c>
      <c r="BW45" s="26">
        <f t="shared" si="108"/>
        <v>0</v>
      </c>
      <c r="BX45" s="26">
        <f t="shared" si="108"/>
        <v>0</v>
      </c>
      <c r="BY45" s="26">
        <f t="shared" si="108"/>
        <v>0</v>
      </c>
      <c r="BZ45" s="26">
        <f t="shared" si="108"/>
        <v>0</v>
      </c>
      <c r="CA45" s="26">
        <f t="shared" si="108"/>
        <v>0</v>
      </c>
      <c r="CB45" s="27"/>
      <c r="CC45" s="26">
        <f t="shared" ref="CC45:CC46" si="111">SUM(BV45:CB45)</f>
        <v>0</v>
      </c>
    </row>
    <row r="46" spans="1:81">
      <c r="A46" s="25" t="s">
        <v>47</v>
      </c>
      <c r="B46" s="27">
        <v>2</v>
      </c>
      <c r="C46" s="27"/>
      <c r="D46" s="27"/>
      <c r="E46" s="27"/>
      <c r="F46" s="27"/>
      <c r="G46" s="27"/>
      <c r="H46" s="27"/>
      <c r="I46" s="26">
        <f t="shared" si="100"/>
        <v>2</v>
      </c>
      <c r="K46" s="27">
        <v>1</v>
      </c>
      <c r="L46" s="27"/>
      <c r="M46" s="27"/>
      <c r="N46" s="27"/>
      <c r="O46" s="27"/>
      <c r="P46" s="27"/>
      <c r="Q46" s="27"/>
      <c r="R46" s="26">
        <f t="shared" si="101"/>
        <v>1</v>
      </c>
      <c r="T46" s="27">
        <v>1</v>
      </c>
      <c r="U46" s="27"/>
      <c r="V46" s="27"/>
      <c r="W46" s="27"/>
      <c r="X46" s="27"/>
      <c r="Y46" s="27"/>
      <c r="Z46" s="27"/>
      <c r="AA46" s="26">
        <f t="shared" si="102"/>
        <v>1</v>
      </c>
      <c r="AC46" s="27">
        <v>2</v>
      </c>
      <c r="AD46" s="27"/>
      <c r="AE46" s="27"/>
      <c r="AF46" s="27"/>
      <c r="AG46" s="27"/>
      <c r="AH46" s="27"/>
      <c r="AI46" s="27"/>
      <c r="AJ46" s="26">
        <f t="shared" si="103"/>
        <v>2</v>
      </c>
      <c r="AL46" s="27">
        <v>2</v>
      </c>
      <c r="AM46" s="27"/>
      <c r="AN46" s="27"/>
      <c r="AO46" s="27"/>
      <c r="AP46" s="27"/>
      <c r="AQ46" s="27"/>
      <c r="AR46" s="27"/>
      <c r="AS46" s="26">
        <f t="shared" si="104"/>
        <v>2</v>
      </c>
      <c r="AU46" s="27"/>
      <c r="AV46" s="27"/>
      <c r="AW46" s="27"/>
      <c r="AX46" s="27"/>
      <c r="AY46" s="27"/>
      <c r="AZ46" s="27"/>
      <c r="BA46" s="27"/>
      <c r="BB46" s="26">
        <f t="shared" si="105"/>
        <v>0</v>
      </c>
      <c r="BD46" s="27">
        <v>1</v>
      </c>
      <c r="BE46" s="27"/>
      <c r="BF46" s="27"/>
      <c r="BG46" s="27"/>
      <c r="BH46" s="27"/>
      <c r="BI46" s="27"/>
      <c r="BJ46" s="27"/>
      <c r="BK46" s="26">
        <f t="shared" si="106"/>
        <v>1</v>
      </c>
      <c r="BM46" s="27">
        <v>1</v>
      </c>
      <c r="BN46" s="27"/>
      <c r="BO46" s="27"/>
      <c r="BP46" s="27"/>
      <c r="BQ46" s="27"/>
      <c r="BR46" s="27"/>
      <c r="BS46" s="27"/>
      <c r="BT46" s="26">
        <f t="shared" si="107"/>
        <v>1</v>
      </c>
      <c r="BV46" s="26">
        <f t="shared" si="110"/>
        <v>10</v>
      </c>
      <c r="BW46" s="26">
        <f t="shared" si="108"/>
        <v>0</v>
      </c>
      <c r="BX46" s="26">
        <f t="shared" si="108"/>
        <v>0</v>
      </c>
      <c r="BY46" s="26">
        <f t="shared" si="108"/>
        <v>0</v>
      </c>
      <c r="BZ46" s="26">
        <f t="shared" si="108"/>
        <v>0</v>
      </c>
      <c r="CA46" s="26">
        <f t="shared" si="108"/>
        <v>0</v>
      </c>
      <c r="CB46" s="27"/>
      <c r="CC46" s="26">
        <f t="shared" si="111"/>
        <v>10</v>
      </c>
    </row>
    <row r="47" spans="1:81">
      <c r="A47" s="25" t="s">
        <v>48</v>
      </c>
      <c r="B47" s="27">
        <v>1</v>
      </c>
      <c r="C47" s="27"/>
      <c r="D47" s="27"/>
      <c r="E47" s="27"/>
      <c r="F47" s="27"/>
      <c r="G47" s="27"/>
      <c r="H47" s="27"/>
      <c r="I47" s="26">
        <f>SUM(B47:H47)</f>
        <v>1</v>
      </c>
      <c r="K47" s="27">
        <v>1</v>
      </c>
      <c r="L47" s="27"/>
      <c r="M47" s="27"/>
      <c r="N47" s="27"/>
      <c r="O47" s="27"/>
      <c r="P47" s="27"/>
      <c r="Q47" s="27"/>
      <c r="R47" s="26">
        <f>SUM(K47:Q47)</f>
        <v>1</v>
      </c>
      <c r="T47" s="27">
        <v>1</v>
      </c>
      <c r="U47" s="27"/>
      <c r="V47" s="27"/>
      <c r="W47" s="27"/>
      <c r="X47" s="27"/>
      <c r="Y47" s="27"/>
      <c r="Z47" s="27"/>
      <c r="AA47" s="26">
        <f>SUM(T47:Z47)</f>
        <v>1</v>
      </c>
      <c r="AC47" s="27">
        <v>2</v>
      </c>
      <c r="AD47" s="27"/>
      <c r="AE47" s="27"/>
      <c r="AF47" s="27"/>
      <c r="AG47" s="27"/>
      <c r="AH47" s="27"/>
      <c r="AI47" s="27"/>
      <c r="AJ47" s="26">
        <f>SUM(AC47:AI47)</f>
        <v>2</v>
      </c>
      <c r="AL47" s="27">
        <v>2</v>
      </c>
      <c r="AM47" s="27"/>
      <c r="AN47" s="27"/>
      <c r="AO47" s="27"/>
      <c r="AP47" s="27"/>
      <c r="AQ47" s="27"/>
      <c r="AR47" s="27"/>
      <c r="AS47" s="26">
        <f>SUM(AL47:AR47)</f>
        <v>2</v>
      </c>
      <c r="AU47" s="27"/>
      <c r="AV47" s="27"/>
      <c r="AW47" s="27"/>
      <c r="AX47" s="27"/>
      <c r="AY47" s="27"/>
      <c r="AZ47" s="27"/>
      <c r="BA47" s="27"/>
      <c r="BB47" s="26">
        <f>SUM(AU47:BA47)</f>
        <v>0</v>
      </c>
      <c r="BD47" s="27">
        <v>0</v>
      </c>
      <c r="BE47" s="27"/>
      <c r="BF47" s="27"/>
      <c r="BG47" s="27"/>
      <c r="BH47" s="27"/>
      <c r="BI47" s="27"/>
      <c r="BJ47" s="27"/>
      <c r="BK47" s="26">
        <f>SUM(BD47:BJ47)</f>
        <v>0</v>
      </c>
      <c r="BM47" s="27">
        <v>0</v>
      </c>
      <c r="BN47" s="27"/>
      <c r="BO47" s="27"/>
      <c r="BP47" s="27"/>
      <c r="BQ47" s="27"/>
      <c r="BR47" s="27"/>
      <c r="BS47" s="27"/>
      <c r="BT47" s="26">
        <f>SUM(BM47:BS47)</f>
        <v>0</v>
      </c>
      <c r="BV47" s="26">
        <f t="shared" si="110"/>
        <v>7</v>
      </c>
      <c r="BW47" s="26">
        <f t="shared" si="108"/>
        <v>0</v>
      </c>
      <c r="BX47" s="26">
        <f t="shared" si="108"/>
        <v>0</v>
      </c>
      <c r="BY47" s="26">
        <f t="shared" si="108"/>
        <v>0</v>
      </c>
      <c r="BZ47" s="26">
        <f t="shared" si="108"/>
        <v>0</v>
      </c>
      <c r="CA47" s="26">
        <f t="shared" si="108"/>
        <v>0</v>
      </c>
      <c r="CB47" s="27"/>
      <c r="CC47" s="26">
        <f>SUM(BV47:CB47)</f>
        <v>7</v>
      </c>
    </row>
    <row r="48" spans="1:81">
      <c r="A48" s="25" t="s">
        <v>49</v>
      </c>
      <c r="B48" s="27">
        <v>1</v>
      </c>
      <c r="C48" s="27"/>
      <c r="D48" s="27"/>
      <c r="E48" s="27"/>
      <c r="F48" s="27"/>
      <c r="G48" s="27"/>
      <c r="H48" s="27"/>
      <c r="I48" s="26">
        <f t="shared" si="100"/>
        <v>1</v>
      </c>
      <c r="K48" s="27">
        <v>1</v>
      </c>
      <c r="L48" s="27"/>
      <c r="M48" s="27"/>
      <c r="N48" s="27"/>
      <c r="O48" s="27"/>
      <c r="P48" s="27"/>
      <c r="Q48" s="27"/>
      <c r="R48" s="26">
        <f t="shared" si="101"/>
        <v>1</v>
      </c>
      <c r="T48" s="27">
        <v>1</v>
      </c>
      <c r="U48" s="27"/>
      <c r="V48" s="27"/>
      <c r="W48" s="27"/>
      <c r="X48" s="27"/>
      <c r="Y48" s="27"/>
      <c r="Z48" s="27"/>
      <c r="AA48" s="26">
        <f t="shared" si="102"/>
        <v>1</v>
      </c>
      <c r="AC48" s="27">
        <v>3</v>
      </c>
      <c r="AD48" s="27"/>
      <c r="AE48" s="27"/>
      <c r="AF48" s="27"/>
      <c r="AG48" s="27"/>
      <c r="AH48" s="27"/>
      <c r="AI48" s="27"/>
      <c r="AJ48" s="26">
        <f t="shared" si="103"/>
        <v>3</v>
      </c>
      <c r="AL48" s="27">
        <v>2</v>
      </c>
      <c r="AM48" s="27"/>
      <c r="AN48" s="27"/>
      <c r="AO48" s="27"/>
      <c r="AP48" s="27"/>
      <c r="AQ48" s="27"/>
      <c r="AR48" s="27"/>
      <c r="AS48" s="26">
        <f t="shared" si="104"/>
        <v>2</v>
      </c>
      <c r="AU48" s="27"/>
      <c r="AV48" s="27"/>
      <c r="AW48" s="27"/>
      <c r="AX48" s="27"/>
      <c r="AY48" s="27"/>
      <c r="AZ48" s="27"/>
      <c r="BA48" s="27"/>
      <c r="BB48" s="26">
        <f t="shared" si="105"/>
        <v>0</v>
      </c>
      <c r="BD48" s="27">
        <v>0</v>
      </c>
      <c r="BE48" s="27"/>
      <c r="BF48" s="27"/>
      <c r="BG48" s="27"/>
      <c r="BH48" s="27"/>
      <c r="BI48" s="27"/>
      <c r="BJ48" s="27"/>
      <c r="BK48" s="26">
        <f t="shared" si="106"/>
        <v>0</v>
      </c>
      <c r="BM48" s="27">
        <v>0</v>
      </c>
      <c r="BN48" s="27"/>
      <c r="BO48" s="27"/>
      <c r="BP48" s="27"/>
      <c r="BQ48" s="27"/>
      <c r="BR48" s="27"/>
      <c r="BS48" s="27"/>
      <c r="BT48" s="26">
        <f t="shared" si="107"/>
        <v>0</v>
      </c>
      <c r="BV48" s="26">
        <f t="shared" si="110"/>
        <v>8</v>
      </c>
      <c r="BW48" s="26">
        <f t="shared" si="108"/>
        <v>0</v>
      </c>
      <c r="BX48" s="26">
        <f t="shared" si="108"/>
        <v>0</v>
      </c>
      <c r="BY48" s="26">
        <f t="shared" si="108"/>
        <v>0</v>
      </c>
      <c r="BZ48" s="26">
        <f t="shared" si="108"/>
        <v>0</v>
      </c>
      <c r="CA48" s="26">
        <f t="shared" si="108"/>
        <v>0</v>
      </c>
      <c r="CB48" s="27"/>
      <c r="CC48" s="26">
        <f t="shared" ref="CC48" si="112">SUM(BV48:CB48)</f>
        <v>8</v>
      </c>
    </row>
    <row r="49" spans="1:81">
      <c r="A49" s="25" t="s">
        <v>50</v>
      </c>
      <c r="B49" s="27">
        <v>2</v>
      </c>
      <c r="C49" s="27"/>
      <c r="D49" s="27"/>
      <c r="E49" s="27"/>
      <c r="F49" s="27"/>
      <c r="G49" s="27"/>
      <c r="H49" s="27"/>
      <c r="I49" s="26">
        <f>SUM(B49:H49)</f>
        <v>2</v>
      </c>
      <c r="K49" s="27">
        <v>2</v>
      </c>
      <c r="L49" s="27"/>
      <c r="M49" s="27"/>
      <c r="N49" s="27"/>
      <c r="O49" s="27"/>
      <c r="P49" s="27"/>
      <c r="Q49" s="27"/>
      <c r="R49" s="26">
        <f>SUM(K49:Q49)</f>
        <v>2</v>
      </c>
      <c r="T49" s="27">
        <v>2</v>
      </c>
      <c r="U49" s="27"/>
      <c r="V49" s="27"/>
      <c r="W49" s="27"/>
      <c r="X49" s="27"/>
      <c r="Y49" s="27"/>
      <c r="Z49" s="27"/>
      <c r="AA49" s="26">
        <f>SUM(T49:Z49)</f>
        <v>2</v>
      </c>
      <c r="AC49" s="27">
        <v>5</v>
      </c>
      <c r="AD49" s="27"/>
      <c r="AE49" s="27"/>
      <c r="AF49" s="27"/>
      <c r="AG49" s="27"/>
      <c r="AH49" s="27"/>
      <c r="AI49" s="27"/>
      <c r="AJ49" s="26">
        <f>SUM(AC49:AI49)</f>
        <v>5</v>
      </c>
      <c r="AL49" s="27">
        <v>4</v>
      </c>
      <c r="AM49" s="27"/>
      <c r="AN49" s="27"/>
      <c r="AO49" s="27"/>
      <c r="AP49" s="27"/>
      <c r="AQ49" s="27"/>
      <c r="AR49" s="27"/>
      <c r="AS49" s="26">
        <f>SUM(AL49:AR49)</f>
        <v>4</v>
      </c>
      <c r="AU49" s="27"/>
      <c r="AV49" s="27"/>
      <c r="AW49" s="27"/>
      <c r="AX49" s="27"/>
      <c r="AY49" s="27"/>
      <c r="AZ49" s="27"/>
      <c r="BA49" s="27"/>
      <c r="BB49" s="26">
        <f>SUM(AU49:BA49)</f>
        <v>0</v>
      </c>
      <c r="BD49" s="27">
        <v>1</v>
      </c>
      <c r="BE49" s="27"/>
      <c r="BF49" s="27"/>
      <c r="BG49" s="27"/>
      <c r="BH49" s="27">
        <v>0</v>
      </c>
      <c r="BI49" s="27"/>
      <c r="BJ49" s="27"/>
      <c r="BK49" s="26">
        <f>SUM(BD49:BJ49)</f>
        <v>1</v>
      </c>
      <c r="BM49" s="27">
        <v>0</v>
      </c>
      <c r="BN49" s="27"/>
      <c r="BO49" s="27"/>
      <c r="BP49" s="27"/>
      <c r="BQ49" s="27"/>
      <c r="BR49" s="27"/>
      <c r="BS49" s="27"/>
      <c r="BT49" s="26">
        <f>SUM(BM49:BS49)</f>
        <v>0</v>
      </c>
      <c r="BV49" s="26">
        <f t="shared" si="110"/>
        <v>16</v>
      </c>
      <c r="BW49" s="26">
        <f t="shared" si="108"/>
        <v>0</v>
      </c>
      <c r="BX49" s="26">
        <f t="shared" si="108"/>
        <v>0</v>
      </c>
      <c r="BY49" s="26">
        <f t="shared" si="108"/>
        <v>0</v>
      </c>
      <c r="BZ49" s="26">
        <f t="shared" si="108"/>
        <v>0</v>
      </c>
      <c r="CA49" s="26">
        <f t="shared" si="108"/>
        <v>0</v>
      </c>
      <c r="CB49" s="27"/>
      <c r="CC49" s="26">
        <f>SUM(BV49:CB49)</f>
        <v>16</v>
      </c>
    </row>
    <row r="50" spans="1:81">
      <c r="A50" s="25" t="s">
        <v>51</v>
      </c>
      <c r="B50" s="27">
        <v>4</v>
      </c>
      <c r="C50" s="27">
        <v>4</v>
      </c>
      <c r="D50" s="27">
        <v>1</v>
      </c>
      <c r="E50" s="27"/>
      <c r="F50" s="27"/>
      <c r="G50" s="27"/>
      <c r="H50" s="27"/>
      <c r="I50" s="26">
        <f>SUM(B50:H50)</f>
        <v>9</v>
      </c>
      <c r="K50" s="27">
        <v>7</v>
      </c>
      <c r="L50" s="27">
        <v>4</v>
      </c>
      <c r="M50" s="27">
        <v>1</v>
      </c>
      <c r="N50" s="27"/>
      <c r="O50" s="27"/>
      <c r="P50" s="27"/>
      <c r="Q50" s="27"/>
      <c r="R50" s="26">
        <f>SUM(K50:Q50)</f>
        <v>12</v>
      </c>
      <c r="T50" s="27">
        <v>5</v>
      </c>
      <c r="U50" s="27">
        <v>5</v>
      </c>
      <c r="V50" s="27">
        <v>1</v>
      </c>
      <c r="W50" s="27"/>
      <c r="X50" s="27"/>
      <c r="Y50" s="27"/>
      <c r="Z50" s="27"/>
      <c r="AA50" s="26">
        <f>SUM(T50:Z50)</f>
        <v>11</v>
      </c>
      <c r="AC50" s="27">
        <v>11</v>
      </c>
      <c r="AD50" s="27">
        <v>13</v>
      </c>
      <c r="AE50" s="27">
        <v>3</v>
      </c>
      <c r="AF50" s="27"/>
      <c r="AG50" s="27"/>
      <c r="AH50" s="27"/>
      <c r="AI50" s="27"/>
      <c r="AJ50" s="26">
        <f>SUM(AC50:AI50)</f>
        <v>27</v>
      </c>
      <c r="AL50" s="27">
        <v>5</v>
      </c>
      <c r="AM50" s="27">
        <v>12</v>
      </c>
      <c r="AN50" s="27">
        <v>3</v>
      </c>
      <c r="AO50" s="27"/>
      <c r="AP50" s="27"/>
      <c r="AQ50" s="27"/>
      <c r="AR50" s="27"/>
      <c r="AS50" s="26">
        <f>SUM(AL50:AR50)</f>
        <v>20</v>
      </c>
      <c r="AU50" s="27">
        <v>2</v>
      </c>
      <c r="AV50" s="27">
        <v>1</v>
      </c>
      <c r="AW50" s="27"/>
      <c r="AX50" s="27"/>
      <c r="AY50" s="27"/>
      <c r="AZ50" s="27"/>
      <c r="BA50" s="27"/>
      <c r="BB50" s="26">
        <f>SUM(AU50:BA50)</f>
        <v>3</v>
      </c>
      <c r="BD50" s="27">
        <v>3</v>
      </c>
      <c r="BE50" s="27">
        <v>1</v>
      </c>
      <c r="BF50" s="27">
        <v>0</v>
      </c>
      <c r="BG50" s="27"/>
      <c r="BH50" s="27"/>
      <c r="BI50" s="27"/>
      <c r="BJ50" s="27"/>
      <c r="BK50" s="26">
        <f>SUM(BD50:BJ50)</f>
        <v>4</v>
      </c>
      <c r="BM50" s="27">
        <v>0.5</v>
      </c>
      <c r="BN50" s="27"/>
      <c r="BO50" s="27">
        <v>0</v>
      </c>
      <c r="BP50" s="27"/>
      <c r="BQ50" s="27"/>
      <c r="BR50" s="27"/>
      <c r="BS50" s="27"/>
      <c r="BT50" s="26">
        <f>SUM(BM50:BS50)</f>
        <v>0.5</v>
      </c>
      <c r="BV50" s="26">
        <f t="shared" si="110"/>
        <v>37.5</v>
      </c>
      <c r="BW50" s="26">
        <f t="shared" si="108"/>
        <v>40</v>
      </c>
      <c r="BX50" s="26">
        <f t="shared" si="108"/>
        <v>9</v>
      </c>
      <c r="BY50" s="26">
        <f t="shared" si="108"/>
        <v>0</v>
      </c>
      <c r="BZ50" s="26">
        <f t="shared" si="108"/>
        <v>0</v>
      </c>
      <c r="CA50" s="26">
        <f t="shared" si="108"/>
        <v>0</v>
      </c>
      <c r="CB50" s="27"/>
      <c r="CC50" s="26">
        <f>SUM(BV50:CB50)</f>
        <v>86.5</v>
      </c>
    </row>
    <row r="51" spans="1:81">
      <c r="A51" s="25" t="s">
        <v>52</v>
      </c>
      <c r="B51" s="27">
        <v>2</v>
      </c>
      <c r="C51" s="27"/>
      <c r="D51" s="27"/>
      <c r="E51" s="27"/>
      <c r="F51" s="27"/>
      <c r="G51" s="27"/>
      <c r="H51" s="27"/>
      <c r="I51" s="26">
        <f t="shared" si="100"/>
        <v>2</v>
      </c>
      <c r="K51" s="27">
        <v>3</v>
      </c>
      <c r="L51" s="27"/>
      <c r="M51" s="27"/>
      <c r="N51" s="27"/>
      <c r="O51" s="27"/>
      <c r="P51" s="27"/>
      <c r="Q51" s="27"/>
      <c r="R51" s="26">
        <f t="shared" si="101"/>
        <v>3</v>
      </c>
      <c r="T51" s="27">
        <v>3</v>
      </c>
      <c r="U51" s="27"/>
      <c r="V51" s="27"/>
      <c r="W51" s="27"/>
      <c r="X51" s="27"/>
      <c r="Y51" s="27"/>
      <c r="Z51" s="27"/>
      <c r="AA51" s="26">
        <f t="shared" si="102"/>
        <v>3</v>
      </c>
      <c r="AC51" s="27">
        <v>7</v>
      </c>
      <c r="AD51" s="27"/>
      <c r="AE51" s="27"/>
      <c r="AF51" s="27"/>
      <c r="AG51" s="27"/>
      <c r="AH51" s="27"/>
      <c r="AI51" s="27"/>
      <c r="AJ51" s="26">
        <f t="shared" si="103"/>
        <v>7</v>
      </c>
      <c r="AL51" s="27">
        <v>8</v>
      </c>
      <c r="AM51" s="27"/>
      <c r="AN51" s="27"/>
      <c r="AO51" s="27"/>
      <c r="AP51" s="27"/>
      <c r="AQ51" s="27"/>
      <c r="AR51" s="27"/>
      <c r="AS51" s="26">
        <f t="shared" si="104"/>
        <v>8</v>
      </c>
      <c r="AU51" s="27"/>
      <c r="AV51" s="27"/>
      <c r="AW51" s="27"/>
      <c r="AX51" s="27"/>
      <c r="AY51" s="27"/>
      <c r="AZ51" s="27"/>
      <c r="BA51" s="27"/>
      <c r="BB51" s="26">
        <f t="shared" si="105"/>
        <v>0</v>
      </c>
      <c r="BD51" s="27">
        <v>1</v>
      </c>
      <c r="BE51" s="27"/>
      <c r="BF51" s="27"/>
      <c r="BG51" s="27"/>
      <c r="BH51" s="27"/>
      <c r="BI51" s="27"/>
      <c r="BJ51" s="27"/>
      <c r="BK51" s="26">
        <f t="shared" si="106"/>
        <v>1</v>
      </c>
      <c r="BM51" s="27">
        <v>0</v>
      </c>
      <c r="BN51" s="27"/>
      <c r="BO51" s="27"/>
      <c r="BP51" s="27"/>
      <c r="BQ51" s="27"/>
      <c r="BR51" s="27"/>
      <c r="BS51" s="27"/>
      <c r="BT51" s="26">
        <f t="shared" si="107"/>
        <v>0</v>
      </c>
      <c r="BV51" s="26">
        <f t="shared" si="110"/>
        <v>24</v>
      </c>
      <c r="BW51" s="26">
        <f t="shared" si="108"/>
        <v>0</v>
      </c>
      <c r="BX51" s="26">
        <f t="shared" si="108"/>
        <v>0</v>
      </c>
      <c r="BY51" s="26">
        <f t="shared" si="108"/>
        <v>0</v>
      </c>
      <c r="BZ51" s="26">
        <f t="shared" si="108"/>
        <v>0</v>
      </c>
      <c r="CA51" s="26">
        <f t="shared" si="108"/>
        <v>0</v>
      </c>
      <c r="CB51" s="27"/>
      <c r="CC51" s="26">
        <f t="shared" ref="CC51" si="113">SUM(BV51:CB51)</f>
        <v>24</v>
      </c>
    </row>
    <row r="52" spans="1:81">
      <c r="A52" s="25" t="s">
        <v>53</v>
      </c>
      <c r="B52" s="27"/>
      <c r="C52" s="27"/>
      <c r="D52" s="27">
        <v>1</v>
      </c>
      <c r="E52" s="27"/>
      <c r="F52" s="27"/>
      <c r="G52" s="27"/>
      <c r="H52" s="27"/>
      <c r="I52" s="26">
        <f>SUM(B52:H52)</f>
        <v>1</v>
      </c>
      <c r="K52" s="27"/>
      <c r="L52" s="27"/>
      <c r="M52" s="27">
        <v>1</v>
      </c>
      <c r="N52" s="27"/>
      <c r="O52" s="27"/>
      <c r="P52" s="27"/>
      <c r="Q52" s="27"/>
      <c r="R52" s="26">
        <f>SUM(K52:Q52)</f>
        <v>1</v>
      </c>
      <c r="T52" s="27"/>
      <c r="U52" s="27"/>
      <c r="V52" s="27">
        <v>1</v>
      </c>
      <c r="W52" s="27"/>
      <c r="X52" s="27"/>
      <c r="Y52" s="27"/>
      <c r="Z52" s="27"/>
      <c r="AA52" s="26">
        <f>SUM(T52:Z52)</f>
        <v>1</v>
      </c>
      <c r="AC52" s="27"/>
      <c r="AD52" s="27"/>
      <c r="AE52" s="27">
        <v>3</v>
      </c>
      <c r="AF52" s="27"/>
      <c r="AG52" s="27"/>
      <c r="AH52" s="27"/>
      <c r="AI52" s="27"/>
      <c r="AJ52" s="26">
        <f>SUM(AC52:AI52)</f>
        <v>3</v>
      </c>
      <c r="AL52" s="27"/>
      <c r="AM52" s="27"/>
      <c r="AN52" s="27">
        <v>1</v>
      </c>
      <c r="AO52" s="27"/>
      <c r="AP52" s="27"/>
      <c r="AQ52" s="27"/>
      <c r="AR52" s="27"/>
      <c r="AS52" s="26">
        <f>SUM(AL52:AR52)</f>
        <v>1</v>
      </c>
      <c r="AU52" s="27"/>
      <c r="AV52" s="27"/>
      <c r="AW52" s="27"/>
      <c r="AX52" s="27"/>
      <c r="AY52" s="27"/>
      <c r="AZ52" s="27"/>
      <c r="BA52" s="27"/>
      <c r="BB52" s="26">
        <f>SUM(AU52:BA52)</f>
        <v>0</v>
      </c>
      <c r="BD52" s="27"/>
      <c r="BE52" s="27"/>
      <c r="BF52" s="27">
        <v>1</v>
      </c>
      <c r="BG52" s="27"/>
      <c r="BH52" s="27"/>
      <c r="BI52" s="27"/>
      <c r="BJ52" s="27"/>
      <c r="BK52" s="26">
        <f>SUM(BD52:BJ52)</f>
        <v>1</v>
      </c>
      <c r="BM52" s="27">
        <v>0</v>
      </c>
      <c r="BN52" s="27"/>
      <c r="BO52" s="27">
        <v>0.5</v>
      </c>
      <c r="BP52" s="27"/>
      <c r="BQ52" s="27"/>
      <c r="BR52" s="27"/>
      <c r="BS52" s="27"/>
      <c r="BT52" s="26">
        <f>SUM(BM52:BS52)</f>
        <v>0.5</v>
      </c>
      <c r="BV52" s="26">
        <f t="shared" si="110"/>
        <v>0</v>
      </c>
      <c r="BW52" s="26">
        <f t="shared" si="108"/>
        <v>0</v>
      </c>
      <c r="BX52" s="26">
        <f t="shared" si="108"/>
        <v>8.5</v>
      </c>
      <c r="BY52" s="26">
        <f t="shared" si="108"/>
        <v>0</v>
      </c>
      <c r="BZ52" s="26">
        <f t="shared" si="108"/>
        <v>0</v>
      </c>
      <c r="CA52" s="26">
        <f t="shared" si="108"/>
        <v>0</v>
      </c>
      <c r="CB52" s="27"/>
      <c r="CC52" s="26">
        <f>SUM(BV52:CB52)</f>
        <v>8.5</v>
      </c>
    </row>
    <row r="53" spans="1:81">
      <c r="A53" s="25" t="s">
        <v>54</v>
      </c>
      <c r="B53" s="27">
        <v>0</v>
      </c>
      <c r="C53" s="27"/>
      <c r="D53" s="27"/>
      <c r="E53" s="27"/>
      <c r="F53" s="27"/>
      <c r="G53" s="27"/>
      <c r="H53" s="27"/>
      <c r="I53" s="26">
        <f t="shared" si="100"/>
        <v>0</v>
      </c>
      <c r="J53" s="6"/>
      <c r="K53" s="27"/>
      <c r="L53" s="27"/>
      <c r="M53" s="27"/>
      <c r="N53" s="27"/>
      <c r="O53" s="27"/>
      <c r="P53" s="27"/>
      <c r="Q53" s="27"/>
      <c r="R53" s="26">
        <f t="shared" si="101"/>
        <v>0</v>
      </c>
      <c r="T53" s="27"/>
      <c r="U53" s="27"/>
      <c r="V53" s="27"/>
      <c r="W53" s="27"/>
      <c r="X53" s="27"/>
      <c r="Y53" s="27"/>
      <c r="Z53" s="27"/>
      <c r="AA53" s="26">
        <f t="shared" si="102"/>
        <v>0</v>
      </c>
      <c r="AC53" s="27">
        <v>0</v>
      </c>
      <c r="AD53" s="27"/>
      <c r="AE53" s="27"/>
      <c r="AF53" s="27"/>
      <c r="AG53" s="27"/>
      <c r="AH53" s="27"/>
      <c r="AI53" s="27"/>
      <c r="AJ53" s="26">
        <f t="shared" si="103"/>
        <v>0</v>
      </c>
      <c r="AL53" s="27">
        <v>0</v>
      </c>
      <c r="AM53" s="27"/>
      <c r="AN53" s="27"/>
      <c r="AO53" s="27"/>
      <c r="AP53" s="27"/>
      <c r="AQ53" s="27"/>
      <c r="AR53" s="27"/>
      <c r="AS53" s="26">
        <f t="shared" si="104"/>
        <v>0</v>
      </c>
      <c r="AU53" s="27"/>
      <c r="AV53" s="27"/>
      <c r="AW53" s="27"/>
      <c r="AX53" s="27"/>
      <c r="AY53" s="27"/>
      <c r="AZ53" s="27"/>
      <c r="BA53" s="27"/>
      <c r="BB53" s="26">
        <f t="shared" si="105"/>
        <v>0</v>
      </c>
      <c r="BD53" s="27"/>
      <c r="BE53" s="27"/>
      <c r="BF53" s="27"/>
      <c r="BG53" s="27"/>
      <c r="BH53" s="27"/>
      <c r="BI53" s="27"/>
      <c r="BJ53" s="27"/>
      <c r="BK53" s="26">
        <f t="shared" si="106"/>
        <v>0</v>
      </c>
      <c r="BM53" s="27">
        <v>0</v>
      </c>
      <c r="BN53" s="27"/>
      <c r="BO53" s="27"/>
      <c r="BP53" s="27"/>
      <c r="BQ53" s="27"/>
      <c r="BR53" s="27"/>
      <c r="BS53" s="27"/>
      <c r="BT53" s="26">
        <f t="shared" si="107"/>
        <v>0</v>
      </c>
      <c r="BV53" s="26">
        <f t="shared" si="110"/>
        <v>0</v>
      </c>
      <c r="BW53" s="26">
        <f t="shared" si="108"/>
        <v>0</v>
      </c>
      <c r="BX53" s="26">
        <f t="shared" si="108"/>
        <v>0</v>
      </c>
      <c r="BY53" s="26">
        <f t="shared" si="108"/>
        <v>0</v>
      </c>
      <c r="BZ53" s="26">
        <f t="shared" si="108"/>
        <v>0</v>
      </c>
      <c r="CA53" s="26">
        <f t="shared" si="108"/>
        <v>0</v>
      </c>
      <c r="CB53" s="27"/>
      <c r="CC53" s="26">
        <f t="shared" ref="CC53:CC55" si="114">SUM(BV53:CB53)</f>
        <v>0</v>
      </c>
    </row>
    <row r="54" spans="1:81">
      <c r="A54" s="29" t="s">
        <v>55</v>
      </c>
      <c r="B54" s="27"/>
      <c r="C54" s="27">
        <v>1</v>
      </c>
      <c r="D54" s="27"/>
      <c r="E54" s="27"/>
      <c r="F54" s="27"/>
      <c r="G54" s="27"/>
      <c r="H54" s="27"/>
      <c r="I54" s="26">
        <f t="shared" si="100"/>
        <v>1</v>
      </c>
      <c r="J54" s="6"/>
      <c r="K54" s="27"/>
      <c r="L54" s="27">
        <v>1</v>
      </c>
      <c r="M54" s="27"/>
      <c r="N54" s="27"/>
      <c r="O54" s="27"/>
      <c r="P54" s="27"/>
      <c r="Q54" s="27"/>
      <c r="R54" s="26">
        <f t="shared" si="101"/>
        <v>1</v>
      </c>
      <c r="T54" s="27"/>
      <c r="U54" s="27">
        <v>1</v>
      </c>
      <c r="V54" s="27"/>
      <c r="W54" s="27"/>
      <c r="X54" s="27"/>
      <c r="Y54" s="27"/>
      <c r="Z54" s="27"/>
      <c r="AA54" s="26">
        <f t="shared" si="102"/>
        <v>1</v>
      </c>
      <c r="AC54" s="27"/>
      <c r="AD54" s="27">
        <v>1</v>
      </c>
      <c r="AE54" s="27"/>
      <c r="AF54" s="27"/>
      <c r="AG54" s="27"/>
      <c r="AH54" s="27"/>
      <c r="AI54" s="27"/>
      <c r="AJ54" s="26">
        <f t="shared" si="103"/>
        <v>1</v>
      </c>
      <c r="AL54" s="27"/>
      <c r="AM54" s="27">
        <v>0</v>
      </c>
      <c r="AN54" s="27"/>
      <c r="AO54" s="27"/>
      <c r="AP54" s="27"/>
      <c r="AQ54" s="27"/>
      <c r="AR54" s="27"/>
      <c r="AS54" s="26">
        <f t="shared" si="104"/>
        <v>0</v>
      </c>
      <c r="AU54" s="27"/>
      <c r="AV54" s="27"/>
      <c r="AW54" s="27"/>
      <c r="AX54" s="27"/>
      <c r="AY54" s="27"/>
      <c r="AZ54" s="27"/>
      <c r="BA54" s="27"/>
      <c r="BB54" s="26">
        <f t="shared" si="105"/>
        <v>0</v>
      </c>
      <c r="BD54" s="27"/>
      <c r="BE54" s="27"/>
      <c r="BF54" s="27"/>
      <c r="BG54" s="27"/>
      <c r="BH54" s="27"/>
      <c r="BI54" s="27"/>
      <c r="BJ54" s="27"/>
      <c r="BK54" s="26">
        <f t="shared" si="106"/>
        <v>0</v>
      </c>
      <c r="BM54" s="27"/>
      <c r="BN54" s="27"/>
      <c r="BO54" s="27"/>
      <c r="BP54" s="27"/>
      <c r="BQ54" s="27"/>
      <c r="BR54" s="27"/>
      <c r="BS54" s="27"/>
      <c r="BT54" s="26">
        <f t="shared" si="107"/>
        <v>0</v>
      </c>
      <c r="BV54" s="26">
        <f t="shared" si="110"/>
        <v>0</v>
      </c>
      <c r="BW54" s="26">
        <f t="shared" si="108"/>
        <v>4</v>
      </c>
      <c r="BX54" s="26">
        <f t="shared" si="108"/>
        <v>0</v>
      </c>
      <c r="BY54" s="26">
        <f t="shared" si="108"/>
        <v>0</v>
      </c>
      <c r="BZ54" s="26">
        <f t="shared" si="108"/>
        <v>0</v>
      </c>
      <c r="CA54" s="26">
        <f t="shared" si="108"/>
        <v>0</v>
      </c>
      <c r="CB54" s="27"/>
      <c r="CC54" s="26">
        <f t="shared" si="114"/>
        <v>4</v>
      </c>
    </row>
    <row r="55" spans="1:81">
      <c r="A55" s="29" t="s">
        <v>56</v>
      </c>
      <c r="B55" s="27"/>
      <c r="C55" s="27">
        <v>0</v>
      </c>
      <c r="D55" s="27"/>
      <c r="E55" s="27"/>
      <c r="F55" s="27"/>
      <c r="G55" s="27"/>
      <c r="H55" s="27"/>
      <c r="I55" s="26">
        <f t="shared" si="100"/>
        <v>0</v>
      </c>
      <c r="J55" s="6"/>
      <c r="K55" s="27"/>
      <c r="L55" s="27">
        <v>0</v>
      </c>
      <c r="M55" s="27"/>
      <c r="N55" s="27"/>
      <c r="O55" s="27"/>
      <c r="P55" s="27"/>
      <c r="Q55" s="27"/>
      <c r="R55" s="26">
        <f t="shared" si="101"/>
        <v>0</v>
      </c>
      <c r="T55" s="27"/>
      <c r="U55" s="27">
        <v>1</v>
      </c>
      <c r="V55" s="27"/>
      <c r="W55" s="27"/>
      <c r="X55" s="27"/>
      <c r="Y55" s="27"/>
      <c r="Z55" s="27"/>
      <c r="AA55" s="26">
        <f t="shared" si="102"/>
        <v>1</v>
      </c>
      <c r="AC55" s="27"/>
      <c r="AD55" s="27">
        <v>1</v>
      </c>
      <c r="AE55" s="27"/>
      <c r="AF55" s="27"/>
      <c r="AG55" s="27"/>
      <c r="AH55" s="27"/>
      <c r="AI55" s="27"/>
      <c r="AJ55" s="26">
        <f t="shared" si="103"/>
        <v>1</v>
      </c>
      <c r="AL55" s="27"/>
      <c r="AM55" s="27">
        <v>0</v>
      </c>
      <c r="AN55" s="27"/>
      <c r="AO55" s="27"/>
      <c r="AP55" s="27"/>
      <c r="AQ55" s="27"/>
      <c r="AR55" s="27"/>
      <c r="AS55" s="26">
        <f t="shared" si="104"/>
        <v>0</v>
      </c>
      <c r="AU55" s="27"/>
      <c r="AV55" s="27"/>
      <c r="AW55" s="27"/>
      <c r="AX55" s="27"/>
      <c r="AY55" s="27"/>
      <c r="AZ55" s="27"/>
      <c r="BA55" s="27"/>
      <c r="BB55" s="26">
        <f t="shared" si="105"/>
        <v>0</v>
      </c>
      <c r="BD55" s="27"/>
      <c r="BE55" s="27"/>
      <c r="BF55" s="27"/>
      <c r="BG55" s="27"/>
      <c r="BH55" s="27"/>
      <c r="BI55" s="27"/>
      <c r="BJ55" s="27"/>
      <c r="BK55" s="26">
        <f t="shared" si="106"/>
        <v>0</v>
      </c>
      <c r="BM55" s="27"/>
      <c r="BN55" s="27"/>
      <c r="BO55" s="27"/>
      <c r="BP55" s="27"/>
      <c r="BQ55" s="27"/>
      <c r="BR55" s="27"/>
      <c r="BS55" s="27"/>
      <c r="BT55" s="26">
        <f t="shared" si="107"/>
        <v>0</v>
      </c>
      <c r="BV55" s="26">
        <f t="shared" si="110"/>
        <v>0</v>
      </c>
      <c r="BW55" s="26">
        <f t="shared" si="110"/>
        <v>2</v>
      </c>
      <c r="BX55" s="26">
        <f t="shared" si="110"/>
        <v>0</v>
      </c>
      <c r="BY55" s="26">
        <f t="shared" si="110"/>
        <v>0</v>
      </c>
      <c r="BZ55" s="26">
        <f t="shared" si="110"/>
        <v>0</v>
      </c>
      <c r="CA55" s="26">
        <f t="shared" si="110"/>
        <v>0</v>
      </c>
      <c r="CB55" s="27"/>
      <c r="CC55" s="26">
        <f t="shared" si="114"/>
        <v>2</v>
      </c>
    </row>
    <row r="56" spans="1:81">
      <c r="A56" s="29" t="s">
        <v>57</v>
      </c>
      <c r="B56" s="27"/>
      <c r="C56" s="27">
        <v>0</v>
      </c>
      <c r="D56" s="27"/>
      <c r="E56" s="27"/>
      <c r="F56" s="27"/>
      <c r="G56" s="27"/>
      <c r="H56" s="27"/>
      <c r="I56" s="26">
        <f>SUM(B56:H56)</f>
        <v>0</v>
      </c>
      <c r="J56" s="6"/>
      <c r="K56" s="27"/>
      <c r="L56" s="27">
        <v>0.5</v>
      </c>
      <c r="M56" s="27"/>
      <c r="N56" s="27"/>
      <c r="O56" s="27"/>
      <c r="P56" s="27"/>
      <c r="Q56" s="27"/>
      <c r="R56" s="26">
        <f>SUM(K56:Q56)</f>
        <v>0.5</v>
      </c>
      <c r="T56" s="27"/>
      <c r="U56" s="27">
        <v>0.5</v>
      </c>
      <c r="V56" s="27"/>
      <c r="W56" s="27"/>
      <c r="X56" s="27"/>
      <c r="Y56" s="27"/>
      <c r="Z56" s="27"/>
      <c r="AA56" s="26">
        <f>SUM(T56:Z56)</f>
        <v>0.5</v>
      </c>
      <c r="AC56" s="27"/>
      <c r="AD56" s="27">
        <v>1</v>
      </c>
      <c r="AE56" s="27"/>
      <c r="AF56" s="27"/>
      <c r="AG56" s="27"/>
      <c r="AH56" s="27"/>
      <c r="AI56" s="27"/>
      <c r="AJ56" s="26">
        <f>SUM(AC56:AI56)</f>
        <v>1</v>
      </c>
      <c r="AL56" s="27"/>
      <c r="AM56" s="27">
        <v>1</v>
      </c>
      <c r="AN56" s="27"/>
      <c r="AO56" s="27"/>
      <c r="AP56" s="27"/>
      <c r="AQ56" s="27"/>
      <c r="AR56" s="27"/>
      <c r="AS56" s="26">
        <f>SUM(AL56:AR56)</f>
        <v>1</v>
      </c>
      <c r="AU56" s="27"/>
      <c r="AV56" s="27"/>
      <c r="AW56" s="27"/>
      <c r="AX56" s="27"/>
      <c r="AY56" s="27"/>
      <c r="AZ56" s="27"/>
      <c r="BA56" s="27"/>
      <c r="BB56" s="26">
        <f>SUM(AU56:BA56)</f>
        <v>0</v>
      </c>
      <c r="BD56" s="27"/>
      <c r="BE56" s="27"/>
      <c r="BF56" s="27"/>
      <c r="BG56" s="27"/>
      <c r="BH56" s="27"/>
      <c r="BI56" s="27"/>
      <c r="BJ56" s="27"/>
      <c r="BK56" s="26">
        <f>SUM(BD56:BJ56)</f>
        <v>0</v>
      </c>
      <c r="BM56" s="27"/>
      <c r="BN56" s="27">
        <v>0</v>
      </c>
      <c r="BO56" s="27"/>
      <c r="BP56" s="27"/>
      <c r="BQ56" s="27"/>
      <c r="BR56" s="27"/>
      <c r="BS56" s="27"/>
      <c r="BT56" s="26">
        <f>SUM(BM56:BS56)</f>
        <v>0</v>
      </c>
      <c r="BV56" s="26">
        <f t="shared" si="110"/>
        <v>0</v>
      </c>
      <c r="BW56" s="26">
        <f t="shared" si="110"/>
        <v>3</v>
      </c>
      <c r="BX56" s="26">
        <f t="shared" si="110"/>
        <v>0</v>
      </c>
      <c r="BY56" s="26">
        <f t="shared" si="110"/>
        <v>0</v>
      </c>
      <c r="BZ56" s="26">
        <f t="shared" si="110"/>
        <v>0</v>
      </c>
      <c r="CA56" s="26">
        <f t="shared" si="110"/>
        <v>0</v>
      </c>
      <c r="CB56" s="27"/>
      <c r="CC56" s="26">
        <f>SUM(BV56:CB56)</f>
        <v>3</v>
      </c>
    </row>
    <row r="57" spans="1:81">
      <c r="A57" s="29" t="s">
        <v>58</v>
      </c>
      <c r="B57" s="27"/>
      <c r="C57" s="27"/>
      <c r="D57" s="27"/>
      <c r="E57" s="27"/>
      <c r="F57" s="27"/>
      <c r="G57" s="27"/>
      <c r="H57" s="27"/>
      <c r="I57" s="26">
        <f t="shared" si="100"/>
        <v>0</v>
      </c>
      <c r="J57" s="6"/>
      <c r="K57" s="27"/>
      <c r="L57" s="27"/>
      <c r="M57" s="27"/>
      <c r="N57" s="27"/>
      <c r="O57" s="27"/>
      <c r="P57" s="27"/>
      <c r="Q57" s="27"/>
      <c r="R57" s="26">
        <f t="shared" si="101"/>
        <v>0</v>
      </c>
      <c r="T57" s="27"/>
      <c r="U57" s="27">
        <v>0.33</v>
      </c>
      <c r="V57" s="27"/>
      <c r="W57" s="27"/>
      <c r="X57" s="27"/>
      <c r="Y57" s="27"/>
      <c r="Z57" s="27"/>
      <c r="AA57" s="26">
        <f t="shared" si="102"/>
        <v>0.33</v>
      </c>
      <c r="AC57" s="27"/>
      <c r="AD57" s="27"/>
      <c r="AE57" s="27"/>
      <c r="AF57" s="27"/>
      <c r="AG57" s="27"/>
      <c r="AH57" s="27"/>
      <c r="AI57" s="27"/>
      <c r="AJ57" s="26">
        <f t="shared" si="103"/>
        <v>0</v>
      </c>
      <c r="AL57" s="27"/>
      <c r="AM57" s="27">
        <v>0.5</v>
      </c>
      <c r="AN57" s="27"/>
      <c r="AO57" s="27"/>
      <c r="AP57" s="27"/>
      <c r="AQ57" s="27"/>
      <c r="AR57" s="27"/>
      <c r="AS57" s="26">
        <f t="shared" si="104"/>
        <v>0.5</v>
      </c>
      <c r="AU57" s="27"/>
      <c r="AV57" s="27"/>
      <c r="AW57" s="27"/>
      <c r="AX57" s="27"/>
      <c r="AY57" s="27"/>
      <c r="AZ57" s="27"/>
      <c r="BA57" s="27"/>
      <c r="BB57" s="26">
        <f t="shared" si="105"/>
        <v>0</v>
      </c>
      <c r="BD57" s="27"/>
      <c r="BE57" s="27"/>
      <c r="BF57" s="27"/>
      <c r="BG57" s="27"/>
      <c r="BH57" s="27"/>
      <c r="BI57" s="27"/>
      <c r="BJ57" s="27"/>
      <c r="BK57" s="26">
        <f t="shared" si="106"/>
        <v>0</v>
      </c>
      <c r="BM57" s="27"/>
      <c r="BN57" s="27"/>
      <c r="BO57" s="27"/>
      <c r="BP57" s="27"/>
      <c r="BQ57" s="27"/>
      <c r="BR57" s="27"/>
      <c r="BS57" s="27"/>
      <c r="BT57" s="26">
        <f t="shared" si="107"/>
        <v>0</v>
      </c>
      <c r="BV57" s="26">
        <f t="shared" si="110"/>
        <v>0</v>
      </c>
      <c r="BW57" s="26">
        <f t="shared" si="110"/>
        <v>0.83000000000000007</v>
      </c>
      <c r="BX57" s="26">
        <f t="shared" si="110"/>
        <v>0</v>
      </c>
      <c r="BY57" s="26">
        <f t="shared" si="110"/>
        <v>0</v>
      </c>
      <c r="BZ57" s="26">
        <f t="shared" si="110"/>
        <v>0</v>
      </c>
      <c r="CA57" s="26">
        <f t="shared" si="110"/>
        <v>0</v>
      </c>
      <c r="CB57" s="27"/>
      <c r="CC57" s="26">
        <f t="shared" ref="CC57" si="115">SUM(BV57:CB57)</f>
        <v>0.83000000000000007</v>
      </c>
    </row>
    <row r="58" spans="1:81">
      <c r="A58" s="29" t="s">
        <v>59</v>
      </c>
      <c r="B58" s="27">
        <v>0</v>
      </c>
      <c r="C58" s="27"/>
      <c r="D58" s="27"/>
      <c r="E58" s="27"/>
      <c r="F58" s="27"/>
      <c r="G58" s="27"/>
      <c r="H58" s="27"/>
      <c r="I58" s="26">
        <f>SUM(B58:H58)</f>
        <v>0</v>
      </c>
      <c r="J58" s="6"/>
      <c r="K58" s="27">
        <v>0</v>
      </c>
      <c r="L58" s="27">
        <v>0.5</v>
      </c>
      <c r="M58" s="27"/>
      <c r="N58" s="27"/>
      <c r="O58" s="27"/>
      <c r="P58" s="27"/>
      <c r="Q58" s="27"/>
      <c r="R58" s="26">
        <f>SUM(K58:Q58)</f>
        <v>0.5</v>
      </c>
      <c r="T58" s="27">
        <v>0</v>
      </c>
      <c r="U58" s="27">
        <v>0.5</v>
      </c>
      <c r="V58" s="27"/>
      <c r="W58" s="27"/>
      <c r="X58" s="27"/>
      <c r="Y58" s="27"/>
      <c r="Z58" s="27"/>
      <c r="AA58" s="26">
        <f>SUM(T58:Z58)</f>
        <v>0.5</v>
      </c>
      <c r="AC58" s="27">
        <v>0</v>
      </c>
      <c r="AD58" s="27">
        <v>1</v>
      </c>
      <c r="AE58" s="27"/>
      <c r="AF58" s="27"/>
      <c r="AG58" s="27"/>
      <c r="AH58" s="27"/>
      <c r="AI58" s="27"/>
      <c r="AJ58" s="26">
        <f>SUM(AC58:AI58)</f>
        <v>1</v>
      </c>
      <c r="AL58" s="27">
        <v>0</v>
      </c>
      <c r="AM58" s="27">
        <v>1</v>
      </c>
      <c r="AN58" s="27"/>
      <c r="AO58" s="27"/>
      <c r="AP58" s="27"/>
      <c r="AQ58" s="27"/>
      <c r="AR58" s="27"/>
      <c r="AS58" s="26">
        <f>SUM(AL58:AR58)</f>
        <v>1</v>
      </c>
      <c r="AU58" s="27"/>
      <c r="AV58" s="27"/>
      <c r="AW58" s="27"/>
      <c r="AX58" s="27"/>
      <c r="AY58" s="27"/>
      <c r="AZ58" s="27"/>
      <c r="BA58" s="27"/>
      <c r="BB58" s="26">
        <f>SUM(AU58:BA58)</f>
        <v>0</v>
      </c>
      <c r="BD58" s="27"/>
      <c r="BE58" s="27"/>
      <c r="BF58" s="27"/>
      <c r="BG58" s="27"/>
      <c r="BH58" s="27"/>
      <c r="BI58" s="27"/>
      <c r="BJ58" s="27"/>
      <c r="BK58" s="26">
        <f>SUM(BD58:BJ58)</f>
        <v>0</v>
      </c>
      <c r="BM58" s="27">
        <v>0</v>
      </c>
      <c r="BN58" s="27"/>
      <c r="BO58" s="27"/>
      <c r="BP58" s="27"/>
      <c r="BQ58" s="27"/>
      <c r="BR58" s="27"/>
      <c r="BS58" s="27"/>
      <c r="BT58" s="26">
        <f>SUM(BM58:BS58)</f>
        <v>0</v>
      </c>
      <c r="BV58" s="26">
        <f t="shared" si="110"/>
        <v>0</v>
      </c>
      <c r="BW58" s="26">
        <f t="shared" si="110"/>
        <v>3</v>
      </c>
      <c r="BX58" s="26">
        <f t="shared" si="110"/>
        <v>0</v>
      </c>
      <c r="BY58" s="26">
        <f t="shared" si="110"/>
        <v>0</v>
      </c>
      <c r="BZ58" s="26">
        <f t="shared" si="110"/>
        <v>0</v>
      </c>
      <c r="CA58" s="26">
        <f t="shared" si="110"/>
        <v>0</v>
      </c>
      <c r="CB58" s="27"/>
      <c r="CC58" s="26">
        <f>SUM(BV58:CB58)</f>
        <v>3</v>
      </c>
    </row>
    <row r="59" spans="1:81">
      <c r="A59" s="29" t="s">
        <v>60</v>
      </c>
      <c r="B59" s="27">
        <v>1</v>
      </c>
      <c r="C59" s="27"/>
      <c r="D59" s="27"/>
      <c r="E59" s="27"/>
      <c r="F59" s="27"/>
      <c r="G59" s="27"/>
      <c r="H59" s="27"/>
      <c r="I59" s="26">
        <f t="shared" si="100"/>
        <v>1</v>
      </c>
      <c r="J59" s="6"/>
      <c r="K59" s="27">
        <v>1</v>
      </c>
      <c r="L59" s="27"/>
      <c r="M59" s="27"/>
      <c r="N59" s="27"/>
      <c r="O59" s="27"/>
      <c r="P59" s="27"/>
      <c r="Q59" s="27"/>
      <c r="R59" s="26">
        <f t="shared" si="101"/>
        <v>1</v>
      </c>
      <c r="T59" s="27">
        <v>2</v>
      </c>
      <c r="U59" s="27"/>
      <c r="V59" s="27"/>
      <c r="W59" s="27"/>
      <c r="X59" s="27"/>
      <c r="Y59" s="27"/>
      <c r="Z59" s="27"/>
      <c r="AA59" s="26">
        <f t="shared" si="102"/>
        <v>2</v>
      </c>
      <c r="AC59" s="27">
        <v>3</v>
      </c>
      <c r="AD59" s="27"/>
      <c r="AE59" s="27"/>
      <c r="AF59" s="27"/>
      <c r="AG59" s="27"/>
      <c r="AH59" s="27"/>
      <c r="AI59" s="27"/>
      <c r="AJ59" s="26">
        <f t="shared" si="103"/>
        <v>3</v>
      </c>
      <c r="AL59" s="27">
        <v>4</v>
      </c>
      <c r="AM59" s="27"/>
      <c r="AN59" s="27"/>
      <c r="AO59" s="27"/>
      <c r="AP59" s="27"/>
      <c r="AQ59" s="27"/>
      <c r="AR59" s="27"/>
      <c r="AS59" s="26">
        <f t="shared" si="104"/>
        <v>4</v>
      </c>
      <c r="AU59" s="27"/>
      <c r="AV59" s="27"/>
      <c r="AW59" s="27"/>
      <c r="AX59" s="27"/>
      <c r="AY59" s="27"/>
      <c r="AZ59" s="27"/>
      <c r="BA59" s="27"/>
      <c r="BB59" s="26">
        <f t="shared" si="105"/>
        <v>0</v>
      </c>
      <c r="BD59" s="27"/>
      <c r="BE59" s="27"/>
      <c r="BF59" s="27"/>
      <c r="BG59" s="27"/>
      <c r="BH59" s="27"/>
      <c r="BI59" s="27"/>
      <c r="BJ59" s="27"/>
      <c r="BK59" s="26">
        <f t="shared" si="106"/>
        <v>0</v>
      </c>
      <c r="BM59" s="27">
        <v>0</v>
      </c>
      <c r="BN59" s="27"/>
      <c r="BO59" s="27"/>
      <c r="BP59" s="27"/>
      <c r="BQ59" s="27"/>
      <c r="BR59" s="27"/>
      <c r="BS59" s="27"/>
      <c r="BT59" s="26">
        <f t="shared" si="107"/>
        <v>0</v>
      </c>
      <c r="BV59" s="26">
        <f t="shared" si="110"/>
        <v>11</v>
      </c>
      <c r="BW59" s="26">
        <f t="shared" si="110"/>
        <v>0</v>
      </c>
      <c r="BX59" s="26">
        <f t="shared" si="110"/>
        <v>0</v>
      </c>
      <c r="BY59" s="26">
        <f t="shared" si="110"/>
        <v>0</v>
      </c>
      <c r="BZ59" s="26">
        <f t="shared" si="110"/>
        <v>0</v>
      </c>
      <c r="CA59" s="26">
        <f t="shared" si="110"/>
        <v>0</v>
      </c>
      <c r="CB59" s="27"/>
      <c r="CC59" s="26">
        <f t="shared" ref="CC59:CC60" si="116">SUM(BV59:CB59)</f>
        <v>11</v>
      </c>
    </row>
    <row r="60" spans="1:81">
      <c r="A60" s="25" t="s">
        <v>61</v>
      </c>
      <c r="B60" s="26"/>
      <c r="C60" s="26"/>
      <c r="D60" s="26"/>
      <c r="E60" s="26"/>
      <c r="F60" s="26"/>
      <c r="G60" s="26"/>
      <c r="H60" s="26"/>
      <c r="I60" s="26">
        <f t="shared" si="100"/>
        <v>0</v>
      </c>
      <c r="J60" s="6"/>
      <c r="K60" s="26"/>
      <c r="L60" s="26"/>
      <c r="M60" s="26"/>
      <c r="N60" s="26"/>
      <c r="O60" s="26"/>
      <c r="P60" s="26"/>
      <c r="Q60" s="26"/>
      <c r="R60" s="26">
        <f t="shared" si="101"/>
        <v>0</v>
      </c>
      <c r="T60" s="26">
        <v>1</v>
      </c>
      <c r="U60" s="26"/>
      <c r="V60" s="26"/>
      <c r="W60" s="26"/>
      <c r="X60" s="26"/>
      <c r="Y60" s="26"/>
      <c r="Z60" s="26"/>
      <c r="AA60" s="26">
        <f t="shared" si="102"/>
        <v>1</v>
      </c>
      <c r="AC60" s="26">
        <v>1</v>
      </c>
      <c r="AD60" s="26"/>
      <c r="AE60" s="26"/>
      <c r="AF60" s="26"/>
      <c r="AG60" s="26"/>
      <c r="AH60" s="26"/>
      <c r="AI60" s="26"/>
      <c r="AJ60" s="26">
        <f t="shared" si="103"/>
        <v>1</v>
      </c>
      <c r="AL60" s="26">
        <v>2</v>
      </c>
      <c r="AM60" s="26"/>
      <c r="AN60" s="26"/>
      <c r="AO60" s="26"/>
      <c r="AP60" s="26"/>
      <c r="AQ60" s="26"/>
      <c r="AR60" s="26"/>
      <c r="AS60" s="26">
        <f t="shared" si="104"/>
        <v>2</v>
      </c>
      <c r="AU60" s="26"/>
      <c r="AV60" s="26"/>
      <c r="AW60" s="26"/>
      <c r="AX60" s="26"/>
      <c r="AY60" s="26"/>
      <c r="AZ60" s="26"/>
      <c r="BA60" s="26"/>
      <c r="BB60" s="26">
        <f t="shared" si="105"/>
        <v>0</v>
      </c>
      <c r="BD60" s="26"/>
      <c r="BE60" s="26"/>
      <c r="BF60" s="26"/>
      <c r="BG60" s="26"/>
      <c r="BH60" s="26"/>
      <c r="BI60" s="26"/>
      <c r="BJ60" s="26"/>
      <c r="BK60" s="26">
        <f t="shared" si="106"/>
        <v>0</v>
      </c>
      <c r="BM60" s="26"/>
      <c r="BN60" s="26"/>
      <c r="BO60" s="26"/>
      <c r="BP60" s="26"/>
      <c r="BQ60" s="26"/>
      <c r="BR60" s="26"/>
      <c r="BS60" s="26"/>
      <c r="BT60" s="26">
        <f t="shared" si="107"/>
        <v>0</v>
      </c>
      <c r="BV60" s="26">
        <f t="shared" si="110"/>
        <v>4</v>
      </c>
      <c r="BW60" s="26">
        <f t="shared" si="110"/>
        <v>0</v>
      </c>
      <c r="BX60" s="26">
        <f t="shared" si="110"/>
        <v>0</v>
      </c>
      <c r="BY60" s="26">
        <f t="shared" si="110"/>
        <v>0</v>
      </c>
      <c r="BZ60" s="26">
        <f t="shared" si="110"/>
        <v>0</v>
      </c>
      <c r="CA60" s="26">
        <f t="shared" si="110"/>
        <v>0</v>
      </c>
      <c r="CB60" s="26"/>
      <c r="CC60" s="26">
        <f t="shared" si="116"/>
        <v>4</v>
      </c>
    </row>
    <row r="61" spans="1:81" ht="15">
      <c r="A61" s="24" t="s">
        <v>62</v>
      </c>
      <c r="B61" s="33">
        <f t="shared" ref="B61:I61" si="117">SUM(B39:B60)</f>
        <v>18</v>
      </c>
      <c r="C61" s="33">
        <f t="shared" si="117"/>
        <v>5</v>
      </c>
      <c r="D61" s="33">
        <f t="shared" si="117"/>
        <v>2</v>
      </c>
      <c r="E61" s="33">
        <f t="shared" si="117"/>
        <v>0</v>
      </c>
      <c r="F61" s="33">
        <f t="shared" si="117"/>
        <v>0</v>
      </c>
      <c r="G61" s="33">
        <f t="shared" si="117"/>
        <v>0</v>
      </c>
      <c r="H61" s="33">
        <f t="shared" si="117"/>
        <v>0</v>
      </c>
      <c r="I61" s="33">
        <f t="shared" si="117"/>
        <v>25</v>
      </c>
      <c r="J61" s="7"/>
      <c r="K61" s="33">
        <f t="shared" ref="K61:R61" si="118">SUM(K39:K60)</f>
        <v>22</v>
      </c>
      <c r="L61" s="33">
        <f t="shared" si="118"/>
        <v>6</v>
      </c>
      <c r="M61" s="33">
        <f t="shared" si="118"/>
        <v>2</v>
      </c>
      <c r="N61" s="33">
        <f t="shared" si="118"/>
        <v>0</v>
      </c>
      <c r="O61" s="33">
        <f t="shared" si="118"/>
        <v>0</v>
      </c>
      <c r="P61" s="33">
        <f t="shared" si="118"/>
        <v>0</v>
      </c>
      <c r="Q61" s="33">
        <f t="shared" si="118"/>
        <v>0</v>
      </c>
      <c r="R61" s="33">
        <f t="shared" si="118"/>
        <v>30</v>
      </c>
      <c r="T61" s="33">
        <f t="shared" ref="T61:AA61" si="119">SUM(T39:T60)</f>
        <v>22</v>
      </c>
      <c r="U61" s="33">
        <f t="shared" si="119"/>
        <v>8.33</v>
      </c>
      <c r="V61" s="33">
        <f t="shared" si="119"/>
        <v>2</v>
      </c>
      <c r="W61" s="33">
        <f t="shared" si="119"/>
        <v>0</v>
      </c>
      <c r="X61" s="33">
        <f t="shared" si="119"/>
        <v>0</v>
      </c>
      <c r="Y61" s="33">
        <f t="shared" si="119"/>
        <v>0</v>
      </c>
      <c r="Z61" s="33">
        <f t="shared" si="119"/>
        <v>0</v>
      </c>
      <c r="AA61" s="33">
        <f t="shared" si="119"/>
        <v>32.33</v>
      </c>
      <c r="AC61" s="33">
        <f t="shared" ref="AC61:AJ61" si="120">SUM(AC39:AC60)</f>
        <v>49</v>
      </c>
      <c r="AD61" s="33">
        <f t="shared" si="120"/>
        <v>17</v>
      </c>
      <c r="AE61" s="33">
        <f t="shared" si="120"/>
        <v>6</v>
      </c>
      <c r="AF61" s="33">
        <f t="shared" si="120"/>
        <v>0</v>
      </c>
      <c r="AG61" s="33">
        <f t="shared" si="120"/>
        <v>0</v>
      </c>
      <c r="AH61" s="33">
        <f t="shared" si="120"/>
        <v>0</v>
      </c>
      <c r="AI61" s="33">
        <f t="shared" si="120"/>
        <v>0</v>
      </c>
      <c r="AJ61" s="33">
        <f t="shared" si="120"/>
        <v>72</v>
      </c>
      <c r="AL61" s="33">
        <f t="shared" ref="AL61:AS61" si="121">SUM(AL39:AL60)</f>
        <v>42</v>
      </c>
      <c r="AM61" s="33">
        <f t="shared" si="121"/>
        <v>14.5</v>
      </c>
      <c r="AN61" s="33">
        <f t="shared" si="121"/>
        <v>4</v>
      </c>
      <c r="AO61" s="33">
        <f t="shared" si="121"/>
        <v>0</v>
      </c>
      <c r="AP61" s="33">
        <f t="shared" si="121"/>
        <v>0</v>
      </c>
      <c r="AQ61" s="33">
        <f t="shared" si="121"/>
        <v>0</v>
      </c>
      <c r="AR61" s="33">
        <f t="shared" si="121"/>
        <v>0</v>
      </c>
      <c r="AS61" s="33">
        <f t="shared" si="121"/>
        <v>60.5</v>
      </c>
      <c r="AU61" s="33">
        <f t="shared" ref="AU61:BB61" si="122">SUM(AU39:AU60)</f>
        <v>3</v>
      </c>
      <c r="AV61" s="33">
        <f t="shared" si="122"/>
        <v>1</v>
      </c>
      <c r="AW61" s="33">
        <f t="shared" si="122"/>
        <v>0</v>
      </c>
      <c r="AX61" s="33">
        <f t="shared" si="122"/>
        <v>0</v>
      </c>
      <c r="AY61" s="33">
        <f t="shared" si="122"/>
        <v>0</v>
      </c>
      <c r="AZ61" s="33">
        <f t="shared" si="122"/>
        <v>0</v>
      </c>
      <c r="BA61" s="33">
        <f t="shared" si="122"/>
        <v>0</v>
      </c>
      <c r="BB61" s="33">
        <f t="shared" si="122"/>
        <v>4</v>
      </c>
      <c r="BD61" s="33">
        <f t="shared" ref="BD61:BK61" si="123">SUM(BD39:BD60)</f>
        <v>9</v>
      </c>
      <c r="BE61" s="33">
        <f t="shared" si="123"/>
        <v>1</v>
      </c>
      <c r="BF61" s="33">
        <f t="shared" si="123"/>
        <v>1</v>
      </c>
      <c r="BG61" s="33">
        <f t="shared" si="123"/>
        <v>0</v>
      </c>
      <c r="BH61" s="33">
        <f t="shared" si="123"/>
        <v>0</v>
      </c>
      <c r="BI61" s="33">
        <f t="shared" si="123"/>
        <v>0</v>
      </c>
      <c r="BJ61" s="33">
        <f t="shared" si="123"/>
        <v>0</v>
      </c>
      <c r="BK61" s="33">
        <f t="shared" si="123"/>
        <v>11</v>
      </c>
      <c r="BM61" s="33">
        <f t="shared" ref="BM61:BT61" si="124">SUM(BM39:BM60)</f>
        <v>2.5</v>
      </c>
      <c r="BN61" s="33">
        <f t="shared" si="124"/>
        <v>0</v>
      </c>
      <c r="BO61" s="33">
        <f t="shared" si="124"/>
        <v>0.5</v>
      </c>
      <c r="BP61" s="33">
        <f t="shared" si="124"/>
        <v>0</v>
      </c>
      <c r="BQ61" s="33">
        <f t="shared" si="124"/>
        <v>0</v>
      </c>
      <c r="BR61" s="33">
        <f t="shared" si="124"/>
        <v>0</v>
      </c>
      <c r="BS61" s="33">
        <f t="shared" si="124"/>
        <v>0</v>
      </c>
      <c r="BT61" s="33">
        <f t="shared" si="124"/>
        <v>3</v>
      </c>
      <c r="BV61" s="33">
        <f t="shared" ref="BV61:CC61" si="125">SUM(BV39:BV60)</f>
        <v>167.5</v>
      </c>
      <c r="BW61" s="33">
        <f t="shared" si="125"/>
        <v>52.83</v>
      </c>
      <c r="BX61" s="33">
        <f t="shared" si="125"/>
        <v>17.5</v>
      </c>
      <c r="BY61" s="33">
        <f t="shared" si="125"/>
        <v>0</v>
      </c>
      <c r="BZ61" s="33">
        <f t="shared" si="125"/>
        <v>0</v>
      </c>
      <c r="CA61" s="33">
        <f t="shared" si="125"/>
        <v>0</v>
      </c>
      <c r="CB61" s="33">
        <f t="shared" si="125"/>
        <v>0</v>
      </c>
      <c r="CC61" s="33">
        <f t="shared" si="125"/>
        <v>237.83</v>
      </c>
    </row>
    <row r="62" spans="1:81" ht="15.75" thickBot="1">
      <c r="A62" s="34"/>
      <c r="B62" s="35"/>
      <c r="C62" s="35"/>
      <c r="D62" s="35"/>
      <c r="E62" s="35"/>
      <c r="F62" s="35"/>
      <c r="G62" s="35"/>
      <c r="H62" s="35"/>
      <c r="I62" s="35"/>
      <c r="J62" s="7"/>
      <c r="K62" s="35"/>
      <c r="L62" s="35"/>
      <c r="M62" s="35"/>
      <c r="N62" s="35"/>
      <c r="O62" s="35"/>
      <c r="P62" s="35"/>
      <c r="Q62" s="35"/>
      <c r="R62" s="35"/>
      <c r="T62" s="35"/>
      <c r="U62" s="35"/>
      <c r="V62" s="35"/>
      <c r="W62" s="35"/>
      <c r="X62" s="35"/>
      <c r="Y62" s="35"/>
      <c r="Z62" s="35"/>
      <c r="AA62" s="35"/>
      <c r="AC62" s="35"/>
      <c r="AD62" s="35"/>
      <c r="AE62" s="35"/>
      <c r="AF62" s="35"/>
      <c r="AG62" s="35"/>
      <c r="AH62" s="35"/>
      <c r="AI62" s="35"/>
      <c r="AJ62" s="35"/>
      <c r="AL62" s="35"/>
      <c r="AM62" s="35"/>
      <c r="AN62" s="35"/>
      <c r="AO62" s="35"/>
      <c r="AP62" s="35"/>
      <c r="AQ62" s="35"/>
      <c r="AR62" s="35"/>
      <c r="AS62" s="35"/>
      <c r="AU62" s="35"/>
      <c r="AV62" s="35"/>
      <c r="AW62" s="35"/>
      <c r="AX62" s="35"/>
      <c r="AY62" s="35"/>
      <c r="AZ62" s="35"/>
      <c r="BA62" s="35"/>
      <c r="BB62" s="35"/>
      <c r="BD62" s="35"/>
      <c r="BE62" s="35"/>
      <c r="BF62" s="35"/>
      <c r="BG62" s="35"/>
      <c r="BH62" s="35"/>
      <c r="BI62" s="35"/>
      <c r="BJ62" s="35"/>
      <c r="BK62" s="35"/>
      <c r="BM62" s="35"/>
      <c r="BN62" s="35"/>
      <c r="BO62" s="35"/>
      <c r="BP62" s="35"/>
      <c r="BQ62" s="35"/>
      <c r="BR62" s="35"/>
      <c r="BS62" s="35"/>
      <c r="BT62" s="35"/>
      <c r="BV62" s="35"/>
      <c r="BW62" s="35"/>
      <c r="BX62" s="35"/>
      <c r="BY62" s="35"/>
      <c r="BZ62" s="35"/>
      <c r="CA62" s="35"/>
      <c r="CB62" s="35"/>
      <c r="CC62" s="35"/>
    </row>
    <row r="63" spans="1:81" ht="15">
      <c r="A63" s="36" t="s">
        <v>63</v>
      </c>
      <c r="B63" s="37">
        <f t="shared" ref="B63:I63" si="126">B36</f>
        <v>42.5</v>
      </c>
      <c r="C63" s="37">
        <f t="shared" si="126"/>
        <v>5</v>
      </c>
      <c r="D63" s="37">
        <f t="shared" si="126"/>
        <v>0</v>
      </c>
      <c r="E63" s="37">
        <f t="shared" si="126"/>
        <v>0</v>
      </c>
      <c r="F63" s="37">
        <f t="shared" si="126"/>
        <v>0</v>
      </c>
      <c r="G63" s="37">
        <f t="shared" si="126"/>
        <v>0</v>
      </c>
      <c r="H63" s="37">
        <f t="shared" si="126"/>
        <v>0</v>
      </c>
      <c r="I63" s="37">
        <f t="shared" si="126"/>
        <v>47.5</v>
      </c>
      <c r="J63" s="7"/>
      <c r="K63" s="37">
        <f t="shared" ref="K63:R63" si="127">K36</f>
        <v>44</v>
      </c>
      <c r="L63" s="37">
        <f t="shared" si="127"/>
        <v>4</v>
      </c>
      <c r="M63" s="37">
        <f t="shared" si="127"/>
        <v>0</v>
      </c>
      <c r="N63" s="37">
        <f t="shared" si="127"/>
        <v>0</v>
      </c>
      <c r="O63" s="37">
        <f t="shared" si="127"/>
        <v>0</v>
      </c>
      <c r="P63" s="37">
        <f t="shared" si="127"/>
        <v>0</v>
      </c>
      <c r="Q63" s="37">
        <f t="shared" si="127"/>
        <v>0</v>
      </c>
      <c r="R63" s="37">
        <f t="shared" si="127"/>
        <v>48</v>
      </c>
      <c r="T63" s="37">
        <f t="shared" ref="T63:AA63" si="128">T36</f>
        <v>56</v>
      </c>
      <c r="U63" s="37">
        <f t="shared" si="128"/>
        <v>5</v>
      </c>
      <c r="V63" s="37">
        <f t="shared" si="128"/>
        <v>0</v>
      </c>
      <c r="W63" s="37">
        <f t="shared" si="128"/>
        <v>0</v>
      </c>
      <c r="X63" s="37">
        <f t="shared" si="128"/>
        <v>0</v>
      </c>
      <c r="Y63" s="37">
        <f t="shared" si="128"/>
        <v>0</v>
      </c>
      <c r="Z63" s="37">
        <f t="shared" si="128"/>
        <v>0</v>
      </c>
      <c r="AA63" s="37">
        <f t="shared" si="128"/>
        <v>61</v>
      </c>
      <c r="AC63" s="37">
        <f t="shared" ref="AC63:AJ63" si="129">AC36</f>
        <v>102</v>
      </c>
      <c r="AD63" s="37">
        <f t="shared" si="129"/>
        <v>13</v>
      </c>
      <c r="AE63" s="37">
        <f t="shared" si="129"/>
        <v>0</v>
      </c>
      <c r="AF63" s="37">
        <f t="shared" si="129"/>
        <v>0</v>
      </c>
      <c r="AG63" s="37">
        <f t="shared" si="129"/>
        <v>0</v>
      </c>
      <c r="AH63" s="37">
        <f t="shared" si="129"/>
        <v>0</v>
      </c>
      <c r="AI63" s="37">
        <f t="shared" si="129"/>
        <v>0</v>
      </c>
      <c r="AJ63" s="37">
        <f t="shared" si="129"/>
        <v>115</v>
      </c>
      <c r="AL63" s="37">
        <f t="shared" ref="AL63:AS63" si="130">AL36</f>
        <v>98</v>
      </c>
      <c r="AM63" s="37">
        <f t="shared" si="130"/>
        <v>12</v>
      </c>
      <c r="AN63" s="37">
        <f t="shared" si="130"/>
        <v>0</v>
      </c>
      <c r="AO63" s="37">
        <f t="shared" si="130"/>
        <v>0</v>
      </c>
      <c r="AP63" s="37">
        <f t="shared" si="130"/>
        <v>0</v>
      </c>
      <c r="AQ63" s="37">
        <f t="shared" si="130"/>
        <v>0</v>
      </c>
      <c r="AR63" s="37">
        <f t="shared" si="130"/>
        <v>0</v>
      </c>
      <c r="AS63" s="37">
        <f t="shared" si="130"/>
        <v>110</v>
      </c>
      <c r="AU63" s="37">
        <f t="shared" ref="AU63:BB63" si="131">AU36</f>
        <v>0</v>
      </c>
      <c r="AV63" s="37">
        <f t="shared" si="131"/>
        <v>1</v>
      </c>
      <c r="AW63" s="37">
        <f t="shared" si="131"/>
        <v>0</v>
      </c>
      <c r="AX63" s="37">
        <f t="shared" si="131"/>
        <v>0</v>
      </c>
      <c r="AY63" s="37">
        <f t="shared" si="131"/>
        <v>0</v>
      </c>
      <c r="AZ63" s="37">
        <f t="shared" si="131"/>
        <v>0</v>
      </c>
      <c r="BA63" s="37">
        <f t="shared" si="131"/>
        <v>0</v>
      </c>
      <c r="BB63" s="37">
        <f t="shared" si="131"/>
        <v>1</v>
      </c>
      <c r="BD63" s="37">
        <f t="shared" ref="BD63:BK63" si="132">BD36</f>
        <v>23</v>
      </c>
      <c r="BE63" s="37">
        <f t="shared" si="132"/>
        <v>1</v>
      </c>
      <c r="BF63" s="37">
        <f t="shared" si="132"/>
        <v>0</v>
      </c>
      <c r="BG63" s="37">
        <f t="shared" si="132"/>
        <v>0</v>
      </c>
      <c r="BH63" s="37">
        <f t="shared" si="132"/>
        <v>0</v>
      </c>
      <c r="BI63" s="37">
        <f t="shared" si="132"/>
        <v>0</v>
      </c>
      <c r="BJ63" s="37">
        <f t="shared" si="132"/>
        <v>0</v>
      </c>
      <c r="BK63" s="37">
        <f t="shared" si="132"/>
        <v>24</v>
      </c>
      <c r="BM63" s="37">
        <f t="shared" ref="BM63:BT63" si="133">BM36</f>
        <v>1</v>
      </c>
      <c r="BN63" s="37">
        <f t="shared" si="133"/>
        <v>0</v>
      </c>
      <c r="BO63" s="37">
        <f t="shared" si="133"/>
        <v>0</v>
      </c>
      <c r="BP63" s="37">
        <f t="shared" si="133"/>
        <v>0</v>
      </c>
      <c r="BQ63" s="37">
        <f t="shared" si="133"/>
        <v>0</v>
      </c>
      <c r="BR63" s="37">
        <f t="shared" si="133"/>
        <v>0</v>
      </c>
      <c r="BS63" s="37">
        <f t="shared" si="133"/>
        <v>0</v>
      </c>
      <c r="BT63" s="37">
        <f t="shared" si="133"/>
        <v>1</v>
      </c>
      <c r="BV63" s="37">
        <f t="shared" ref="BV63:CC63" si="134">BV36</f>
        <v>366.5</v>
      </c>
      <c r="BW63" s="37">
        <f t="shared" si="134"/>
        <v>41</v>
      </c>
      <c r="BX63" s="37">
        <f t="shared" si="134"/>
        <v>0</v>
      </c>
      <c r="BY63" s="37">
        <f t="shared" si="134"/>
        <v>0</v>
      </c>
      <c r="BZ63" s="37">
        <f t="shared" si="134"/>
        <v>0</v>
      </c>
      <c r="CA63" s="37">
        <f t="shared" si="134"/>
        <v>0</v>
      </c>
      <c r="CB63" s="37">
        <f t="shared" si="134"/>
        <v>0</v>
      </c>
      <c r="CC63" s="37">
        <f t="shared" si="134"/>
        <v>407.5</v>
      </c>
    </row>
    <row r="64" spans="1:81" ht="15">
      <c r="A64" s="38" t="s">
        <v>64</v>
      </c>
      <c r="B64" s="39">
        <f>B61</f>
        <v>18</v>
      </c>
      <c r="C64" s="39">
        <f t="shared" ref="C64:I64" si="135">C61</f>
        <v>5</v>
      </c>
      <c r="D64" s="39">
        <f t="shared" si="135"/>
        <v>2</v>
      </c>
      <c r="E64" s="39">
        <f t="shared" si="135"/>
        <v>0</v>
      </c>
      <c r="F64" s="39">
        <f t="shared" si="135"/>
        <v>0</v>
      </c>
      <c r="G64" s="39">
        <f t="shared" si="135"/>
        <v>0</v>
      </c>
      <c r="H64" s="39">
        <f t="shared" si="135"/>
        <v>0</v>
      </c>
      <c r="I64" s="39">
        <f t="shared" si="135"/>
        <v>25</v>
      </c>
      <c r="J64" s="7"/>
      <c r="K64" s="39">
        <f>K61</f>
        <v>22</v>
      </c>
      <c r="L64" s="39">
        <f t="shared" ref="L64:R64" si="136">L61</f>
        <v>6</v>
      </c>
      <c r="M64" s="39">
        <f t="shared" si="136"/>
        <v>2</v>
      </c>
      <c r="N64" s="39">
        <f t="shared" si="136"/>
        <v>0</v>
      </c>
      <c r="O64" s="39">
        <f t="shared" si="136"/>
        <v>0</v>
      </c>
      <c r="P64" s="39">
        <f t="shared" si="136"/>
        <v>0</v>
      </c>
      <c r="Q64" s="39">
        <f t="shared" si="136"/>
        <v>0</v>
      </c>
      <c r="R64" s="39">
        <f t="shared" si="136"/>
        <v>30</v>
      </c>
      <c r="T64" s="39">
        <f>T61</f>
        <v>22</v>
      </c>
      <c r="U64" s="39">
        <f t="shared" ref="U64:AA64" si="137">U61</f>
        <v>8.33</v>
      </c>
      <c r="V64" s="39">
        <f t="shared" si="137"/>
        <v>2</v>
      </c>
      <c r="W64" s="39">
        <f t="shared" si="137"/>
        <v>0</v>
      </c>
      <c r="X64" s="39">
        <f t="shared" si="137"/>
        <v>0</v>
      </c>
      <c r="Y64" s="39">
        <f t="shared" si="137"/>
        <v>0</v>
      </c>
      <c r="Z64" s="39">
        <f t="shared" si="137"/>
        <v>0</v>
      </c>
      <c r="AA64" s="39">
        <f t="shared" si="137"/>
        <v>32.33</v>
      </c>
      <c r="AC64" s="39">
        <f>AC61</f>
        <v>49</v>
      </c>
      <c r="AD64" s="39">
        <f t="shared" ref="AD64:AJ64" si="138">AD61</f>
        <v>17</v>
      </c>
      <c r="AE64" s="39">
        <f t="shared" si="138"/>
        <v>6</v>
      </c>
      <c r="AF64" s="39">
        <f t="shared" si="138"/>
        <v>0</v>
      </c>
      <c r="AG64" s="39">
        <f t="shared" si="138"/>
        <v>0</v>
      </c>
      <c r="AH64" s="39">
        <f t="shared" si="138"/>
        <v>0</v>
      </c>
      <c r="AI64" s="39">
        <f t="shared" si="138"/>
        <v>0</v>
      </c>
      <c r="AJ64" s="39">
        <f t="shared" si="138"/>
        <v>72</v>
      </c>
      <c r="AL64" s="39">
        <f>AL61</f>
        <v>42</v>
      </c>
      <c r="AM64" s="39">
        <f t="shared" ref="AM64:AS64" si="139">AM61</f>
        <v>14.5</v>
      </c>
      <c r="AN64" s="39">
        <f t="shared" si="139"/>
        <v>4</v>
      </c>
      <c r="AO64" s="39">
        <f t="shared" si="139"/>
        <v>0</v>
      </c>
      <c r="AP64" s="39">
        <f t="shared" si="139"/>
        <v>0</v>
      </c>
      <c r="AQ64" s="39">
        <f t="shared" si="139"/>
        <v>0</v>
      </c>
      <c r="AR64" s="39">
        <f t="shared" si="139"/>
        <v>0</v>
      </c>
      <c r="AS64" s="39">
        <f t="shared" si="139"/>
        <v>60.5</v>
      </c>
      <c r="AU64" s="39">
        <f>AU61</f>
        <v>3</v>
      </c>
      <c r="AV64" s="39">
        <f t="shared" ref="AV64:BB64" si="140">AV61</f>
        <v>1</v>
      </c>
      <c r="AW64" s="39">
        <f t="shared" si="140"/>
        <v>0</v>
      </c>
      <c r="AX64" s="39">
        <f t="shared" si="140"/>
        <v>0</v>
      </c>
      <c r="AY64" s="39">
        <f t="shared" si="140"/>
        <v>0</v>
      </c>
      <c r="AZ64" s="39">
        <f t="shared" si="140"/>
        <v>0</v>
      </c>
      <c r="BA64" s="39">
        <f t="shared" si="140"/>
        <v>0</v>
      </c>
      <c r="BB64" s="39">
        <f t="shared" si="140"/>
        <v>4</v>
      </c>
      <c r="BD64" s="39">
        <f>BD61</f>
        <v>9</v>
      </c>
      <c r="BE64" s="39">
        <f t="shared" ref="BE64:BK64" si="141">BE61</f>
        <v>1</v>
      </c>
      <c r="BF64" s="39">
        <f t="shared" si="141"/>
        <v>1</v>
      </c>
      <c r="BG64" s="39">
        <f t="shared" si="141"/>
        <v>0</v>
      </c>
      <c r="BH64" s="39">
        <f t="shared" si="141"/>
        <v>0</v>
      </c>
      <c r="BI64" s="39">
        <f t="shared" si="141"/>
        <v>0</v>
      </c>
      <c r="BJ64" s="39">
        <f t="shared" si="141"/>
        <v>0</v>
      </c>
      <c r="BK64" s="39">
        <f t="shared" si="141"/>
        <v>11</v>
      </c>
      <c r="BM64" s="39">
        <f>BM61</f>
        <v>2.5</v>
      </c>
      <c r="BN64" s="39">
        <f t="shared" ref="BN64:BT64" si="142">BN61</f>
        <v>0</v>
      </c>
      <c r="BO64" s="39">
        <f t="shared" si="142"/>
        <v>0.5</v>
      </c>
      <c r="BP64" s="39">
        <f t="shared" si="142"/>
        <v>0</v>
      </c>
      <c r="BQ64" s="39">
        <f t="shared" si="142"/>
        <v>0</v>
      </c>
      <c r="BR64" s="39">
        <f t="shared" si="142"/>
        <v>0</v>
      </c>
      <c r="BS64" s="39">
        <f t="shared" si="142"/>
        <v>0</v>
      </c>
      <c r="BT64" s="39">
        <f t="shared" si="142"/>
        <v>3</v>
      </c>
      <c r="BV64" s="39">
        <f>BV61</f>
        <v>167.5</v>
      </c>
      <c r="BW64" s="39">
        <f t="shared" ref="BW64:CC64" si="143">BW61</f>
        <v>52.83</v>
      </c>
      <c r="BX64" s="39">
        <f t="shared" si="143"/>
        <v>17.5</v>
      </c>
      <c r="BY64" s="39">
        <f t="shared" si="143"/>
        <v>0</v>
      </c>
      <c r="BZ64" s="39">
        <f t="shared" si="143"/>
        <v>0</v>
      </c>
      <c r="CA64" s="39">
        <f t="shared" si="143"/>
        <v>0</v>
      </c>
      <c r="CB64" s="39">
        <f t="shared" si="143"/>
        <v>0</v>
      </c>
      <c r="CC64" s="39">
        <f t="shared" si="143"/>
        <v>237.83</v>
      </c>
    </row>
    <row r="65" spans="1:81" ht="15.75" thickBot="1">
      <c r="A65" s="40" t="s">
        <v>65</v>
      </c>
      <c r="B65" s="41">
        <f>SUM(B63:B64)</f>
        <v>60.5</v>
      </c>
      <c r="C65" s="41">
        <f t="shared" ref="C65:H65" si="144">SUM(C63:C64)</f>
        <v>10</v>
      </c>
      <c r="D65" s="41">
        <f t="shared" si="144"/>
        <v>2</v>
      </c>
      <c r="E65" s="41">
        <f t="shared" si="144"/>
        <v>0</v>
      </c>
      <c r="F65" s="41">
        <f t="shared" si="144"/>
        <v>0</v>
      </c>
      <c r="G65" s="41">
        <f t="shared" si="144"/>
        <v>0</v>
      </c>
      <c r="H65" s="41">
        <f t="shared" si="144"/>
        <v>0</v>
      </c>
      <c r="I65" s="41">
        <f>SUM(I63:I64)</f>
        <v>72.5</v>
      </c>
      <c r="J65" s="7"/>
      <c r="K65" s="41">
        <f>SUM(K63:K64)</f>
        <v>66</v>
      </c>
      <c r="L65" s="41">
        <f t="shared" ref="L65:Q65" si="145">SUM(L63:L64)</f>
        <v>10</v>
      </c>
      <c r="M65" s="41">
        <f t="shared" si="145"/>
        <v>2</v>
      </c>
      <c r="N65" s="41">
        <f t="shared" si="145"/>
        <v>0</v>
      </c>
      <c r="O65" s="41">
        <f t="shared" si="145"/>
        <v>0</v>
      </c>
      <c r="P65" s="41">
        <f t="shared" si="145"/>
        <v>0</v>
      </c>
      <c r="Q65" s="41">
        <f t="shared" si="145"/>
        <v>0</v>
      </c>
      <c r="R65" s="41">
        <f>SUM(R63:R64)</f>
        <v>78</v>
      </c>
      <c r="T65" s="41">
        <f>SUM(T63:T64)</f>
        <v>78</v>
      </c>
      <c r="U65" s="41">
        <f t="shared" ref="U65:Z65" si="146">SUM(U63:U64)</f>
        <v>13.33</v>
      </c>
      <c r="V65" s="41">
        <f t="shared" si="146"/>
        <v>2</v>
      </c>
      <c r="W65" s="41">
        <f t="shared" si="146"/>
        <v>0</v>
      </c>
      <c r="X65" s="41">
        <f t="shared" si="146"/>
        <v>0</v>
      </c>
      <c r="Y65" s="41">
        <f t="shared" si="146"/>
        <v>0</v>
      </c>
      <c r="Z65" s="41">
        <f t="shared" si="146"/>
        <v>0</v>
      </c>
      <c r="AA65" s="41">
        <f>SUM(AA63:AA64)</f>
        <v>93.33</v>
      </c>
      <c r="AC65" s="41">
        <f>SUM(AC63:AC64)</f>
        <v>151</v>
      </c>
      <c r="AD65" s="41">
        <f t="shared" ref="AD65:AI65" si="147">SUM(AD63:AD64)</f>
        <v>30</v>
      </c>
      <c r="AE65" s="41">
        <f t="shared" si="147"/>
        <v>6</v>
      </c>
      <c r="AF65" s="41">
        <f t="shared" si="147"/>
        <v>0</v>
      </c>
      <c r="AG65" s="41">
        <f t="shared" si="147"/>
        <v>0</v>
      </c>
      <c r="AH65" s="41">
        <f t="shared" si="147"/>
        <v>0</v>
      </c>
      <c r="AI65" s="41">
        <f t="shared" si="147"/>
        <v>0</v>
      </c>
      <c r="AJ65" s="41">
        <f>SUM(AJ63:AJ64)</f>
        <v>187</v>
      </c>
      <c r="AL65" s="41">
        <f>SUM(AL63:AL64)</f>
        <v>140</v>
      </c>
      <c r="AM65" s="41">
        <f t="shared" ref="AM65:AR65" si="148">SUM(AM63:AM64)</f>
        <v>26.5</v>
      </c>
      <c r="AN65" s="41">
        <f t="shared" si="148"/>
        <v>4</v>
      </c>
      <c r="AO65" s="41">
        <f t="shared" si="148"/>
        <v>0</v>
      </c>
      <c r="AP65" s="41">
        <f t="shared" si="148"/>
        <v>0</v>
      </c>
      <c r="AQ65" s="41">
        <f t="shared" si="148"/>
        <v>0</v>
      </c>
      <c r="AR65" s="41">
        <f t="shared" si="148"/>
        <v>0</v>
      </c>
      <c r="AS65" s="41">
        <f>SUM(AS63:AS64)</f>
        <v>170.5</v>
      </c>
      <c r="AU65" s="41">
        <f>SUM(AU63:AU64)</f>
        <v>3</v>
      </c>
      <c r="AV65" s="41">
        <f t="shared" ref="AV65:BA65" si="149">SUM(AV63:AV64)</f>
        <v>2</v>
      </c>
      <c r="AW65" s="41">
        <f t="shared" si="149"/>
        <v>0</v>
      </c>
      <c r="AX65" s="41">
        <f t="shared" si="149"/>
        <v>0</v>
      </c>
      <c r="AY65" s="41">
        <f t="shared" si="149"/>
        <v>0</v>
      </c>
      <c r="AZ65" s="41">
        <f t="shared" si="149"/>
        <v>0</v>
      </c>
      <c r="BA65" s="41">
        <f t="shared" si="149"/>
        <v>0</v>
      </c>
      <c r="BB65" s="41">
        <f>SUM(BB63:BB64)</f>
        <v>5</v>
      </c>
      <c r="BD65" s="41">
        <f>SUM(BD63:BD64)</f>
        <v>32</v>
      </c>
      <c r="BE65" s="41">
        <f t="shared" ref="BE65:BJ65" si="150">SUM(BE63:BE64)</f>
        <v>2</v>
      </c>
      <c r="BF65" s="41">
        <f t="shared" si="150"/>
        <v>1</v>
      </c>
      <c r="BG65" s="41">
        <f t="shared" si="150"/>
        <v>0</v>
      </c>
      <c r="BH65" s="41">
        <f t="shared" si="150"/>
        <v>0</v>
      </c>
      <c r="BI65" s="41">
        <f t="shared" si="150"/>
        <v>0</v>
      </c>
      <c r="BJ65" s="41">
        <f t="shared" si="150"/>
        <v>0</v>
      </c>
      <c r="BK65" s="41">
        <f>SUM(BK63:BK64)</f>
        <v>35</v>
      </c>
      <c r="BM65" s="41">
        <f>SUM(BM63:BM64)</f>
        <v>3.5</v>
      </c>
      <c r="BN65" s="41">
        <f t="shared" ref="BN65:BS65" si="151">SUM(BN63:BN64)</f>
        <v>0</v>
      </c>
      <c r="BO65" s="41">
        <f t="shared" si="151"/>
        <v>0.5</v>
      </c>
      <c r="BP65" s="41">
        <f t="shared" si="151"/>
        <v>0</v>
      </c>
      <c r="BQ65" s="41">
        <f t="shared" si="151"/>
        <v>0</v>
      </c>
      <c r="BR65" s="41">
        <f t="shared" si="151"/>
        <v>0</v>
      </c>
      <c r="BS65" s="41">
        <f t="shared" si="151"/>
        <v>0</v>
      </c>
      <c r="BT65" s="41">
        <f>SUM(BT63:BT64)</f>
        <v>4</v>
      </c>
      <c r="BV65" s="41">
        <f>SUM(BV63:BV64)</f>
        <v>534</v>
      </c>
      <c r="BW65" s="41">
        <f t="shared" ref="BW65:CB65" si="152">SUM(BW63:BW64)</f>
        <v>93.83</v>
      </c>
      <c r="BX65" s="41">
        <f t="shared" si="152"/>
        <v>17.5</v>
      </c>
      <c r="BY65" s="41">
        <f t="shared" si="152"/>
        <v>0</v>
      </c>
      <c r="BZ65" s="41">
        <f t="shared" si="152"/>
        <v>0</v>
      </c>
      <c r="CA65" s="41">
        <f t="shared" si="152"/>
        <v>0</v>
      </c>
      <c r="CB65" s="41">
        <f t="shared" si="152"/>
        <v>0</v>
      </c>
      <c r="CC65" s="41">
        <f>SUM(CC63:CC64)</f>
        <v>645.33000000000004</v>
      </c>
    </row>
    <row r="66" spans="1:81">
      <c r="A66" s="29"/>
      <c r="B66" s="42"/>
      <c r="C66" s="42"/>
      <c r="D66" s="42"/>
      <c r="E66" s="42"/>
      <c r="F66" s="42"/>
      <c r="G66" s="42"/>
      <c r="H66" s="42"/>
      <c r="I66" s="42"/>
      <c r="J66" s="7"/>
      <c r="K66" s="42"/>
      <c r="L66" s="42"/>
      <c r="M66" s="42"/>
      <c r="N66" s="42"/>
      <c r="O66" s="42"/>
      <c r="P66" s="42"/>
      <c r="Q66" s="42"/>
      <c r="R66" s="42"/>
      <c r="T66" s="42"/>
      <c r="U66" s="42"/>
      <c r="V66" s="42"/>
      <c r="W66" s="42"/>
      <c r="X66" s="42"/>
      <c r="Y66" s="42"/>
      <c r="Z66" s="42"/>
      <c r="AA66" s="42"/>
      <c r="AC66" s="42"/>
      <c r="AD66" s="42"/>
      <c r="AE66" s="42"/>
      <c r="AF66" s="42"/>
      <c r="AG66" s="42"/>
      <c r="AH66" s="42"/>
      <c r="AI66" s="42"/>
      <c r="AJ66" s="42"/>
      <c r="AL66" s="42"/>
      <c r="AM66" s="42"/>
      <c r="AN66" s="42"/>
      <c r="AO66" s="42"/>
      <c r="AP66" s="42"/>
      <c r="AQ66" s="42"/>
      <c r="AR66" s="42"/>
      <c r="AS66" s="42"/>
      <c r="AU66" s="42"/>
      <c r="AV66" s="42"/>
      <c r="AW66" s="42"/>
      <c r="AX66" s="42"/>
      <c r="AY66" s="42"/>
      <c r="AZ66" s="42"/>
      <c r="BA66" s="42"/>
      <c r="BB66" s="42"/>
      <c r="BD66" s="42"/>
      <c r="BE66" s="42"/>
      <c r="BF66" s="42"/>
      <c r="BG66" s="42"/>
      <c r="BH66" s="42"/>
      <c r="BI66" s="42"/>
      <c r="BJ66" s="42"/>
      <c r="BK66" s="42"/>
      <c r="BM66" s="42"/>
      <c r="BN66" s="42"/>
      <c r="BO66" s="42"/>
      <c r="BP66" s="42"/>
      <c r="BQ66" s="42"/>
      <c r="BR66" s="42"/>
      <c r="BS66" s="42"/>
      <c r="BT66" s="42"/>
      <c r="BV66" s="42"/>
      <c r="BW66" s="42"/>
      <c r="BX66" s="42"/>
      <c r="BY66" s="42"/>
      <c r="BZ66" s="42"/>
      <c r="CA66" s="42"/>
      <c r="CB66" s="42"/>
      <c r="CC66" s="42"/>
    </row>
    <row r="67" spans="1:81" ht="15">
      <c r="A67" s="43" t="s">
        <v>66</v>
      </c>
      <c r="B67" s="44"/>
      <c r="C67" s="44"/>
      <c r="D67" s="44"/>
      <c r="E67" s="44"/>
      <c r="F67" s="44"/>
      <c r="G67" s="44"/>
      <c r="H67" s="44"/>
      <c r="I67" s="45">
        <f>I142/(I211+I213+I214+I215+I216+I217)</f>
        <v>0.61934803875569278</v>
      </c>
      <c r="J67" s="7"/>
      <c r="K67" s="44"/>
      <c r="L67" s="44"/>
      <c r="M67" s="44"/>
      <c r="N67" s="44"/>
      <c r="O67" s="44"/>
      <c r="P67" s="44"/>
      <c r="Q67" s="44"/>
      <c r="R67" s="45">
        <f>R142/(R211+R213+R214+R215+R216+R217)</f>
        <v>0.60415708210837404</v>
      </c>
      <c r="T67" s="44"/>
      <c r="U67" s="44"/>
      <c r="V67" s="44"/>
      <c r="W67" s="44"/>
      <c r="X67" s="44"/>
      <c r="Y67" s="44"/>
      <c r="Z67" s="44"/>
      <c r="AA67" s="45">
        <f>AA142/(AA211+AA213+AA214+AA215+AA216+AA217)</f>
        <v>0.626698660010368</v>
      </c>
      <c r="AC67" s="44"/>
      <c r="AD67" s="44"/>
      <c r="AE67" s="44"/>
      <c r="AF67" s="44"/>
      <c r="AG67" s="44"/>
      <c r="AH67" s="44"/>
      <c r="AI67" s="44"/>
      <c r="AJ67" s="45">
        <f>AJ142/(AJ211+AJ213+AJ214+AJ215+AJ216+AJ217)</f>
        <v>0.61337894402971882</v>
      </c>
      <c r="AL67" s="44"/>
      <c r="AM67" s="44"/>
      <c r="AN67" s="44"/>
      <c r="AO67" s="44"/>
      <c r="AP67" s="44"/>
      <c r="AQ67" s="44"/>
      <c r="AR67" s="44"/>
      <c r="AS67" s="45">
        <f>AS142/(AS211+AS213+AS214+AS215+AS216+AS217)</f>
        <v>0.56274609472439141</v>
      </c>
      <c r="AU67" s="44"/>
      <c r="AV67" s="44"/>
      <c r="AW67" s="44"/>
      <c r="AX67" s="44"/>
      <c r="AY67" s="44"/>
      <c r="AZ67" s="44"/>
      <c r="BA67" s="44"/>
      <c r="BB67" s="45">
        <f>BB142/(BB211+BB213+BB214+BB215+BB216+BB217)</f>
        <v>0.47914092308471123</v>
      </c>
      <c r="BD67" s="44"/>
      <c r="BE67" s="44"/>
      <c r="BF67" s="44"/>
      <c r="BG67" s="44"/>
      <c r="BH67" s="44"/>
      <c r="BI67" s="44"/>
      <c r="BJ67" s="44"/>
      <c r="BK67" s="45">
        <f>BK142/(BK211+BK213+BK214+BK215+BK216+BK217)</f>
        <v>0.55445155493727249</v>
      </c>
      <c r="BM67" s="44"/>
      <c r="BN67" s="44"/>
      <c r="BO67" s="44"/>
      <c r="BP67" s="44"/>
      <c r="BQ67" s="44"/>
      <c r="BR67" s="44"/>
      <c r="BS67" s="44"/>
      <c r="BT67" s="45">
        <f>BT142/(BT211+BT213+BT214+BT215+BT216+BT217)</f>
        <v>0.98992503824787625</v>
      </c>
      <c r="BV67" s="44"/>
      <c r="BW67" s="44"/>
      <c r="BX67" s="44"/>
      <c r="BY67" s="44"/>
      <c r="BZ67" s="44"/>
      <c r="CA67" s="44"/>
      <c r="CB67" s="44"/>
      <c r="CC67" s="45">
        <f>CC142/(CC211+CC213+CC214+CC215+CC216+CC217)</f>
        <v>0.59730230612157176</v>
      </c>
    </row>
    <row r="68" spans="1:81" ht="15">
      <c r="A68" s="43" t="s">
        <v>67</v>
      </c>
      <c r="B68" s="44"/>
      <c r="C68" s="44"/>
      <c r="D68" s="44"/>
      <c r="E68" s="44"/>
      <c r="F68" s="44"/>
      <c r="G68" s="44"/>
      <c r="H68" s="44"/>
      <c r="I68" s="45">
        <f>(I114+I115+I118+I128)/I132</f>
        <v>0.75168154529519349</v>
      </c>
      <c r="J68" s="7"/>
      <c r="K68" s="44"/>
      <c r="L68" s="44"/>
      <c r="M68" s="44"/>
      <c r="N68" s="44"/>
      <c r="O68" s="44"/>
      <c r="P68" s="44"/>
      <c r="Q68" s="44"/>
      <c r="R68" s="45">
        <f>(R114+R115+R118+R128)/R132</f>
        <v>0.72394443392046492</v>
      </c>
      <c r="T68" s="44"/>
      <c r="U68" s="44"/>
      <c r="V68" s="44"/>
      <c r="W68" s="44"/>
      <c r="X68" s="44"/>
      <c r="Y68" s="44"/>
      <c r="Z68" s="44"/>
      <c r="AA68" s="45">
        <f>(AA114+AA115+AA118+AA128)/AA132</f>
        <v>0.73561490779966943</v>
      </c>
      <c r="AC68" s="44"/>
      <c r="AD68" s="44"/>
      <c r="AE68" s="44"/>
      <c r="AF68" s="44"/>
      <c r="AG68" s="44"/>
      <c r="AH68" s="44"/>
      <c r="AI68" s="44"/>
      <c r="AJ68" s="45">
        <f>(AJ114+AJ115+AJ118+AJ128)/AJ132</f>
        <v>0.73265281985549668</v>
      </c>
      <c r="AL68" s="44"/>
      <c r="AM68" s="44"/>
      <c r="AN68" s="44"/>
      <c r="AO68" s="44"/>
      <c r="AP68" s="44"/>
      <c r="AQ68" s="44"/>
      <c r="AR68" s="44"/>
      <c r="AS68" s="45">
        <f>(AS114+AS115+AS118+AS128)/AS132</f>
        <v>0.74864986133465761</v>
      </c>
      <c r="AU68" s="44"/>
      <c r="AV68" s="44"/>
      <c r="AW68" s="44"/>
      <c r="AX68" s="44"/>
      <c r="AY68" s="44"/>
      <c r="AZ68" s="44"/>
      <c r="BA68" s="44"/>
      <c r="BB68" s="45">
        <f>(BB114+BB115+BB118+BB128)/BB132</f>
        <v>0.65335975020225179</v>
      </c>
      <c r="BD68" s="44"/>
      <c r="BE68" s="44"/>
      <c r="BF68" s="44"/>
      <c r="BG68" s="44"/>
      <c r="BH68" s="44"/>
      <c r="BI68" s="44"/>
      <c r="BJ68" s="44"/>
      <c r="BK68" s="45">
        <f>(BK114+BK115+BK118+BK128)/BK132</f>
        <v>0.81765010524783521</v>
      </c>
      <c r="BM68" s="44"/>
      <c r="BN68" s="44"/>
      <c r="BO68" s="44"/>
      <c r="BP68" s="44"/>
      <c r="BQ68" s="44"/>
      <c r="BR68" s="44"/>
      <c r="BS68" s="44"/>
      <c r="BT68" s="45">
        <f>(BT114+BT115+BT118+BT128)/BT132</f>
        <v>0.31789769969332965</v>
      </c>
      <c r="BV68" s="44"/>
      <c r="BW68" s="44"/>
      <c r="BX68" s="44"/>
      <c r="BY68" s="44"/>
      <c r="BZ68" s="44"/>
      <c r="CA68" s="44"/>
      <c r="CB68" s="44"/>
      <c r="CC68" s="45">
        <f>(CC114+CC115+CC118+CC128)/CC132</f>
        <v>0.73899732145404839</v>
      </c>
    </row>
    <row r="69" spans="1:81" ht="15">
      <c r="A69" s="43" t="s">
        <v>68</v>
      </c>
      <c r="B69" s="44"/>
      <c r="C69" s="44"/>
      <c r="D69" s="44"/>
      <c r="E69" s="44"/>
      <c r="F69" s="44"/>
      <c r="G69" s="44"/>
      <c r="H69" s="44"/>
      <c r="I69" s="45">
        <f>(I107+I108+I109+I112+I116+I117+I119+I120++I123+I124+I125+I126+I127+I129+I130)/I132</f>
        <v>0.22829670197753152</v>
      </c>
      <c r="J69" s="7"/>
      <c r="K69" s="44"/>
      <c r="L69" s="44"/>
      <c r="M69" s="44"/>
      <c r="N69" s="44"/>
      <c r="O69" s="44"/>
      <c r="P69" s="44"/>
      <c r="Q69" s="44"/>
      <c r="R69" s="45">
        <f>(R107+R108+R109+R112+R116+R117+R119+R120++R123+R124+R125+R126+R127+R129+R130)/R132</f>
        <v>0.25751239494518258</v>
      </c>
      <c r="T69" s="44"/>
      <c r="U69" s="44"/>
      <c r="V69" s="44"/>
      <c r="W69" s="44"/>
      <c r="X69" s="44"/>
      <c r="Y69" s="44"/>
      <c r="Z69" s="44"/>
      <c r="AA69" s="45">
        <f>(AA107+AA108+AA109+AA112+AA116+AA117+AA119+AA120++AA123+AA124+AA125+AA126+AA127+AA129+AA130)/AA132</f>
        <v>0.24921987123052966</v>
      </c>
      <c r="AC69" s="44"/>
      <c r="AD69" s="44"/>
      <c r="AE69" s="44"/>
      <c r="AF69" s="44"/>
      <c r="AG69" s="44"/>
      <c r="AH69" s="44"/>
      <c r="AI69" s="44"/>
      <c r="AJ69" s="45">
        <f>(AJ107+AJ108+AJ109+AJ112+AJ116+AJ117+AJ119+AJ120++AJ123+AJ124+AJ125+AJ126+AJ127+AJ129+AJ130)/AJ132</f>
        <v>0.22484654313743546</v>
      </c>
      <c r="AL69" s="44"/>
      <c r="AM69" s="44"/>
      <c r="AN69" s="44"/>
      <c r="AO69" s="44"/>
      <c r="AP69" s="44"/>
      <c r="AQ69" s="44"/>
      <c r="AR69" s="44"/>
      <c r="AS69" s="45">
        <f>(AS107+AS108+AS109+AS112+AS116+AS117+AS119+AS120++AS123+AS124+AS125+AS126+AS127+AS129+AS130)/AS132</f>
        <v>0.21179006863664629</v>
      </c>
      <c r="AU69" s="44"/>
      <c r="AV69" s="44"/>
      <c r="AW69" s="44"/>
      <c r="AX69" s="44"/>
      <c r="AY69" s="44"/>
      <c r="AZ69" s="44"/>
      <c r="BA69" s="44"/>
      <c r="BB69" s="45">
        <f>(BB107+BB108+BB109+BB112+BB116+BB117+BB119+BB120++BB123+BB124+BB125+BB126+BB127+BB129+BB130)/BB132</f>
        <v>0</v>
      </c>
      <c r="BD69" s="44"/>
      <c r="BE69" s="44"/>
      <c r="BF69" s="44"/>
      <c r="BG69" s="44"/>
      <c r="BH69" s="44"/>
      <c r="BI69" s="44"/>
      <c r="BJ69" s="44"/>
      <c r="BK69" s="45">
        <f>(BK107+BK108+BK109+BK112+BK116+BK117+BK119+BK120++BK123+BK124+BK125+BK126+BK127+BK129+BK130)/BK132</f>
        <v>0.18234989475216482</v>
      </c>
      <c r="BM69" s="44"/>
      <c r="BN69" s="44"/>
      <c r="BO69" s="44"/>
      <c r="BP69" s="44"/>
      <c r="BQ69" s="44"/>
      <c r="BR69" s="44"/>
      <c r="BS69" s="44"/>
      <c r="BT69" s="45">
        <f>(BT107+BT108+BT109+BT112+BT116+BT117+BT119+BT120++BT123+BT124+BT125+BT126+BT127+BT129+BT130+BT111)/BT132</f>
        <v>0.68210230030667029</v>
      </c>
      <c r="BV69" s="44"/>
      <c r="BW69" s="44"/>
      <c r="BX69" s="44"/>
      <c r="BY69" s="44"/>
      <c r="BZ69" s="44"/>
      <c r="CA69" s="44"/>
      <c r="CB69" s="44"/>
      <c r="CC69" s="45">
        <f>(CC107+CC108+CC109+CC112+CC116+CC117+CC119+CC120++CC123+CC124+CC125+CC126+CC127+CC129+CC130+CC111)/CC132</f>
        <v>0.24681532947871984</v>
      </c>
    </row>
    <row r="70" spans="1:81" ht="15">
      <c r="A70" s="43" t="s">
        <v>69</v>
      </c>
      <c r="B70" s="44"/>
      <c r="C70" s="44"/>
      <c r="D70" s="44"/>
      <c r="E70" s="44"/>
      <c r="F70" s="44"/>
      <c r="G70" s="44"/>
      <c r="H70" s="44"/>
      <c r="I70" s="45">
        <f>(I214+I215+I216+I217+I213)/I97</f>
        <v>8.4515343314736951E-2</v>
      </c>
      <c r="J70" s="7"/>
      <c r="K70" s="44"/>
      <c r="L70" s="44"/>
      <c r="M70" s="44"/>
      <c r="N70" s="44"/>
      <c r="O70" s="44"/>
      <c r="P70" s="44"/>
      <c r="Q70" s="44"/>
      <c r="R70" s="45">
        <f>(R214+R215+R216+R217+R213)/R97</f>
        <v>8.2712425456773916E-2</v>
      </c>
      <c r="T70" s="44"/>
      <c r="U70" s="44"/>
      <c r="V70" s="44"/>
      <c r="W70" s="44"/>
      <c r="X70" s="44"/>
      <c r="Y70" s="44"/>
      <c r="Z70" s="44"/>
      <c r="AA70" s="45">
        <f>(AA214+AA215+AA216+AA217+AA213)/AA97</f>
        <v>8.3904564226455286E-2</v>
      </c>
      <c r="AC70" s="44"/>
      <c r="AD70" s="44"/>
      <c r="AE70" s="44"/>
      <c r="AF70" s="44"/>
      <c r="AG70" s="44"/>
      <c r="AH70" s="44"/>
      <c r="AI70" s="44"/>
      <c r="AJ70" s="45">
        <f>(AJ214+AJ215+AJ216+AJ217+AJ213)/AJ97</f>
        <v>8.2945213736938792E-2</v>
      </c>
      <c r="AL70" s="44"/>
      <c r="AM70" s="44"/>
      <c r="AN70" s="44"/>
      <c r="AO70" s="44"/>
      <c r="AP70" s="44"/>
      <c r="AQ70" s="44"/>
      <c r="AR70" s="44"/>
      <c r="AS70" s="45">
        <f>(AS214+AS215+AS216+AS217+AS213)/AS97</f>
        <v>0.1369729780335032</v>
      </c>
      <c r="AU70" s="44"/>
      <c r="AV70" s="44"/>
      <c r="AW70" s="44"/>
      <c r="AX70" s="44"/>
      <c r="AY70" s="44"/>
      <c r="AZ70" s="44"/>
      <c r="BA70" s="44"/>
      <c r="BB70" s="45">
        <f>(BB214+BB215+BB216+BB217+BB213)/BB97</f>
        <v>0</v>
      </c>
      <c r="BD70" s="44"/>
      <c r="BE70" s="44"/>
      <c r="BF70" s="44"/>
      <c r="BG70" s="44"/>
      <c r="BH70" s="44"/>
      <c r="BI70" s="44"/>
      <c r="BJ70" s="44"/>
      <c r="BK70" s="45">
        <f>(BK214+BK215+BK216+BK217+BK213)/BK97</f>
        <v>6.8384110451490357E-2</v>
      </c>
      <c r="BM70" s="44"/>
      <c r="BN70" s="44"/>
      <c r="BO70" s="44"/>
      <c r="BP70" s="44"/>
      <c r="BQ70" s="44"/>
      <c r="BR70" s="44"/>
      <c r="BS70" s="44"/>
      <c r="BT70" s="45" t="e">
        <f>(BT214+BT215+BT216+BT217+BT213)/BT97</f>
        <v>#DIV/0!</v>
      </c>
      <c r="BV70" s="44"/>
      <c r="BW70" s="44"/>
      <c r="BX70" s="44"/>
      <c r="BY70" s="44"/>
      <c r="BZ70" s="44"/>
      <c r="CA70" s="44"/>
      <c r="CB70" s="44"/>
      <c r="CC70" s="45">
        <f>(CC214+CC215+CC216+CC217+CC213)/CC97</f>
        <v>9.600960875418349E-2</v>
      </c>
    </row>
    <row r="71" spans="1:81" ht="15" thickBot="1">
      <c r="B71" s="42"/>
      <c r="C71" s="42"/>
      <c r="D71" s="42"/>
      <c r="E71" s="42"/>
      <c r="F71" s="42"/>
      <c r="G71" s="42"/>
      <c r="H71" s="42"/>
      <c r="I71" s="42"/>
      <c r="J71" s="7"/>
      <c r="K71" s="42"/>
      <c r="L71" s="42"/>
      <c r="M71" s="42"/>
      <c r="N71" s="42"/>
      <c r="O71" s="42"/>
      <c r="P71" s="42"/>
      <c r="Q71" s="42"/>
      <c r="R71" s="42"/>
      <c r="T71" s="42"/>
      <c r="U71" s="42"/>
      <c r="V71" s="42"/>
      <c r="W71" s="42"/>
      <c r="X71" s="42"/>
      <c r="Y71" s="42"/>
      <c r="Z71" s="42"/>
      <c r="AA71" s="42"/>
      <c r="AC71" s="42"/>
      <c r="AD71" s="42"/>
      <c r="AE71" s="42"/>
      <c r="AF71" s="42"/>
      <c r="AG71" s="42"/>
      <c r="AH71" s="42"/>
      <c r="AI71" s="42"/>
      <c r="AJ71" s="42"/>
      <c r="AL71" s="42"/>
      <c r="AM71" s="42"/>
      <c r="AN71" s="42"/>
      <c r="AO71" s="42"/>
      <c r="AP71" s="42"/>
      <c r="AQ71" s="42"/>
      <c r="AR71" s="42"/>
      <c r="AS71" s="42"/>
      <c r="AU71" s="42"/>
      <c r="AV71" s="42"/>
      <c r="AW71" s="42"/>
      <c r="AX71" s="42"/>
      <c r="AY71" s="42"/>
      <c r="AZ71" s="42"/>
      <c r="BA71" s="42"/>
      <c r="BB71" s="42"/>
      <c r="BD71" s="42"/>
      <c r="BE71" s="42"/>
      <c r="BF71" s="42"/>
      <c r="BG71" s="42"/>
      <c r="BH71" s="42"/>
      <c r="BI71" s="42"/>
      <c r="BJ71" s="42"/>
      <c r="BK71" s="42"/>
      <c r="BM71" s="42"/>
      <c r="BN71" s="42"/>
      <c r="BO71" s="42"/>
      <c r="BP71" s="42"/>
      <c r="BQ71" s="42"/>
      <c r="BR71" s="42"/>
      <c r="BS71" s="42"/>
      <c r="BT71" s="42"/>
      <c r="BV71" s="42"/>
      <c r="BW71" s="42"/>
      <c r="BX71" s="42"/>
      <c r="BY71" s="42"/>
      <c r="BZ71" s="42"/>
      <c r="CA71" s="42"/>
      <c r="CB71" s="42"/>
      <c r="CC71" s="42"/>
    </row>
    <row r="72" spans="1:81" ht="15.75" thickBot="1">
      <c r="A72" s="46" t="s">
        <v>70</v>
      </c>
      <c r="B72" s="47" t="str">
        <f t="shared" ref="B72:I72" si="153">B1</f>
        <v>Operating</v>
      </c>
      <c r="C72" s="47" t="str">
        <f t="shared" si="153"/>
        <v>SPED</v>
      </c>
      <c r="D72" s="47" t="str">
        <f t="shared" si="153"/>
        <v>NSLP</v>
      </c>
      <c r="E72" s="47" t="str">
        <f t="shared" si="153"/>
        <v>Other</v>
      </c>
      <c r="F72" s="47" t="str">
        <f t="shared" si="153"/>
        <v>Title I</v>
      </c>
      <c r="G72" s="47" t="str">
        <f t="shared" si="153"/>
        <v>SGF</v>
      </c>
      <c r="H72" s="47" t="str">
        <f t="shared" si="153"/>
        <v>Title III</v>
      </c>
      <c r="I72" s="47" t="str">
        <f t="shared" si="153"/>
        <v>Horizon</v>
      </c>
      <c r="J72" s="7"/>
      <c r="K72" s="47" t="str">
        <f t="shared" ref="K72:R72" si="154">K1</f>
        <v>Operating</v>
      </c>
      <c r="L72" s="47" t="str">
        <f t="shared" si="154"/>
        <v>SPED</v>
      </c>
      <c r="M72" s="47" t="str">
        <f t="shared" si="154"/>
        <v>NSLP</v>
      </c>
      <c r="N72" s="47" t="str">
        <f t="shared" si="154"/>
        <v>Other</v>
      </c>
      <c r="O72" s="47" t="str">
        <f t="shared" si="154"/>
        <v>Title I</v>
      </c>
      <c r="P72" s="47" t="str">
        <f t="shared" si="154"/>
        <v>SGF</v>
      </c>
      <c r="Q72" s="47" t="str">
        <f t="shared" si="154"/>
        <v>Title III</v>
      </c>
      <c r="R72" s="47" t="str">
        <f t="shared" si="154"/>
        <v>St. Rose</v>
      </c>
      <c r="T72" s="47" t="str">
        <f t="shared" ref="T72:AA72" si="155">T1</f>
        <v>Operating</v>
      </c>
      <c r="U72" s="47" t="str">
        <f t="shared" si="155"/>
        <v>SPED</v>
      </c>
      <c r="V72" s="47" t="str">
        <f t="shared" si="155"/>
        <v>NSLP</v>
      </c>
      <c r="W72" s="47" t="str">
        <f t="shared" si="155"/>
        <v>Other</v>
      </c>
      <c r="X72" s="47" t="str">
        <f t="shared" si="155"/>
        <v>Title I</v>
      </c>
      <c r="Y72" s="47" t="str">
        <f t="shared" si="155"/>
        <v>SGF</v>
      </c>
      <c r="Z72" s="47" t="str">
        <f t="shared" si="155"/>
        <v>Title III</v>
      </c>
      <c r="AA72" s="47" t="str">
        <f t="shared" si="155"/>
        <v>Inspirada</v>
      </c>
      <c r="AC72" s="47" t="str">
        <f t="shared" ref="AC72:AJ72" si="156">AC1</f>
        <v>Operating</v>
      </c>
      <c r="AD72" s="47" t="str">
        <f t="shared" si="156"/>
        <v>SPED</v>
      </c>
      <c r="AE72" s="47" t="str">
        <f t="shared" si="156"/>
        <v>NSLP</v>
      </c>
      <c r="AF72" s="47" t="str">
        <f t="shared" si="156"/>
        <v>Other</v>
      </c>
      <c r="AG72" s="47" t="str">
        <f t="shared" si="156"/>
        <v>Title I</v>
      </c>
      <c r="AH72" s="47" t="str">
        <f t="shared" si="156"/>
        <v>SGF</v>
      </c>
      <c r="AI72" s="47" t="str">
        <f t="shared" si="156"/>
        <v>Title III</v>
      </c>
      <c r="AJ72" s="47" t="str">
        <f t="shared" si="156"/>
        <v>Cadence</v>
      </c>
      <c r="AL72" s="47" t="str">
        <f t="shared" ref="AL72:AS72" si="157">AL1</f>
        <v>Operating</v>
      </c>
      <c r="AM72" s="47" t="str">
        <f t="shared" si="157"/>
        <v>SPED</v>
      </c>
      <c r="AN72" s="47" t="str">
        <f t="shared" si="157"/>
        <v>NSLP</v>
      </c>
      <c r="AO72" s="47" t="str">
        <f t="shared" si="157"/>
        <v>Other</v>
      </c>
      <c r="AP72" s="47" t="str">
        <f t="shared" si="157"/>
        <v>Title I</v>
      </c>
      <c r="AQ72" s="47" t="str">
        <f t="shared" si="157"/>
        <v>SGF</v>
      </c>
      <c r="AR72" s="47" t="str">
        <f t="shared" si="157"/>
        <v>Title III</v>
      </c>
      <c r="AS72" s="47" t="str">
        <f t="shared" si="157"/>
        <v>Sloan</v>
      </c>
      <c r="AU72" s="47" t="str">
        <f t="shared" ref="AU72:BB72" si="158">AU1</f>
        <v>Operating</v>
      </c>
      <c r="AV72" s="47" t="str">
        <f t="shared" si="158"/>
        <v>SPED</v>
      </c>
      <c r="AW72" s="47" t="str">
        <f t="shared" si="158"/>
        <v>NSLP</v>
      </c>
      <c r="AX72" s="47" t="str">
        <f t="shared" si="158"/>
        <v>Other</v>
      </c>
      <c r="AY72" s="47" t="str">
        <f t="shared" si="158"/>
        <v>Title I</v>
      </c>
      <c r="AZ72" s="47" t="str">
        <f t="shared" si="158"/>
        <v>SGF</v>
      </c>
      <c r="BA72" s="47" t="str">
        <f t="shared" si="158"/>
        <v>Title III</v>
      </c>
      <c r="BB72" s="47" t="str">
        <f t="shared" si="158"/>
        <v>Virtual</v>
      </c>
      <c r="BD72" s="47" t="str">
        <f t="shared" ref="BD72:BK72" si="159">BD1</f>
        <v>Operating</v>
      </c>
      <c r="BE72" s="47" t="str">
        <f t="shared" si="159"/>
        <v>SPED</v>
      </c>
      <c r="BF72" s="47" t="str">
        <f t="shared" si="159"/>
        <v>NSLP</v>
      </c>
      <c r="BG72" s="47" t="str">
        <f t="shared" si="159"/>
        <v>Other</v>
      </c>
      <c r="BH72" s="47" t="str">
        <f t="shared" si="159"/>
        <v>Title I</v>
      </c>
      <c r="BI72" s="47" t="str">
        <f t="shared" si="159"/>
        <v>SGF</v>
      </c>
      <c r="BJ72" s="47" t="str">
        <f t="shared" si="159"/>
        <v>Title III</v>
      </c>
      <c r="BK72" s="47" t="str">
        <f t="shared" si="159"/>
        <v>Springs</v>
      </c>
      <c r="BM72" s="47" t="str">
        <f t="shared" ref="BM72:BT72" si="160">BM1</f>
        <v>Operating</v>
      </c>
      <c r="BN72" s="47" t="str">
        <f t="shared" si="160"/>
        <v>SPED</v>
      </c>
      <c r="BO72" s="47" t="str">
        <f t="shared" si="160"/>
        <v>NSLP</v>
      </c>
      <c r="BP72" s="47" t="str">
        <f t="shared" si="160"/>
        <v>Other</v>
      </c>
      <c r="BQ72" s="47" t="str">
        <f t="shared" si="160"/>
        <v>Title I</v>
      </c>
      <c r="BR72" s="47" t="str">
        <f t="shared" si="160"/>
        <v>SGF</v>
      </c>
      <c r="BS72" s="47" t="str">
        <f t="shared" si="160"/>
        <v>Title III</v>
      </c>
      <c r="BT72" s="47" t="str">
        <f t="shared" si="160"/>
        <v>Exec. Office</v>
      </c>
      <c r="BV72" s="47" t="str">
        <f t="shared" ref="BV72:CC72" si="161">BV1</f>
        <v>Operating</v>
      </c>
      <c r="BW72" s="47" t="str">
        <f t="shared" si="161"/>
        <v>SPED</v>
      </c>
      <c r="BX72" s="47" t="str">
        <f t="shared" si="161"/>
        <v>NSLP</v>
      </c>
      <c r="BY72" s="47" t="str">
        <f t="shared" si="161"/>
        <v>Other</v>
      </c>
      <c r="BZ72" s="47" t="str">
        <f t="shared" si="161"/>
        <v>Title I</v>
      </c>
      <c r="CA72" s="47" t="str">
        <f t="shared" si="161"/>
        <v>SGF</v>
      </c>
      <c r="CB72" s="47" t="str">
        <f t="shared" si="161"/>
        <v>Title III</v>
      </c>
      <c r="CC72" s="47" t="str">
        <f t="shared" si="161"/>
        <v>Systemwide</v>
      </c>
    </row>
    <row r="73" spans="1:81" ht="15">
      <c r="A73" s="48" t="s">
        <v>71</v>
      </c>
      <c r="B73" s="49"/>
      <c r="C73" s="49"/>
      <c r="D73" s="49"/>
      <c r="E73" s="49"/>
      <c r="F73" s="49"/>
      <c r="G73" s="49"/>
      <c r="H73" s="49"/>
      <c r="I73" s="50"/>
      <c r="J73" s="7"/>
      <c r="K73" s="49"/>
      <c r="L73" s="49"/>
      <c r="M73" s="49"/>
      <c r="N73" s="49"/>
      <c r="O73" s="49"/>
      <c r="P73" s="49"/>
      <c r="Q73" s="49"/>
      <c r="R73" s="50"/>
      <c r="T73" s="49"/>
      <c r="U73" s="49"/>
      <c r="V73" s="49"/>
      <c r="W73" s="49"/>
      <c r="X73" s="49"/>
      <c r="Y73" s="49"/>
      <c r="Z73" s="49"/>
      <c r="AA73" s="50"/>
      <c r="AC73" s="49"/>
      <c r="AD73" s="49"/>
      <c r="AE73" s="49"/>
      <c r="AF73" s="49"/>
      <c r="AG73" s="49"/>
      <c r="AH73" s="49"/>
      <c r="AI73" s="49"/>
      <c r="AJ73" s="50"/>
      <c r="AL73" s="49"/>
      <c r="AM73" s="49"/>
      <c r="AN73" s="49"/>
      <c r="AO73" s="49"/>
      <c r="AP73" s="49"/>
      <c r="AQ73" s="49"/>
      <c r="AR73" s="49"/>
      <c r="AS73" s="50"/>
      <c r="AU73" s="49"/>
      <c r="AV73" s="49"/>
      <c r="AW73" s="49"/>
      <c r="AX73" s="49"/>
      <c r="AY73" s="49"/>
      <c r="AZ73" s="49"/>
      <c r="BA73" s="49"/>
      <c r="BB73" s="50"/>
      <c r="BD73" s="49"/>
      <c r="BE73" s="49"/>
      <c r="BF73" s="49"/>
      <c r="BG73" s="49"/>
      <c r="BH73" s="49"/>
      <c r="BI73" s="49"/>
      <c r="BJ73" s="49"/>
      <c r="BK73" s="50"/>
      <c r="BM73" s="49"/>
      <c r="BN73" s="49"/>
      <c r="BO73" s="49"/>
      <c r="BP73" s="49"/>
      <c r="BQ73" s="49"/>
      <c r="BR73" s="49"/>
      <c r="BS73" s="49"/>
      <c r="BT73" s="50"/>
      <c r="BV73" s="49"/>
      <c r="BW73" s="49"/>
      <c r="BX73" s="49"/>
      <c r="BY73" s="49"/>
      <c r="BZ73" s="49"/>
      <c r="CA73" s="49"/>
      <c r="CB73" s="49"/>
      <c r="CC73" s="50"/>
    </row>
    <row r="74" spans="1:81">
      <c r="A74" s="29" t="s">
        <v>72</v>
      </c>
      <c r="B74" s="51">
        <f>(B2*B3)</f>
        <v>9160500</v>
      </c>
      <c r="C74" s="51"/>
      <c r="D74" s="51"/>
      <c r="E74" s="51"/>
      <c r="F74" s="51"/>
      <c r="G74" s="51"/>
      <c r="H74" s="51"/>
      <c r="I74" s="52">
        <f t="shared" ref="I74:I79" si="162">SUM(B74:H74)</f>
        <v>9160500</v>
      </c>
      <c r="K74" s="51">
        <f>(K2*K3)</f>
        <v>10165200</v>
      </c>
      <c r="L74" s="51"/>
      <c r="M74" s="51"/>
      <c r="N74" s="51"/>
      <c r="O74" s="51"/>
      <c r="P74" s="51"/>
      <c r="Q74" s="51"/>
      <c r="R74" s="52">
        <f t="shared" ref="R74:R79" si="163">SUM(K74:Q74)</f>
        <v>10165200</v>
      </c>
      <c r="T74" s="51">
        <f>(T2*T3)</f>
        <v>12263250</v>
      </c>
      <c r="U74" s="51"/>
      <c r="V74" s="51"/>
      <c r="W74" s="51"/>
      <c r="X74" s="51"/>
      <c r="Y74" s="51"/>
      <c r="Z74" s="51"/>
      <c r="AA74" s="52">
        <f t="shared" ref="AA74:AA79" si="164">SUM(T74:Z74)</f>
        <v>12263250</v>
      </c>
      <c r="AC74" s="51">
        <f>(AC2*AC3)</f>
        <v>25078100</v>
      </c>
      <c r="AD74" s="51"/>
      <c r="AE74" s="51"/>
      <c r="AF74" s="51"/>
      <c r="AG74" s="51"/>
      <c r="AH74" s="51"/>
      <c r="AI74" s="51"/>
      <c r="AJ74" s="52">
        <f t="shared" ref="AJ74:AJ79" si="165">SUM(AC74:AI74)</f>
        <v>25078100</v>
      </c>
      <c r="AL74" s="51">
        <f>(AL2*AL3)</f>
        <v>23659700</v>
      </c>
      <c r="AM74" s="51"/>
      <c r="AN74" s="51"/>
      <c r="AO74" s="51"/>
      <c r="AP74" s="51"/>
      <c r="AQ74" s="51"/>
      <c r="AR74" s="51"/>
      <c r="AS74" s="52">
        <f t="shared" ref="AS74:AS79" si="166">SUM(AL74:AR74)</f>
        <v>23659700</v>
      </c>
      <c r="AU74" s="51">
        <f>(AU2*AU3)</f>
        <v>1379000</v>
      </c>
      <c r="AV74" s="51"/>
      <c r="AW74" s="51"/>
      <c r="AX74" s="51"/>
      <c r="AY74" s="51"/>
      <c r="AZ74" s="51"/>
      <c r="BA74" s="51"/>
      <c r="BB74" s="52">
        <f t="shared" ref="BB74:BB79" si="167">SUM(AU74:BA74)</f>
        <v>1379000</v>
      </c>
      <c r="BD74" s="51">
        <f>(BD2*BD3)</f>
        <v>4885600</v>
      </c>
      <c r="BE74" s="51"/>
      <c r="BF74" s="51"/>
      <c r="BG74" s="51"/>
      <c r="BH74" s="51"/>
      <c r="BI74" s="51"/>
      <c r="BJ74" s="51"/>
      <c r="BK74" s="52">
        <f t="shared" ref="BK74:BK79" si="168">SUM(BD74:BJ74)</f>
        <v>4885600</v>
      </c>
      <c r="BM74" s="51">
        <f>(BM2*BM3)</f>
        <v>0</v>
      </c>
      <c r="BN74" s="51"/>
      <c r="BO74" s="51"/>
      <c r="BP74" s="51"/>
      <c r="BQ74" s="51"/>
      <c r="BR74" s="51"/>
      <c r="BS74" s="51"/>
      <c r="BT74" s="52">
        <f t="shared" ref="BT74:BT79" si="169">SUM(BM74:BS74)</f>
        <v>0</v>
      </c>
      <c r="BV74" s="5">
        <f t="shared" ref="BV74:CA79" si="170">B74+K74+T74+AC74+AL74+AU74+BD74+BM74</f>
        <v>86591350</v>
      </c>
      <c r="BW74" s="5">
        <f t="shared" si="170"/>
        <v>0</v>
      </c>
      <c r="BX74" s="5">
        <f t="shared" si="170"/>
        <v>0</v>
      </c>
      <c r="BY74" s="5">
        <f t="shared" si="170"/>
        <v>0</v>
      </c>
      <c r="BZ74" s="5">
        <f t="shared" si="170"/>
        <v>0</v>
      </c>
      <c r="CA74" s="5">
        <f t="shared" si="170"/>
        <v>0</v>
      </c>
      <c r="CB74" s="51"/>
      <c r="CC74" s="52">
        <f t="shared" ref="CC74:CC79" si="171">SUM(BV74:CB74)</f>
        <v>86591350</v>
      </c>
    </row>
    <row r="75" spans="1:81">
      <c r="A75" s="29" t="s">
        <v>73</v>
      </c>
      <c r="B75" s="35">
        <f>4236*B21</f>
        <v>156708.59668508286</v>
      </c>
      <c r="C75" s="35"/>
      <c r="D75" s="35"/>
      <c r="E75" s="35"/>
      <c r="F75" s="35"/>
      <c r="G75" s="35"/>
      <c r="H75" s="35"/>
      <c r="I75" s="5">
        <f t="shared" si="162"/>
        <v>156708.59668508286</v>
      </c>
      <c r="J75" s="6"/>
      <c r="K75" s="35">
        <f>4236*K21</f>
        <v>94103.859099804293</v>
      </c>
      <c r="L75" s="35"/>
      <c r="M75" s="35"/>
      <c r="N75" s="35"/>
      <c r="O75" s="35"/>
      <c r="P75" s="35"/>
      <c r="Q75" s="35"/>
      <c r="R75" s="5">
        <f t="shared" si="163"/>
        <v>94103.859099804293</v>
      </c>
      <c r="T75" s="35">
        <f>4236*T21</f>
        <v>75150.829840737628</v>
      </c>
      <c r="U75" s="35"/>
      <c r="V75" s="35"/>
      <c r="W75" s="35"/>
      <c r="X75" s="35"/>
      <c r="Y75" s="35"/>
      <c r="Z75" s="35"/>
      <c r="AA75" s="5">
        <f t="shared" si="164"/>
        <v>75150.829840737628</v>
      </c>
      <c r="AC75" s="35">
        <f>4236*AC21</f>
        <v>193739.92814371255</v>
      </c>
      <c r="AD75" s="35"/>
      <c r="AE75" s="35"/>
      <c r="AF75" s="35"/>
      <c r="AG75" s="35"/>
      <c r="AH75" s="35"/>
      <c r="AI75" s="35"/>
      <c r="AJ75" s="5">
        <f t="shared" si="165"/>
        <v>193739.92814371255</v>
      </c>
      <c r="AL75" s="35">
        <f>4034*AL21</f>
        <v>174934.56098634965</v>
      </c>
      <c r="AM75" s="35"/>
      <c r="AN75" s="35"/>
      <c r="AO75" s="35"/>
      <c r="AP75" s="35"/>
      <c r="AQ75" s="35"/>
      <c r="AR75" s="35"/>
      <c r="AS75" s="5">
        <f t="shared" si="166"/>
        <v>174934.56098634965</v>
      </c>
      <c r="AU75" s="35">
        <f>4236*AU21</f>
        <v>4392.8888888888887</v>
      </c>
      <c r="AV75" s="35"/>
      <c r="AW75" s="35"/>
      <c r="AX75" s="35"/>
      <c r="AY75" s="35"/>
      <c r="AZ75" s="35"/>
      <c r="BA75" s="35"/>
      <c r="BB75" s="5">
        <f t="shared" si="167"/>
        <v>4392.8888888888887</v>
      </c>
      <c r="BD75" s="35">
        <f>4236*BD21</f>
        <v>173771.54887218046</v>
      </c>
      <c r="BE75" s="35"/>
      <c r="BF75" s="35"/>
      <c r="BG75" s="35"/>
      <c r="BH75" s="35"/>
      <c r="BI75" s="35"/>
      <c r="BJ75" s="35"/>
      <c r="BK75" s="5">
        <f t="shared" si="168"/>
        <v>173771.54887218046</v>
      </c>
      <c r="BM75" s="35">
        <f>4200*BM21</f>
        <v>0</v>
      </c>
      <c r="BN75" s="35"/>
      <c r="BO75" s="35"/>
      <c r="BP75" s="35"/>
      <c r="BQ75" s="35"/>
      <c r="BR75" s="35"/>
      <c r="BS75" s="35"/>
      <c r="BT75" s="5">
        <f t="shared" si="169"/>
        <v>0</v>
      </c>
      <c r="BV75" s="5">
        <f t="shared" si="170"/>
        <v>872802.21251675626</v>
      </c>
      <c r="BW75" s="5">
        <f t="shared" si="170"/>
        <v>0</v>
      </c>
      <c r="BX75" s="5">
        <f t="shared" si="170"/>
        <v>0</v>
      </c>
      <c r="BY75" s="5">
        <f t="shared" si="170"/>
        <v>0</v>
      </c>
      <c r="BZ75" s="5">
        <f t="shared" si="170"/>
        <v>0</v>
      </c>
      <c r="CA75" s="5">
        <f t="shared" si="170"/>
        <v>0</v>
      </c>
      <c r="CB75" s="35"/>
      <c r="CC75" s="5">
        <f t="shared" si="171"/>
        <v>872802.21251675626</v>
      </c>
    </row>
    <row r="76" spans="1:81">
      <c r="A76" s="29" t="s">
        <v>74</v>
      </c>
      <c r="B76" s="5">
        <f>1129*B22</f>
        <v>59169.580110497227</v>
      </c>
      <c r="C76" s="5"/>
      <c r="D76" s="5"/>
      <c r="E76" s="5"/>
      <c r="F76" s="5"/>
      <c r="G76" s="5"/>
      <c r="H76" s="5"/>
      <c r="I76" s="5">
        <f t="shared" si="162"/>
        <v>59169.580110497227</v>
      </c>
      <c r="J76" s="6"/>
      <c r="K76" s="5">
        <f>1129*K22</f>
        <v>76383.14677103718</v>
      </c>
      <c r="L76" s="5"/>
      <c r="M76" s="5"/>
      <c r="N76" s="5"/>
      <c r="O76" s="5"/>
      <c r="P76" s="5"/>
      <c r="Q76" s="5"/>
      <c r="R76" s="5">
        <f t="shared" si="163"/>
        <v>76383.14677103718</v>
      </c>
      <c r="T76" s="5">
        <f>1129*T22</f>
        <v>130781.3537300922</v>
      </c>
      <c r="U76" s="5"/>
      <c r="V76" s="5"/>
      <c r="W76" s="5"/>
      <c r="X76" s="5"/>
      <c r="Y76" s="5"/>
      <c r="Z76" s="5"/>
      <c r="AA76" s="5">
        <f t="shared" si="164"/>
        <v>130781.3537300922</v>
      </c>
      <c r="AC76" s="5">
        <f>1129*AC22</f>
        <v>78684.249786141983</v>
      </c>
      <c r="AD76" s="5"/>
      <c r="AE76" s="5"/>
      <c r="AF76" s="5"/>
      <c r="AG76" s="5"/>
      <c r="AH76" s="5"/>
      <c r="AI76" s="5"/>
      <c r="AJ76" s="5">
        <f t="shared" si="165"/>
        <v>78684.249786141983</v>
      </c>
      <c r="AL76" s="5">
        <f>1075*AL22</f>
        <v>129619.15455746368</v>
      </c>
      <c r="AM76" s="5"/>
      <c r="AN76" s="5"/>
      <c r="AO76" s="5"/>
      <c r="AP76" s="5"/>
      <c r="AQ76" s="5"/>
      <c r="AR76" s="5"/>
      <c r="AS76" s="5">
        <f t="shared" si="166"/>
        <v>129619.15455746368</v>
      </c>
      <c r="AU76" s="5">
        <f>1075*AU22</f>
        <v>0</v>
      </c>
      <c r="AV76" s="5"/>
      <c r="AW76" s="5"/>
      <c r="AX76" s="5"/>
      <c r="AY76" s="5"/>
      <c r="AZ76" s="5"/>
      <c r="BA76" s="5"/>
      <c r="BB76" s="5">
        <f t="shared" si="167"/>
        <v>0</v>
      </c>
      <c r="BD76" s="5">
        <f>1075*BD22</f>
        <v>0</v>
      </c>
      <c r="BE76" s="5"/>
      <c r="BF76" s="5"/>
      <c r="BG76" s="5"/>
      <c r="BH76" s="5"/>
      <c r="BI76" s="5"/>
      <c r="BJ76" s="5"/>
      <c r="BK76" s="5">
        <f t="shared" si="168"/>
        <v>0</v>
      </c>
      <c r="BM76" s="5">
        <f>1000*BM22</f>
        <v>0</v>
      </c>
      <c r="BN76" s="5"/>
      <c r="BO76" s="5"/>
      <c r="BP76" s="5"/>
      <c r="BQ76" s="5"/>
      <c r="BR76" s="5"/>
      <c r="BS76" s="5"/>
      <c r="BT76" s="5">
        <f t="shared" si="169"/>
        <v>0</v>
      </c>
      <c r="BV76" s="5">
        <f t="shared" si="170"/>
        <v>474637.48495523224</v>
      </c>
      <c r="BW76" s="5">
        <f t="shared" si="170"/>
        <v>0</v>
      </c>
      <c r="BX76" s="5">
        <f t="shared" si="170"/>
        <v>0</v>
      </c>
      <c r="BY76" s="5">
        <f t="shared" si="170"/>
        <v>0</v>
      </c>
      <c r="BZ76" s="5">
        <f t="shared" si="170"/>
        <v>0</v>
      </c>
      <c r="CA76" s="5">
        <f t="shared" si="170"/>
        <v>0</v>
      </c>
      <c r="CB76" s="5"/>
      <c r="CC76" s="5">
        <f t="shared" si="171"/>
        <v>474637.48495523224</v>
      </c>
    </row>
    <row r="77" spans="1:81">
      <c r="A77" s="29" t="s">
        <v>75</v>
      </c>
      <c r="B77" s="5">
        <f>3294*B24</f>
        <v>0</v>
      </c>
      <c r="C77" s="5"/>
      <c r="D77" s="5"/>
      <c r="E77" s="5"/>
      <c r="F77" s="5"/>
      <c r="G77" s="5"/>
      <c r="H77" s="5"/>
      <c r="I77" s="5">
        <f t="shared" si="162"/>
        <v>0</v>
      </c>
      <c r="K77" s="5">
        <f>3294*K24</f>
        <v>0</v>
      </c>
      <c r="L77" s="5"/>
      <c r="M77" s="5"/>
      <c r="N77" s="5"/>
      <c r="O77" s="5"/>
      <c r="P77" s="5"/>
      <c r="Q77" s="5"/>
      <c r="R77" s="5">
        <f t="shared" si="163"/>
        <v>0</v>
      </c>
      <c r="T77" s="5">
        <f>3294*T24</f>
        <v>0</v>
      </c>
      <c r="U77" s="5"/>
      <c r="V77" s="5"/>
      <c r="W77" s="5"/>
      <c r="X77" s="5"/>
      <c r="Y77" s="5"/>
      <c r="Z77" s="5"/>
      <c r="AA77" s="5">
        <f t="shared" si="164"/>
        <v>0</v>
      </c>
      <c r="AC77" s="5">
        <f>3294*AC24</f>
        <v>500688</v>
      </c>
      <c r="AD77" s="5"/>
      <c r="AE77" s="5"/>
      <c r="AF77" s="5"/>
      <c r="AG77" s="5"/>
      <c r="AH77" s="5"/>
      <c r="AI77" s="5"/>
      <c r="AJ77" s="5">
        <f t="shared" si="165"/>
        <v>500688</v>
      </c>
      <c r="AL77" s="5">
        <f>3294*AL24</f>
        <v>401868</v>
      </c>
      <c r="AM77" s="5"/>
      <c r="AN77" s="5"/>
      <c r="AO77" s="5"/>
      <c r="AP77" s="5"/>
      <c r="AQ77" s="5"/>
      <c r="AR77" s="5"/>
      <c r="AS77" s="5">
        <f t="shared" si="166"/>
        <v>401868</v>
      </c>
      <c r="AU77" s="5">
        <f>3294*AU24</f>
        <v>128466</v>
      </c>
      <c r="AV77" s="5"/>
      <c r="AW77" s="5"/>
      <c r="AX77" s="5"/>
      <c r="AY77" s="5"/>
      <c r="AZ77" s="5"/>
      <c r="BA77" s="5"/>
      <c r="BB77" s="5">
        <f t="shared" si="167"/>
        <v>128466</v>
      </c>
      <c r="BD77" s="5">
        <f>3294*BD24</f>
        <v>115290</v>
      </c>
      <c r="BE77" s="5"/>
      <c r="BF77" s="5"/>
      <c r="BG77" s="5"/>
      <c r="BH77" s="5"/>
      <c r="BI77" s="5"/>
      <c r="BJ77" s="5"/>
      <c r="BK77" s="5">
        <f t="shared" si="168"/>
        <v>115290</v>
      </c>
      <c r="BM77" s="5">
        <f>3294*BM24</f>
        <v>0</v>
      </c>
      <c r="BN77" s="5"/>
      <c r="BO77" s="5"/>
      <c r="BP77" s="5"/>
      <c r="BQ77" s="5"/>
      <c r="BR77" s="5"/>
      <c r="BS77" s="5"/>
      <c r="BT77" s="5">
        <f t="shared" si="169"/>
        <v>0</v>
      </c>
      <c r="BV77" s="5">
        <f t="shared" si="170"/>
        <v>1146312</v>
      </c>
      <c r="BW77" s="5">
        <f t="shared" si="170"/>
        <v>0</v>
      </c>
      <c r="BX77" s="5">
        <f t="shared" si="170"/>
        <v>0</v>
      </c>
      <c r="BY77" s="5">
        <f t="shared" si="170"/>
        <v>0</v>
      </c>
      <c r="BZ77" s="5">
        <f t="shared" si="170"/>
        <v>0</v>
      </c>
      <c r="CA77" s="5">
        <f t="shared" si="170"/>
        <v>0</v>
      </c>
      <c r="CB77" s="5"/>
      <c r="CC77" s="5">
        <f t="shared" si="171"/>
        <v>1146312</v>
      </c>
    </row>
    <row r="78" spans="1:81">
      <c r="A78" s="29" t="s">
        <v>76</v>
      </c>
      <c r="B78" s="35">
        <v>0</v>
      </c>
      <c r="C78" s="35">
        <v>157805</v>
      </c>
      <c r="D78" s="35"/>
      <c r="E78" s="35"/>
      <c r="F78" s="35"/>
      <c r="G78" s="35"/>
      <c r="H78" s="35"/>
      <c r="I78" s="35">
        <f t="shared" si="162"/>
        <v>157805</v>
      </c>
      <c r="J78" s="53"/>
      <c r="K78" s="35">
        <v>0</v>
      </c>
      <c r="L78" s="35">
        <v>128410</v>
      </c>
      <c r="M78" s="35"/>
      <c r="N78" s="35"/>
      <c r="O78" s="35"/>
      <c r="P78" s="35"/>
      <c r="Q78" s="35"/>
      <c r="R78" s="35">
        <f t="shared" si="163"/>
        <v>128410</v>
      </c>
      <c r="T78" s="35">
        <v>0</v>
      </c>
      <c r="U78" s="35">
        <v>170182</v>
      </c>
      <c r="V78" s="35"/>
      <c r="W78" s="35"/>
      <c r="X78" s="35"/>
      <c r="Y78" s="35"/>
      <c r="Z78" s="35"/>
      <c r="AA78" s="35">
        <f t="shared" si="164"/>
        <v>170182</v>
      </c>
      <c r="AC78" s="35">
        <v>0</v>
      </c>
      <c r="AD78" s="35">
        <v>450210</v>
      </c>
      <c r="AE78" s="35"/>
      <c r="AF78" s="35"/>
      <c r="AG78" s="35"/>
      <c r="AH78" s="35"/>
      <c r="AI78" s="35"/>
      <c r="AJ78" s="35">
        <f t="shared" si="165"/>
        <v>450210</v>
      </c>
      <c r="AL78" s="35">
        <v>0</v>
      </c>
      <c r="AM78" s="35">
        <v>326441</v>
      </c>
      <c r="AN78" s="35"/>
      <c r="AO78" s="35"/>
      <c r="AP78" s="35"/>
      <c r="AQ78" s="35"/>
      <c r="AR78" s="35"/>
      <c r="AS78" s="35">
        <f t="shared" si="166"/>
        <v>326441</v>
      </c>
      <c r="AU78" s="35">
        <v>0</v>
      </c>
      <c r="AV78" s="35">
        <v>15471</v>
      </c>
      <c r="AW78" s="35"/>
      <c r="AX78" s="35"/>
      <c r="AY78" s="35"/>
      <c r="AZ78" s="35"/>
      <c r="BA78" s="35"/>
      <c r="BB78" s="35">
        <f t="shared" si="167"/>
        <v>15471</v>
      </c>
      <c r="BD78" s="35">
        <v>0</v>
      </c>
      <c r="BE78" s="35"/>
      <c r="BF78" s="35"/>
      <c r="BG78" s="35"/>
      <c r="BH78" s="35"/>
      <c r="BI78" s="35"/>
      <c r="BJ78" s="35"/>
      <c r="BK78" s="35">
        <f t="shared" si="168"/>
        <v>0</v>
      </c>
      <c r="BM78" s="35">
        <v>0</v>
      </c>
      <c r="BN78" s="35">
        <v>0</v>
      </c>
      <c r="BO78" s="35"/>
      <c r="BP78" s="35"/>
      <c r="BQ78" s="35"/>
      <c r="BR78" s="35"/>
      <c r="BS78" s="35"/>
      <c r="BT78" s="35">
        <f t="shared" si="169"/>
        <v>0</v>
      </c>
      <c r="BV78" s="5">
        <f t="shared" si="170"/>
        <v>0</v>
      </c>
      <c r="BW78" s="5">
        <f t="shared" si="170"/>
        <v>1248519</v>
      </c>
      <c r="BX78" s="5">
        <f t="shared" si="170"/>
        <v>0</v>
      </c>
      <c r="BY78" s="5">
        <f t="shared" si="170"/>
        <v>0</v>
      </c>
      <c r="BZ78" s="5">
        <f t="shared" si="170"/>
        <v>0</v>
      </c>
      <c r="CA78" s="5">
        <f t="shared" si="170"/>
        <v>0</v>
      </c>
      <c r="CB78" s="35"/>
      <c r="CC78" s="35">
        <f t="shared" si="171"/>
        <v>1248519</v>
      </c>
    </row>
    <row r="79" spans="1:81">
      <c r="A79" s="29" t="s">
        <v>77</v>
      </c>
      <c r="B79" s="35">
        <v>0</v>
      </c>
      <c r="C79" s="35">
        <f>3800*C20</f>
        <v>472501.65745856357</v>
      </c>
      <c r="D79" s="35"/>
      <c r="E79" s="35"/>
      <c r="F79" s="35"/>
      <c r="G79" s="35"/>
      <c r="H79" s="35"/>
      <c r="I79" s="35">
        <f t="shared" si="162"/>
        <v>472501.65745856357</v>
      </c>
      <c r="J79" s="53"/>
      <c r="K79" s="35">
        <v>0</v>
      </c>
      <c r="L79" s="35">
        <f>3800*L20</f>
        <v>280114.28571428568</v>
      </c>
      <c r="M79" s="35"/>
      <c r="N79" s="35"/>
      <c r="O79" s="35"/>
      <c r="P79" s="35"/>
      <c r="Q79" s="35"/>
      <c r="R79" s="35">
        <f t="shared" si="163"/>
        <v>280114.28571428568</v>
      </c>
      <c r="T79" s="35">
        <v>0</v>
      </c>
      <c r="U79" s="35">
        <f>3800*U20</f>
        <v>428288.34870075434</v>
      </c>
      <c r="V79" s="35"/>
      <c r="W79" s="35"/>
      <c r="X79" s="35"/>
      <c r="Y79" s="35"/>
      <c r="Z79" s="35"/>
      <c r="AA79" s="35">
        <f t="shared" si="164"/>
        <v>428288.34870075434</v>
      </c>
      <c r="AC79" s="35">
        <v>0</v>
      </c>
      <c r="AD79" s="35">
        <f>3800*AD20</f>
        <v>1150382.5491873394</v>
      </c>
      <c r="AE79" s="35"/>
      <c r="AF79" s="35"/>
      <c r="AG79" s="35"/>
      <c r="AH79" s="35"/>
      <c r="AI79" s="35"/>
      <c r="AJ79" s="35">
        <f t="shared" si="165"/>
        <v>1150382.5491873394</v>
      </c>
      <c r="AL79" s="35">
        <v>0</v>
      </c>
      <c r="AM79" s="35">
        <f>3800*AM20</f>
        <v>856089.29986789962</v>
      </c>
      <c r="AN79" s="35"/>
      <c r="AO79" s="35"/>
      <c r="AP79" s="35"/>
      <c r="AQ79" s="35"/>
      <c r="AR79" s="35"/>
      <c r="AS79" s="35">
        <f t="shared" si="166"/>
        <v>856089.29986789962</v>
      </c>
      <c r="AU79" s="35">
        <v>0</v>
      </c>
      <c r="AV79" s="35">
        <f>3800*AV20</f>
        <v>70933.333333333343</v>
      </c>
      <c r="AW79" s="35"/>
      <c r="AX79" s="35"/>
      <c r="AY79" s="35"/>
      <c r="AZ79" s="35"/>
      <c r="BA79" s="35"/>
      <c r="BB79" s="35">
        <f t="shared" si="167"/>
        <v>70933.333333333343</v>
      </c>
      <c r="BD79" s="35">
        <v>0</v>
      </c>
      <c r="BE79" s="35">
        <f>3800*BE20</f>
        <v>120457.14285714286</v>
      </c>
      <c r="BF79" s="35"/>
      <c r="BG79" s="35"/>
      <c r="BH79" s="35"/>
      <c r="BI79" s="35"/>
      <c r="BJ79" s="35"/>
      <c r="BK79" s="35">
        <f t="shared" si="168"/>
        <v>120457.14285714286</v>
      </c>
      <c r="BM79" s="35">
        <v>0</v>
      </c>
      <c r="BN79" s="35">
        <f>2500*BN20</f>
        <v>0</v>
      </c>
      <c r="BO79" s="35"/>
      <c r="BP79" s="35"/>
      <c r="BQ79" s="35"/>
      <c r="BR79" s="35"/>
      <c r="BS79" s="35"/>
      <c r="BT79" s="35">
        <f t="shared" si="169"/>
        <v>0</v>
      </c>
      <c r="BV79" s="5">
        <f t="shared" si="170"/>
        <v>0</v>
      </c>
      <c r="BW79" s="5">
        <f t="shared" si="170"/>
        <v>3378766.6171193188</v>
      </c>
      <c r="BX79" s="5">
        <f t="shared" si="170"/>
        <v>0</v>
      </c>
      <c r="BY79" s="5">
        <f t="shared" si="170"/>
        <v>0</v>
      </c>
      <c r="BZ79" s="5">
        <f t="shared" si="170"/>
        <v>0</v>
      </c>
      <c r="CA79" s="5">
        <f t="shared" si="170"/>
        <v>0</v>
      </c>
      <c r="CB79" s="35"/>
      <c r="CC79" s="35">
        <f t="shared" si="171"/>
        <v>3378766.6171193188</v>
      </c>
    </row>
    <row r="80" spans="1:81" ht="15">
      <c r="A80" s="54" t="s">
        <v>78</v>
      </c>
      <c r="B80" s="55">
        <f t="shared" ref="B80:I80" si="172">SUM(B74:B79)</f>
        <v>9376378.1767955814</v>
      </c>
      <c r="C80" s="55">
        <f t="shared" si="172"/>
        <v>630306.65745856357</v>
      </c>
      <c r="D80" s="55">
        <f t="shared" si="172"/>
        <v>0</v>
      </c>
      <c r="E80" s="55"/>
      <c r="F80" s="55">
        <f t="shared" si="172"/>
        <v>0</v>
      </c>
      <c r="G80" s="55">
        <f t="shared" si="172"/>
        <v>0</v>
      </c>
      <c r="H80" s="55">
        <f t="shared" si="172"/>
        <v>0</v>
      </c>
      <c r="I80" s="55">
        <f t="shared" si="172"/>
        <v>10006684.834254146</v>
      </c>
      <c r="J80" s="7"/>
      <c r="K80" s="55">
        <f t="shared" ref="K80:R80" si="173">SUM(K74:K79)</f>
        <v>10335687.005870841</v>
      </c>
      <c r="L80" s="55">
        <f t="shared" si="173"/>
        <v>408524.28571428568</v>
      </c>
      <c r="M80" s="55">
        <f t="shared" si="173"/>
        <v>0</v>
      </c>
      <c r="N80" s="55"/>
      <c r="O80" s="55">
        <f t="shared" si="173"/>
        <v>0</v>
      </c>
      <c r="P80" s="55">
        <f t="shared" si="173"/>
        <v>0</v>
      </c>
      <c r="Q80" s="55">
        <f t="shared" si="173"/>
        <v>0</v>
      </c>
      <c r="R80" s="55">
        <f t="shared" si="173"/>
        <v>10744211.291585127</v>
      </c>
      <c r="T80" s="55">
        <f t="shared" ref="T80:AA80" si="174">SUM(T74:T79)</f>
        <v>12469182.18357083</v>
      </c>
      <c r="U80" s="55">
        <f t="shared" si="174"/>
        <v>598470.34870075434</v>
      </c>
      <c r="V80" s="55">
        <f t="shared" si="174"/>
        <v>0</v>
      </c>
      <c r="W80" s="55"/>
      <c r="X80" s="55">
        <f t="shared" si="174"/>
        <v>0</v>
      </c>
      <c r="Y80" s="55">
        <f t="shared" si="174"/>
        <v>0</v>
      </c>
      <c r="Z80" s="55">
        <f t="shared" si="174"/>
        <v>0</v>
      </c>
      <c r="AA80" s="55">
        <f t="shared" si="174"/>
        <v>13067652.532271584</v>
      </c>
      <c r="AC80" s="55">
        <f t="shared" ref="AC80:AJ80" si="175">SUM(AC74:AC79)</f>
        <v>25851212.177929856</v>
      </c>
      <c r="AD80" s="55">
        <f t="shared" si="175"/>
        <v>1600592.5491873394</v>
      </c>
      <c r="AE80" s="55">
        <f t="shared" si="175"/>
        <v>0</v>
      </c>
      <c r="AF80" s="55">
        <f t="shared" si="175"/>
        <v>0</v>
      </c>
      <c r="AG80" s="55">
        <f t="shared" si="175"/>
        <v>0</v>
      </c>
      <c r="AH80" s="55">
        <f t="shared" si="175"/>
        <v>0</v>
      </c>
      <c r="AI80" s="55">
        <f t="shared" si="175"/>
        <v>0</v>
      </c>
      <c r="AJ80" s="55">
        <f t="shared" si="175"/>
        <v>27451804.727117196</v>
      </c>
      <c r="AL80" s="55">
        <f t="shared" ref="AL80:AS80" si="176">SUM(AL74:AL79)</f>
        <v>24366121.715543814</v>
      </c>
      <c r="AM80" s="55">
        <f t="shared" si="176"/>
        <v>1182530.2998678996</v>
      </c>
      <c r="AN80" s="55">
        <f t="shared" si="176"/>
        <v>0</v>
      </c>
      <c r="AO80" s="55"/>
      <c r="AP80" s="55">
        <f t="shared" si="176"/>
        <v>0</v>
      </c>
      <c r="AQ80" s="55">
        <f t="shared" si="176"/>
        <v>0</v>
      </c>
      <c r="AR80" s="55">
        <f t="shared" si="176"/>
        <v>0</v>
      </c>
      <c r="AS80" s="55">
        <f t="shared" si="176"/>
        <v>25548652.015411712</v>
      </c>
      <c r="AU80" s="55">
        <f t="shared" ref="AU80:BB80" si="177">SUM(AU74:AU79)</f>
        <v>1511858.888888889</v>
      </c>
      <c r="AV80" s="55">
        <f t="shared" si="177"/>
        <v>86404.333333333343</v>
      </c>
      <c r="AW80" s="55">
        <f t="shared" si="177"/>
        <v>0</v>
      </c>
      <c r="AX80" s="55"/>
      <c r="AY80" s="55">
        <f t="shared" si="177"/>
        <v>0</v>
      </c>
      <c r="AZ80" s="55">
        <f t="shared" si="177"/>
        <v>0</v>
      </c>
      <c r="BA80" s="55">
        <f t="shared" si="177"/>
        <v>0</v>
      </c>
      <c r="BB80" s="55">
        <f t="shared" si="177"/>
        <v>1598263.2222222222</v>
      </c>
      <c r="BD80" s="55">
        <f t="shared" ref="BD80:BK80" si="178">SUM(BD74:BD79)</f>
        <v>5174661.5488721803</v>
      </c>
      <c r="BE80" s="55">
        <f t="shared" si="178"/>
        <v>120457.14285714286</v>
      </c>
      <c r="BF80" s="55">
        <f t="shared" si="178"/>
        <v>0</v>
      </c>
      <c r="BG80" s="55"/>
      <c r="BH80" s="55">
        <f t="shared" si="178"/>
        <v>0</v>
      </c>
      <c r="BI80" s="55">
        <f t="shared" si="178"/>
        <v>0</v>
      </c>
      <c r="BJ80" s="55">
        <f t="shared" si="178"/>
        <v>0</v>
      </c>
      <c r="BK80" s="55">
        <f t="shared" si="178"/>
        <v>5295118.691729323</v>
      </c>
      <c r="BM80" s="55">
        <f t="shared" ref="BM80:BT80" si="179">SUM(BM74:BM79)</f>
        <v>0</v>
      </c>
      <c r="BN80" s="55">
        <f t="shared" si="179"/>
        <v>0</v>
      </c>
      <c r="BO80" s="55">
        <f t="shared" si="179"/>
        <v>0</v>
      </c>
      <c r="BP80" s="55"/>
      <c r="BQ80" s="55">
        <f t="shared" si="179"/>
        <v>0</v>
      </c>
      <c r="BR80" s="55">
        <f t="shared" si="179"/>
        <v>0</v>
      </c>
      <c r="BS80" s="55">
        <f t="shared" si="179"/>
        <v>0</v>
      </c>
      <c r="BT80" s="55">
        <f t="shared" si="179"/>
        <v>0</v>
      </c>
      <c r="BV80" s="55">
        <f t="shared" ref="BV80:BX80" si="180">SUM(BV74:BV79)</f>
        <v>89085101.697471991</v>
      </c>
      <c r="BW80" s="55">
        <f t="shared" si="180"/>
        <v>4627285.6171193188</v>
      </c>
      <c r="BX80" s="55">
        <f t="shared" si="180"/>
        <v>0</v>
      </c>
      <c r="BY80" s="55"/>
      <c r="BZ80" s="55">
        <f t="shared" ref="BZ80:CC80" si="181">SUM(BZ74:BZ79)</f>
        <v>0</v>
      </c>
      <c r="CA80" s="55">
        <f t="shared" si="181"/>
        <v>0</v>
      </c>
      <c r="CB80" s="55">
        <f t="shared" si="181"/>
        <v>0</v>
      </c>
      <c r="CC80" s="55">
        <f t="shared" si="181"/>
        <v>93712387.314591303</v>
      </c>
    </row>
    <row r="81" spans="1:81" ht="15">
      <c r="A81" s="56" t="s">
        <v>79</v>
      </c>
      <c r="B81" s="49"/>
      <c r="C81" s="49"/>
      <c r="D81" s="49"/>
      <c r="E81" s="49"/>
      <c r="F81" s="49"/>
      <c r="G81" s="49"/>
      <c r="H81" s="49"/>
      <c r="I81" s="50"/>
      <c r="J81" s="7"/>
      <c r="K81" s="49"/>
      <c r="L81" s="49"/>
      <c r="M81" s="49"/>
      <c r="N81" s="49"/>
      <c r="O81" s="49"/>
      <c r="P81" s="49"/>
      <c r="Q81" s="49"/>
      <c r="R81" s="50"/>
      <c r="T81" s="49"/>
      <c r="U81" s="49"/>
      <c r="V81" s="49"/>
      <c r="W81" s="49"/>
      <c r="X81" s="49"/>
      <c r="Y81" s="49"/>
      <c r="Z81" s="49"/>
      <c r="AA81" s="50"/>
      <c r="AC81" s="49"/>
      <c r="AD81" s="49"/>
      <c r="AE81" s="49"/>
      <c r="AF81" s="49"/>
      <c r="AG81" s="49"/>
      <c r="AH81" s="49"/>
      <c r="AI81" s="49"/>
      <c r="AJ81" s="50"/>
      <c r="AL81" s="49"/>
      <c r="AM81" s="49"/>
      <c r="AN81" s="49"/>
      <c r="AO81" s="49"/>
      <c r="AP81" s="49"/>
      <c r="AQ81" s="49"/>
      <c r="AR81" s="49"/>
      <c r="AS81" s="50"/>
      <c r="AU81" s="49"/>
      <c r="AV81" s="49"/>
      <c r="AW81" s="49"/>
      <c r="AX81" s="49"/>
      <c r="AY81" s="49"/>
      <c r="AZ81" s="49"/>
      <c r="BA81" s="49"/>
      <c r="BB81" s="50"/>
      <c r="BD81" s="49"/>
      <c r="BE81" s="49"/>
      <c r="BF81" s="49"/>
      <c r="BG81" s="49"/>
      <c r="BH81" s="49"/>
      <c r="BI81" s="49"/>
      <c r="BJ81" s="49"/>
      <c r="BK81" s="50"/>
      <c r="BM81" s="49"/>
      <c r="BN81" s="49"/>
      <c r="BO81" s="49"/>
      <c r="BP81" s="49"/>
      <c r="BQ81" s="49"/>
      <c r="BR81" s="49"/>
      <c r="BS81" s="49"/>
      <c r="BT81" s="50"/>
      <c r="BV81" s="49"/>
      <c r="BW81" s="49"/>
      <c r="BX81" s="49"/>
      <c r="BY81" s="49"/>
      <c r="BZ81" s="49"/>
      <c r="CA81" s="49"/>
      <c r="CB81" s="49"/>
      <c r="CC81" s="50"/>
    </row>
    <row r="82" spans="1:81">
      <c r="A82" s="29" t="s">
        <v>80</v>
      </c>
      <c r="B82" s="5"/>
      <c r="C82" s="5">
        <f>C20*1100</f>
        <v>136776.79558011051</v>
      </c>
      <c r="D82" s="5"/>
      <c r="E82" s="5"/>
      <c r="F82" s="5"/>
      <c r="G82" s="5"/>
      <c r="H82" s="5"/>
      <c r="I82" s="5">
        <f>SUM(B82:H82)</f>
        <v>136776.79558011051</v>
      </c>
      <c r="J82" s="6"/>
      <c r="K82" s="5"/>
      <c r="L82" s="5">
        <f>L20*1100</f>
        <v>81085.714285714275</v>
      </c>
      <c r="M82" s="5"/>
      <c r="N82" s="5"/>
      <c r="O82" s="5"/>
      <c r="P82" s="5"/>
      <c r="Q82" s="5"/>
      <c r="R82" s="5">
        <f>SUM(K82:Q82)</f>
        <v>81085.714285714275</v>
      </c>
      <c r="T82" s="5"/>
      <c r="U82" s="5">
        <f>U20*1100</f>
        <v>123978.20620284995</v>
      </c>
      <c r="V82" s="5"/>
      <c r="W82" s="5"/>
      <c r="X82" s="5"/>
      <c r="Y82" s="5"/>
      <c r="Z82" s="5"/>
      <c r="AA82" s="5">
        <f>SUM(T82:Z82)</f>
        <v>123978.20620284995</v>
      </c>
      <c r="AC82" s="5"/>
      <c r="AD82" s="5">
        <f>AD20*1100</f>
        <v>333005.47476475616</v>
      </c>
      <c r="AE82" s="5"/>
      <c r="AF82" s="5"/>
      <c r="AG82" s="5"/>
      <c r="AH82" s="5"/>
      <c r="AI82" s="5"/>
      <c r="AJ82" s="5">
        <f>SUM(AC82:AI82)</f>
        <v>333005.47476475616</v>
      </c>
      <c r="AL82" s="5"/>
      <c r="AM82" s="5">
        <f>AM20*1100</f>
        <v>247815.32364597096</v>
      </c>
      <c r="AN82" s="5"/>
      <c r="AO82" s="5"/>
      <c r="AP82" s="5"/>
      <c r="AQ82" s="5"/>
      <c r="AR82" s="5"/>
      <c r="AS82" s="5">
        <f>SUM(AL82:AR82)</f>
        <v>247815.32364597096</v>
      </c>
      <c r="AU82" s="5"/>
      <c r="AV82" s="5">
        <f>AV20*1100</f>
        <v>20533.333333333336</v>
      </c>
      <c r="AW82" s="5"/>
      <c r="AX82" s="5"/>
      <c r="AY82" s="5"/>
      <c r="AZ82" s="5"/>
      <c r="BA82" s="5"/>
      <c r="BB82" s="5">
        <f>SUM(AU82:BA82)</f>
        <v>20533.333333333336</v>
      </c>
      <c r="BD82" s="5"/>
      <c r="BE82" s="5">
        <f>BE20*1100</f>
        <v>34869.172932330825</v>
      </c>
      <c r="BF82" s="11"/>
      <c r="BG82" s="5"/>
      <c r="BH82" s="5"/>
      <c r="BI82" s="5"/>
      <c r="BJ82" s="5"/>
      <c r="BK82" s="5">
        <f>SUM(BD82:BJ82)</f>
        <v>34869.172932330825</v>
      </c>
      <c r="BM82" s="5"/>
      <c r="BN82" s="5">
        <v>0</v>
      </c>
      <c r="BO82" s="5"/>
      <c r="BP82" s="5"/>
      <c r="BQ82" s="5"/>
      <c r="BR82" s="5"/>
      <c r="BS82" s="5"/>
      <c r="BT82" s="5">
        <f>SUM(BM82:BS82)</f>
        <v>0</v>
      </c>
      <c r="BV82" s="5">
        <f t="shared" ref="BV82:CA89" si="182">B82+K82+T82+AC82+AL82+AU82+BD82+BM82</f>
        <v>0</v>
      </c>
      <c r="BW82" s="5">
        <f t="shared" si="182"/>
        <v>978064.02074506599</v>
      </c>
      <c r="BX82" s="5">
        <f t="shared" si="182"/>
        <v>0</v>
      </c>
      <c r="BY82" s="5">
        <f t="shared" si="182"/>
        <v>0</v>
      </c>
      <c r="BZ82" s="5">
        <f t="shared" si="182"/>
        <v>0</v>
      </c>
      <c r="CA82" s="5">
        <f t="shared" si="182"/>
        <v>0</v>
      </c>
      <c r="CB82" s="5"/>
      <c r="CC82" s="5">
        <f>SUM(BV82:CB82)</f>
        <v>978064.02074506599</v>
      </c>
    </row>
    <row r="83" spans="1:81">
      <c r="A83" s="29" t="s">
        <v>81</v>
      </c>
      <c r="B83" s="5"/>
      <c r="C83" s="5"/>
      <c r="D83" s="11"/>
      <c r="E83" s="11"/>
      <c r="F83" s="11"/>
      <c r="G83" s="11"/>
      <c r="H83" s="11"/>
      <c r="I83" s="5">
        <f t="shared" ref="I83:I95" si="183">SUM(B83:H83)</f>
        <v>0</v>
      </c>
      <c r="J83" s="57"/>
      <c r="K83" s="5"/>
      <c r="L83" s="5"/>
      <c r="M83" s="11">
        <v>0</v>
      </c>
      <c r="N83" s="11"/>
      <c r="O83" s="11"/>
      <c r="P83" s="11"/>
      <c r="Q83" s="11"/>
      <c r="R83" s="5">
        <f t="shared" ref="R83:R95" si="184">SUM(K83:Q83)</f>
        <v>0</v>
      </c>
      <c r="T83" s="5"/>
      <c r="U83" s="5"/>
      <c r="V83" s="11">
        <v>0</v>
      </c>
      <c r="W83" s="11"/>
      <c r="X83" s="11"/>
      <c r="Y83" s="11"/>
      <c r="Z83" s="11"/>
      <c r="AA83" s="5">
        <f t="shared" ref="AA83:AA95" si="185">SUM(T83:Z83)</f>
        <v>0</v>
      </c>
      <c r="AC83" s="5"/>
      <c r="AD83" s="5"/>
      <c r="AE83" s="11">
        <v>0</v>
      </c>
      <c r="AF83" s="11"/>
      <c r="AG83" s="11"/>
      <c r="AH83" s="11"/>
      <c r="AI83" s="11"/>
      <c r="AJ83" s="5">
        <f t="shared" ref="AJ83:AJ95" si="186">SUM(AC83:AI83)</f>
        <v>0</v>
      </c>
      <c r="AL83" s="5"/>
      <c r="AM83" s="5"/>
      <c r="AN83" s="11">
        <v>0</v>
      </c>
      <c r="AO83" s="11"/>
      <c r="AP83" s="11"/>
      <c r="AQ83" s="11"/>
      <c r="AR83" s="11"/>
      <c r="AS83" s="5">
        <f t="shared" ref="AS83:AS95" si="187">SUM(AL83:AR83)</f>
        <v>0</v>
      </c>
      <c r="AU83" s="5"/>
      <c r="AV83" s="5"/>
      <c r="AW83" s="11"/>
      <c r="AX83" s="11"/>
      <c r="AY83" s="11"/>
      <c r="AZ83" s="11"/>
      <c r="BA83" s="11"/>
      <c r="BB83" s="5">
        <f t="shared" ref="BB83:BB95" si="188">SUM(AU83:BA83)</f>
        <v>0</v>
      </c>
      <c r="BD83" s="5"/>
      <c r="BE83" s="5"/>
      <c r="BF83" s="11">
        <f>((BD17*0.93)*2.28*180)</f>
        <v>189309.31200000001</v>
      </c>
      <c r="BG83" s="11"/>
      <c r="BH83" s="11"/>
      <c r="BI83" s="11"/>
      <c r="BJ83" s="11"/>
      <c r="BK83" s="5">
        <f t="shared" ref="BK83:BK95" si="189">SUM(BD83:BJ83)</f>
        <v>189309.31200000001</v>
      </c>
      <c r="BM83" s="5"/>
      <c r="BN83" s="5"/>
      <c r="BO83" s="11"/>
      <c r="BP83" s="11"/>
      <c r="BQ83" s="11"/>
      <c r="BR83" s="11"/>
      <c r="BS83" s="11"/>
      <c r="BT83" s="5">
        <f t="shared" ref="BT83:BT95" si="190">SUM(BM83:BS83)</f>
        <v>0</v>
      </c>
      <c r="BV83" s="5">
        <f t="shared" si="182"/>
        <v>0</v>
      </c>
      <c r="BW83" s="5">
        <f t="shared" si="182"/>
        <v>0</v>
      </c>
      <c r="BX83" s="5">
        <f t="shared" si="182"/>
        <v>189309.31200000001</v>
      </c>
      <c r="BY83" s="5">
        <f t="shared" si="182"/>
        <v>0</v>
      </c>
      <c r="BZ83" s="5">
        <f t="shared" si="182"/>
        <v>0</v>
      </c>
      <c r="CA83" s="5">
        <f t="shared" si="182"/>
        <v>0</v>
      </c>
      <c r="CB83" s="11"/>
      <c r="CC83" s="5">
        <f t="shared" ref="CC83:CC88" si="191">SUM(BV83:CB83)</f>
        <v>189309.31200000001</v>
      </c>
    </row>
    <row r="84" spans="1:81">
      <c r="A84" s="29" t="s">
        <v>82</v>
      </c>
      <c r="B84" s="35"/>
      <c r="C84" s="35"/>
      <c r="D84" s="11">
        <f>((B17*0.51)*4.33*180)</f>
        <v>369669.42</v>
      </c>
      <c r="E84" s="11"/>
      <c r="F84" s="11"/>
      <c r="G84" s="11"/>
      <c r="H84" s="11"/>
      <c r="I84" s="5">
        <f t="shared" si="183"/>
        <v>369669.42</v>
      </c>
      <c r="J84" s="57"/>
      <c r="K84" s="35"/>
      <c r="L84" s="35"/>
      <c r="M84" s="11">
        <f>((K17*0.35)*4.33*180)</f>
        <v>281519.27999999997</v>
      </c>
      <c r="N84" s="11"/>
      <c r="O84" s="11"/>
      <c r="P84" s="11"/>
      <c r="Q84" s="11"/>
      <c r="R84" s="5">
        <f t="shared" si="184"/>
        <v>281519.27999999997</v>
      </c>
      <c r="T84" s="35"/>
      <c r="U84" s="35"/>
      <c r="V84" s="11">
        <f>((T17*0.17)*4.33*180)</f>
        <v>164960.01</v>
      </c>
      <c r="W84" s="11"/>
      <c r="X84" s="11"/>
      <c r="Y84" s="11"/>
      <c r="Z84" s="11"/>
      <c r="AA84" s="5">
        <f t="shared" si="185"/>
        <v>164960.01</v>
      </c>
      <c r="AC84" s="35"/>
      <c r="AD84" s="35"/>
      <c r="AE84" s="11">
        <f>((AC17*0.45)*4.33*180)</f>
        <v>892958.58000000007</v>
      </c>
      <c r="AF84" s="11"/>
      <c r="AG84" s="11"/>
      <c r="AH84" s="11"/>
      <c r="AI84" s="11"/>
      <c r="AJ84" s="5">
        <f t="shared" si="186"/>
        <v>892958.58000000007</v>
      </c>
      <c r="AL84" s="35"/>
      <c r="AM84" s="35"/>
      <c r="AN84" s="11">
        <f>((AL17*0.31)*4.33*180)</f>
        <v>580356.82799999998</v>
      </c>
      <c r="AO84" s="11"/>
      <c r="AP84" s="11"/>
      <c r="AQ84" s="11"/>
      <c r="AR84" s="11"/>
      <c r="AS84" s="5">
        <f t="shared" si="187"/>
        <v>580356.82799999998</v>
      </c>
      <c r="AU84" s="35"/>
      <c r="AV84" s="35"/>
      <c r="AW84" s="11">
        <f>((AU17*0.02)*4.33*180)</f>
        <v>2182.3200000000002</v>
      </c>
      <c r="AX84" s="11"/>
      <c r="AY84" s="11"/>
      <c r="AZ84" s="11"/>
      <c r="BA84" s="11"/>
      <c r="BB84" s="5">
        <f t="shared" si="188"/>
        <v>2182.3200000000002</v>
      </c>
      <c r="BD84" s="35"/>
      <c r="BE84" s="35"/>
      <c r="BF84" s="11">
        <f>((BD17*0.97)*4.33*180)</f>
        <v>374984.92800000001</v>
      </c>
      <c r="BG84" s="11"/>
      <c r="BH84" s="11"/>
      <c r="BI84" s="11"/>
      <c r="BJ84" s="11"/>
      <c r="BK84" s="5">
        <f t="shared" si="189"/>
        <v>374984.92800000001</v>
      </c>
      <c r="BM84" s="35"/>
      <c r="BN84" s="35"/>
      <c r="BO84" s="11">
        <f>((BM17*0.25)*4*180)</f>
        <v>0</v>
      </c>
      <c r="BP84" s="11"/>
      <c r="BQ84" s="11"/>
      <c r="BR84" s="11"/>
      <c r="BS84" s="11"/>
      <c r="BT84" s="5">
        <f t="shared" si="190"/>
        <v>0</v>
      </c>
      <c r="BV84" s="5">
        <f t="shared" si="182"/>
        <v>0</v>
      </c>
      <c r="BW84" s="5">
        <f t="shared" si="182"/>
        <v>0</v>
      </c>
      <c r="BX84" s="5">
        <f t="shared" si="182"/>
        <v>2666631.3659999995</v>
      </c>
      <c r="BY84" s="5">
        <f t="shared" si="182"/>
        <v>0</v>
      </c>
      <c r="BZ84" s="5">
        <f t="shared" si="182"/>
        <v>0</v>
      </c>
      <c r="CA84" s="5">
        <f t="shared" si="182"/>
        <v>0</v>
      </c>
      <c r="CB84" s="11"/>
      <c r="CC84" s="5">
        <f t="shared" si="191"/>
        <v>2666631.3659999995</v>
      </c>
    </row>
    <row r="85" spans="1:81">
      <c r="A85" s="29" t="s">
        <v>4</v>
      </c>
      <c r="B85" s="35"/>
      <c r="C85" s="35"/>
      <c r="D85" s="35"/>
      <c r="E85" s="35"/>
      <c r="F85" s="67"/>
      <c r="G85" s="35"/>
      <c r="H85" s="35"/>
      <c r="I85" s="5">
        <f t="shared" si="183"/>
        <v>0</v>
      </c>
      <c r="J85" s="6"/>
      <c r="K85" s="35"/>
      <c r="L85" s="35"/>
      <c r="M85" s="67"/>
      <c r="N85" s="35"/>
      <c r="O85" s="35"/>
      <c r="P85" s="35"/>
      <c r="Q85" s="35"/>
      <c r="R85" s="5">
        <f t="shared" si="184"/>
        <v>0</v>
      </c>
      <c r="T85" s="35"/>
      <c r="U85" s="35"/>
      <c r="V85" s="35"/>
      <c r="W85" s="35"/>
      <c r="X85" s="35"/>
      <c r="Y85" s="35"/>
      <c r="Z85" s="35"/>
      <c r="AA85" s="5">
        <f t="shared" si="185"/>
        <v>0</v>
      </c>
      <c r="AC85" s="35"/>
      <c r="AD85" s="35"/>
      <c r="AE85" s="35"/>
      <c r="AF85" s="35"/>
      <c r="AG85" s="35"/>
      <c r="AH85" s="35"/>
      <c r="AI85" s="35"/>
      <c r="AJ85" s="5">
        <f t="shared" si="186"/>
        <v>0</v>
      </c>
      <c r="AL85" s="35"/>
      <c r="AM85" s="35"/>
      <c r="AN85" s="35"/>
      <c r="AO85" s="35"/>
      <c r="AP85" s="35"/>
      <c r="AQ85" s="35"/>
      <c r="AR85" s="35"/>
      <c r="AS85" s="5">
        <f t="shared" si="187"/>
        <v>0</v>
      </c>
      <c r="AU85" s="35"/>
      <c r="AV85" s="35"/>
      <c r="AW85" s="35"/>
      <c r="AX85" s="35"/>
      <c r="AY85" s="67"/>
      <c r="AZ85" s="35"/>
      <c r="BA85" s="35"/>
      <c r="BB85" s="5">
        <f t="shared" si="188"/>
        <v>0</v>
      </c>
      <c r="BD85" s="35"/>
      <c r="BE85" s="35"/>
      <c r="BF85" s="67"/>
      <c r="BG85" s="35"/>
      <c r="BH85" s="67"/>
      <c r="BI85" s="35"/>
      <c r="BJ85" s="35"/>
      <c r="BK85" s="5">
        <f t="shared" si="189"/>
        <v>0</v>
      </c>
      <c r="BM85" s="35"/>
      <c r="BN85" s="35"/>
      <c r="BO85" s="35"/>
      <c r="BP85" s="35"/>
      <c r="BQ85" s="35"/>
      <c r="BR85" s="35"/>
      <c r="BS85" s="35"/>
      <c r="BT85" s="5">
        <f t="shared" si="190"/>
        <v>0</v>
      </c>
      <c r="BV85" s="5">
        <f t="shared" si="182"/>
        <v>0</v>
      </c>
      <c r="BW85" s="5">
        <f t="shared" si="182"/>
        <v>0</v>
      </c>
      <c r="BX85" s="5">
        <f t="shared" si="182"/>
        <v>0</v>
      </c>
      <c r="BY85" s="5">
        <f t="shared" si="182"/>
        <v>0</v>
      </c>
      <c r="BZ85" s="5">
        <f t="shared" si="182"/>
        <v>0</v>
      </c>
      <c r="CA85" s="5">
        <f t="shared" si="182"/>
        <v>0</v>
      </c>
      <c r="CB85" s="35"/>
      <c r="CC85" s="5">
        <f t="shared" si="191"/>
        <v>0</v>
      </c>
    </row>
    <row r="86" spans="1:81">
      <c r="A86" s="29" t="s">
        <v>83</v>
      </c>
      <c r="B86" s="35"/>
      <c r="C86" s="35"/>
      <c r="D86" s="35"/>
      <c r="E86" s="35"/>
      <c r="F86" s="35"/>
      <c r="G86" s="35"/>
      <c r="H86" s="35"/>
      <c r="I86" s="5">
        <f t="shared" si="183"/>
        <v>0</v>
      </c>
      <c r="J86" s="6"/>
      <c r="K86" s="35"/>
      <c r="L86" s="35"/>
      <c r="M86" s="67"/>
      <c r="N86" s="35"/>
      <c r="O86" s="35"/>
      <c r="P86" s="35"/>
      <c r="Q86" s="35"/>
      <c r="R86" s="5">
        <f t="shared" si="184"/>
        <v>0</v>
      </c>
      <c r="T86" s="35"/>
      <c r="U86" s="35"/>
      <c r="V86" s="35"/>
      <c r="W86" s="35"/>
      <c r="X86" s="35"/>
      <c r="Y86" s="35"/>
      <c r="Z86" s="35"/>
      <c r="AA86" s="5">
        <f t="shared" si="185"/>
        <v>0</v>
      </c>
      <c r="AC86" s="35"/>
      <c r="AD86" s="35"/>
      <c r="AE86" s="35"/>
      <c r="AF86" s="35"/>
      <c r="AG86" s="35"/>
      <c r="AH86" s="35"/>
      <c r="AI86" s="35"/>
      <c r="AJ86" s="5">
        <f t="shared" si="186"/>
        <v>0</v>
      </c>
      <c r="AL86" s="35"/>
      <c r="AM86" s="35"/>
      <c r="AN86" s="35"/>
      <c r="AO86" s="35"/>
      <c r="AP86" s="35"/>
      <c r="AQ86" s="35"/>
      <c r="AR86" s="35"/>
      <c r="AS86" s="5">
        <f t="shared" si="187"/>
        <v>0</v>
      </c>
      <c r="AU86" s="35"/>
      <c r="AV86" s="35"/>
      <c r="AW86" s="35"/>
      <c r="AX86" s="35"/>
      <c r="AY86" s="35"/>
      <c r="AZ86" s="35"/>
      <c r="BA86" s="35"/>
      <c r="BB86" s="5">
        <f t="shared" si="188"/>
        <v>0</v>
      </c>
      <c r="BD86" s="35"/>
      <c r="BE86" s="35"/>
      <c r="BF86" s="67"/>
      <c r="BG86" s="35"/>
      <c r="BH86" s="35"/>
      <c r="BI86" s="35"/>
      <c r="BJ86" s="35"/>
      <c r="BK86" s="5">
        <f t="shared" si="189"/>
        <v>0</v>
      </c>
      <c r="BM86" s="35"/>
      <c r="BN86" s="35"/>
      <c r="BO86" s="35"/>
      <c r="BP86" s="35"/>
      <c r="BQ86" s="35"/>
      <c r="BR86" s="35"/>
      <c r="BS86" s="35"/>
      <c r="BT86" s="5">
        <f t="shared" si="190"/>
        <v>0</v>
      </c>
      <c r="BV86" s="5">
        <f t="shared" si="182"/>
        <v>0</v>
      </c>
      <c r="BW86" s="5">
        <f t="shared" si="182"/>
        <v>0</v>
      </c>
      <c r="BX86" s="5">
        <f t="shared" si="182"/>
        <v>0</v>
      </c>
      <c r="BY86" s="5">
        <f t="shared" si="182"/>
        <v>0</v>
      </c>
      <c r="BZ86" s="5">
        <f t="shared" si="182"/>
        <v>0</v>
      </c>
      <c r="CA86" s="5">
        <f t="shared" si="182"/>
        <v>0</v>
      </c>
      <c r="CB86" s="35"/>
      <c r="CC86" s="5">
        <f t="shared" si="191"/>
        <v>0</v>
      </c>
    </row>
    <row r="87" spans="1:81">
      <c r="A87" s="29" t="s">
        <v>6</v>
      </c>
      <c r="B87" s="35"/>
      <c r="C87" s="35"/>
      <c r="D87" s="35"/>
      <c r="E87" s="35"/>
      <c r="F87" s="35"/>
      <c r="G87" s="35"/>
      <c r="H87" s="35"/>
      <c r="I87" s="5">
        <f t="shared" si="183"/>
        <v>0</v>
      </c>
      <c r="J87" s="6"/>
      <c r="K87" s="35"/>
      <c r="L87" s="35"/>
      <c r="M87" s="67"/>
      <c r="N87" s="35"/>
      <c r="O87" s="35"/>
      <c r="P87" s="35"/>
      <c r="Q87" s="35"/>
      <c r="R87" s="5">
        <f t="shared" si="184"/>
        <v>0</v>
      </c>
      <c r="T87" s="35"/>
      <c r="U87" s="35"/>
      <c r="V87" s="35"/>
      <c r="W87" s="35"/>
      <c r="X87" s="35"/>
      <c r="Y87" s="35"/>
      <c r="Z87" s="35"/>
      <c r="AA87" s="5">
        <f t="shared" si="185"/>
        <v>0</v>
      </c>
      <c r="AC87" s="35"/>
      <c r="AD87" s="35"/>
      <c r="AE87" s="35"/>
      <c r="AF87" s="35"/>
      <c r="AG87" s="35"/>
      <c r="AH87" s="35"/>
      <c r="AI87" s="35"/>
      <c r="AJ87" s="5">
        <f t="shared" si="186"/>
        <v>0</v>
      </c>
      <c r="AL87" s="35"/>
      <c r="AM87" s="35"/>
      <c r="AN87" s="35"/>
      <c r="AO87" s="35"/>
      <c r="AP87" s="35"/>
      <c r="AQ87" s="35"/>
      <c r="AR87" s="35"/>
      <c r="AS87" s="5">
        <f t="shared" si="187"/>
        <v>0</v>
      </c>
      <c r="AU87" s="35"/>
      <c r="AV87" s="35"/>
      <c r="AW87" s="35"/>
      <c r="AX87" s="35"/>
      <c r="AY87" s="35"/>
      <c r="AZ87" s="35"/>
      <c r="BA87" s="35"/>
      <c r="BB87" s="5">
        <f t="shared" si="188"/>
        <v>0</v>
      </c>
      <c r="BD87" s="35"/>
      <c r="BE87" s="35"/>
      <c r="BF87" s="67"/>
      <c r="BG87" s="35"/>
      <c r="BH87" s="35"/>
      <c r="BI87" s="35"/>
      <c r="BJ87" s="35"/>
      <c r="BK87" s="5">
        <f t="shared" si="189"/>
        <v>0</v>
      </c>
      <c r="BM87" s="35"/>
      <c r="BN87" s="35"/>
      <c r="BO87" s="35"/>
      <c r="BP87" s="35"/>
      <c r="BQ87" s="35"/>
      <c r="BR87" s="35"/>
      <c r="BS87" s="35"/>
      <c r="BT87" s="5">
        <f t="shared" si="190"/>
        <v>0</v>
      </c>
      <c r="BV87" s="5">
        <f t="shared" si="182"/>
        <v>0</v>
      </c>
      <c r="BW87" s="5">
        <f t="shared" si="182"/>
        <v>0</v>
      </c>
      <c r="BX87" s="5">
        <f t="shared" si="182"/>
        <v>0</v>
      </c>
      <c r="BY87" s="5">
        <f t="shared" si="182"/>
        <v>0</v>
      </c>
      <c r="BZ87" s="5">
        <f t="shared" si="182"/>
        <v>0</v>
      </c>
      <c r="CA87" s="5">
        <f t="shared" si="182"/>
        <v>0</v>
      </c>
      <c r="CB87" s="35"/>
      <c r="CC87" s="5">
        <f t="shared" si="191"/>
        <v>0</v>
      </c>
    </row>
    <row r="88" spans="1:81">
      <c r="A88" s="29" t="s">
        <v>84</v>
      </c>
      <c r="B88" s="35"/>
      <c r="C88" s="35"/>
      <c r="D88" s="35"/>
      <c r="E88" s="35"/>
      <c r="F88" s="35"/>
      <c r="G88" s="35"/>
      <c r="H88" s="35"/>
      <c r="I88" s="5">
        <f t="shared" si="183"/>
        <v>0</v>
      </c>
      <c r="J88" s="6"/>
      <c r="K88" s="35"/>
      <c r="L88" s="35"/>
      <c r="M88" s="35"/>
      <c r="N88" s="35"/>
      <c r="O88" s="35"/>
      <c r="P88" s="35"/>
      <c r="Q88" s="35"/>
      <c r="R88" s="5">
        <f t="shared" si="184"/>
        <v>0</v>
      </c>
      <c r="T88" s="35"/>
      <c r="U88" s="35"/>
      <c r="V88" s="35"/>
      <c r="W88" s="35"/>
      <c r="X88" s="35"/>
      <c r="Y88" s="35"/>
      <c r="Z88" s="35"/>
      <c r="AA88" s="5">
        <f t="shared" si="185"/>
        <v>0</v>
      </c>
      <c r="AC88" s="35"/>
      <c r="AD88" s="35"/>
      <c r="AE88" s="35"/>
      <c r="AF88" s="35"/>
      <c r="AG88" s="35"/>
      <c r="AH88" s="35"/>
      <c r="AI88" s="35"/>
      <c r="AJ88" s="5">
        <f t="shared" si="186"/>
        <v>0</v>
      </c>
      <c r="AL88" s="35"/>
      <c r="AM88" s="35"/>
      <c r="AN88" s="35"/>
      <c r="AO88" s="35"/>
      <c r="AP88" s="35"/>
      <c r="AQ88" s="35"/>
      <c r="AR88" s="35"/>
      <c r="AS88" s="5">
        <f t="shared" si="187"/>
        <v>0</v>
      </c>
      <c r="AU88" s="35"/>
      <c r="AV88" s="35"/>
      <c r="AW88" s="35"/>
      <c r="AX88" s="35"/>
      <c r="AY88" s="35"/>
      <c r="AZ88" s="35"/>
      <c r="BA88" s="35"/>
      <c r="BB88" s="5">
        <f t="shared" si="188"/>
        <v>0</v>
      </c>
      <c r="BD88" s="35"/>
      <c r="BE88" s="35"/>
      <c r="BF88" s="35"/>
      <c r="BG88" s="35"/>
      <c r="BH88" s="35"/>
      <c r="BI88" s="35"/>
      <c r="BJ88" s="35"/>
      <c r="BK88" s="5">
        <f t="shared" si="189"/>
        <v>0</v>
      </c>
      <c r="BM88" s="35"/>
      <c r="BN88" s="35"/>
      <c r="BO88" s="35"/>
      <c r="BP88" s="35"/>
      <c r="BQ88" s="35"/>
      <c r="BR88" s="35"/>
      <c r="BS88" s="35"/>
      <c r="BT88" s="5">
        <f t="shared" si="190"/>
        <v>0</v>
      </c>
      <c r="BV88" s="5">
        <f t="shared" si="182"/>
        <v>0</v>
      </c>
      <c r="BW88" s="5">
        <f t="shared" si="182"/>
        <v>0</v>
      </c>
      <c r="BX88" s="5">
        <f t="shared" si="182"/>
        <v>0</v>
      </c>
      <c r="BY88" s="5">
        <f t="shared" si="182"/>
        <v>0</v>
      </c>
      <c r="BZ88" s="5">
        <f t="shared" si="182"/>
        <v>0</v>
      </c>
      <c r="CA88" s="5">
        <f t="shared" si="182"/>
        <v>0</v>
      </c>
      <c r="CB88" s="35"/>
      <c r="CC88" s="5">
        <f t="shared" si="191"/>
        <v>0</v>
      </c>
    </row>
    <row r="89" spans="1:81">
      <c r="A89" s="29" t="s">
        <v>85</v>
      </c>
      <c r="B89" s="35"/>
      <c r="C89" s="35"/>
      <c r="D89" s="35"/>
      <c r="E89" s="35"/>
      <c r="F89" s="35"/>
      <c r="G89" s="35"/>
      <c r="H89" s="35"/>
      <c r="I89" s="5"/>
      <c r="J89" s="6"/>
      <c r="K89" s="35"/>
      <c r="L89" s="35"/>
      <c r="M89" s="35"/>
      <c r="N89" s="35"/>
      <c r="O89" s="35"/>
      <c r="P89" s="35"/>
      <c r="Q89" s="35"/>
      <c r="R89" s="5"/>
      <c r="T89" s="35"/>
      <c r="U89" s="35"/>
      <c r="V89" s="35"/>
      <c r="W89" s="35"/>
      <c r="X89" s="35"/>
      <c r="Y89" s="35"/>
      <c r="Z89" s="35"/>
      <c r="AA89" s="5"/>
      <c r="AC89" s="35"/>
      <c r="AD89" s="35"/>
      <c r="AE89" s="35"/>
      <c r="AF89" s="35"/>
      <c r="AG89" s="35"/>
      <c r="AH89" s="35"/>
      <c r="AI89" s="35"/>
      <c r="AJ89" s="5"/>
      <c r="AL89" s="35"/>
      <c r="AM89" s="35"/>
      <c r="AN89" s="35"/>
      <c r="AO89" s="35"/>
      <c r="AP89" s="35"/>
      <c r="AQ89" s="35"/>
      <c r="AR89" s="35"/>
      <c r="AS89" s="5"/>
      <c r="AU89" s="35"/>
      <c r="AV89" s="35"/>
      <c r="AW89" s="35"/>
      <c r="AX89" s="35"/>
      <c r="AY89" s="35"/>
      <c r="AZ89" s="35"/>
      <c r="BA89" s="35"/>
      <c r="BB89" s="5"/>
      <c r="BD89" s="35"/>
      <c r="BE89" s="35"/>
      <c r="BF89" s="35"/>
      <c r="BG89" s="35"/>
      <c r="BH89" s="35"/>
      <c r="BI89" s="35"/>
      <c r="BJ89" s="35"/>
      <c r="BK89" s="5"/>
      <c r="BM89" s="35"/>
      <c r="BN89" s="35"/>
      <c r="BO89" s="35"/>
      <c r="BP89" s="35"/>
      <c r="BQ89" s="35"/>
      <c r="BR89" s="35"/>
      <c r="BS89" s="35"/>
      <c r="BT89" s="5"/>
      <c r="BV89" s="5">
        <f t="shared" si="182"/>
        <v>0</v>
      </c>
      <c r="BW89" s="5">
        <f t="shared" si="182"/>
        <v>0</v>
      </c>
      <c r="BX89" s="5">
        <f t="shared" si="182"/>
        <v>0</v>
      </c>
      <c r="BY89" s="5">
        <f t="shared" si="182"/>
        <v>0</v>
      </c>
      <c r="BZ89" s="5">
        <f t="shared" si="182"/>
        <v>0</v>
      </c>
      <c r="CA89" s="5">
        <f t="shared" si="182"/>
        <v>0</v>
      </c>
      <c r="CB89" s="35"/>
      <c r="CC89" s="5"/>
    </row>
    <row r="90" spans="1:81" ht="15">
      <c r="A90" s="54" t="s">
        <v>86</v>
      </c>
      <c r="B90" s="55">
        <f>SUM(B82:B88)</f>
        <v>0</v>
      </c>
      <c r="C90" s="55">
        <f t="shared" ref="C90:I90" si="192">SUM(C82:C88)</f>
        <v>136776.79558011051</v>
      </c>
      <c r="D90" s="55">
        <f t="shared" si="192"/>
        <v>369669.42</v>
      </c>
      <c r="E90" s="55"/>
      <c r="F90" s="55">
        <f t="shared" si="192"/>
        <v>0</v>
      </c>
      <c r="G90" s="55">
        <f t="shared" si="192"/>
        <v>0</v>
      </c>
      <c r="H90" s="55">
        <f t="shared" si="192"/>
        <v>0</v>
      </c>
      <c r="I90" s="55">
        <f t="shared" si="192"/>
        <v>506446.2155801105</v>
      </c>
      <c r="J90" s="7"/>
      <c r="K90" s="55">
        <f>SUM(K82:K88)</f>
        <v>0</v>
      </c>
      <c r="L90" s="55">
        <f t="shared" ref="L90:R90" si="193">SUM(L82:L88)</f>
        <v>81085.714285714275</v>
      </c>
      <c r="M90" s="55">
        <f t="shared" si="193"/>
        <v>281519.27999999997</v>
      </c>
      <c r="N90" s="55"/>
      <c r="O90" s="55">
        <f t="shared" si="193"/>
        <v>0</v>
      </c>
      <c r="P90" s="55">
        <f t="shared" si="193"/>
        <v>0</v>
      </c>
      <c r="Q90" s="55">
        <f t="shared" si="193"/>
        <v>0</v>
      </c>
      <c r="R90" s="55">
        <f t="shared" si="193"/>
        <v>362604.99428571423</v>
      </c>
      <c r="T90" s="55">
        <f>SUM(T82:T88)</f>
        <v>0</v>
      </c>
      <c r="U90" s="55">
        <f t="shared" ref="U90:AA90" si="194">SUM(U82:U88)</f>
        <v>123978.20620284995</v>
      </c>
      <c r="V90" s="55">
        <f t="shared" si="194"/>
        <v>164960.01</v>
      </c>
      <c r="W90" s="55"/>
      <c r="X90" s="55">
        <f t="shared" si="194"/>
        <v>0</v>
      </c>
      <c r="Y90" s="55">
        <f t="shared" si="194"/>
        <v>0</v>
      </c>
      <c r="Z90" s="55">
        <f t="shared" si="194"/>
        <v>0</v>
      </c>
      <c r="AA90" s="55">
        <f t="shared" si="194"/>
        <v>288938.21620284999</v>
      </c>
      <c r="AC90" s="55">
        <f>SUM(AC82:AC88)</f>
        <v>0</v>
      </c>
      <c r="AD90" s="55">
        <f t="shared" ref="AD90:AJ90" si="195">SUM(AD82:AD88)</f>
        <v>333005.47476475616</v>
      </c>
      <c r="AE90" s="55">
        <f t="shared" si="195"/>
        <v>892958.58000000007</v>
      </c>
      <c r="AF90" s="55">
        <f t="shared" si="195"/>
        <v>0</v>
      </c>
      <c r="AG90" s="55">
        <f t="shared" si="195"/>
        <v>0</v>
      </c>
      <c r="AH90" s="55">
        <f t="shared" si="195"/>
        <v>0</v>
      </c>
      <c r="AI90" s="55">
        <f t="shared" si="195"/>
        <v>0</v>
      </c>
      <c r="AJ90" s="55">
        <f t="shared" si="195"/>
        <v>1225964.0547647562</v>
      </c>
      <c r="AL90" s="55">
        <f>SUM(AL82:AL88)</f>
        <v>0</v>
      </c>
      <c r="AM90" s="55">
        <f t="shared" ref="AM90:AS90" si="196">SUM(AM82:AM88)</f>
        <v>247815.32364597096</v>
      </c>
      <c r="AN90" s="55">
        <f t="shared" si="196"/>
        <v>580356.82799999998</v>
      </c>
      <c r="AO90" s="55"/>
      <c r="AP90" s="55">
        <f t="shared" si="196"/>
        <v>0</v>
      </c>
      <c r="AQ90" s="55">
        <f t="shared" si="196"/>
        <v>0</v>
      </c>
      <c r="AR90" s="55">
        <f t="shared" si="196"/>
        <v>0</v>
      </c>
      <c r="AS90" s="55">
        <f t="shared" si="196"/>
        <v>828172.151645971</v>
      </c>
      <c r="AU90" s="55">
        <f>SUM(AU82:AU88)</f>
        <v>0</v>
      </c>
      <c r="AV90" s="55">
        <f t="shared" ref="AV90:BB90" si="197">SUM(AV82:AV88)</f>
        <v>20533.333333333336</v>
      </c>
      <c r="AW90" s="55">
        <f t="shared" si="197"/>
        <v>2182.3200000000002</v>
      </c>
      <c r="AX90" s="55"/>
      <c r="AY90" s="55">
        <f t="shared" si="197"/>
        <v>0</v>
      </c>
      <c r="AZ90" s="55">
        <f t="shared" si="197"/>
        <v>0</v>
      </c>
      <c r="BA90" s="55">
        <f t="shared" si="197"/>
        <v>0</v>
      </c>
      <c r="BB90" s="55">
        <f t="shared" si="197"/>
        <v>22715.653333333335</v>
      </c>
      <c r="BD90" s="55">
        <f>SUM(BD82:BD88)</f>
        <v>0</v>
      </c>
      <c r="BE90" s="55">
        <f t="shared" ref="BE90:BK90" si="198">SUM(BE82:BE88)</f>
        <v>34869.172932330825</v>
      </c>
      <c r="BF90" s="55">
        <f t="shared" si="198"/>
        <v>564294.24</v>
      </c>
      <c r="BG90" s="55"/>
      <c r="BH90" s="55">
        <f t="shared" si="198"/>
        <v>0</v>
      </c>
      <c r="BI90" s="55">
        <f t="shared" si="198"/>
        <v>0</v>
      </c>
      <c r="BJ90" s="55">
        <f t="shared" si="198"/>
        <v>0</v>
      </c>
      <c r="BK90" s="55">
        <f t="shared" si="198"/>
        <v>599163.41293233086</v>
      </c>
      <c r="BM90" s="55">
        <f>SUM(BM82:BM88)</f>
        <v>0</v>
      </c>
      <c r="BN90" s="55">
        <f t="shared" ref="BN90:BT90" si="199">SUM(BN82:BN88)</f>
        <v>0</v>
      </c>
      <c r="BO90" s="55">
        <f t="shared" si="199"/>
        <v>0</v>
      </c>
      <c r="BP90" s="55"/>
      <c r="BQ90" s="55">
        <f t="shared" si="199"/>
        <v>0</v>
      </c>
      <c r="BR90" s="55">
        <f t="shared" si="199"/>
        <v>0</v>
      </c>
      <c r="BS90" s="55">
        <f t="shared" si="199"/>
        <v>0</v>
      </c>
      <c r="BT90" s="55">
        <f t="shared" si="199"/>
        <v>0</v>
      </c>
      <c r="BV90" s="55">
        <f>SUM(BV82:BV88)</f>
        <v>0</v>
      </c>
      <c r="BW90" s="55">
        <f t="shared" ref="BW90:BX90" si="200">SUM(BW82:BW88)</f>
        <v>978064.02074506599</v>
      </c>
      <c r="BX90" s="55">
        <f t="shared" si="200"/>
        <v>2855940.6779999994</v>
      </c>
      <c r="BY90" s="55"/>
      <c r="BZ90" s="55">
        <f t="shared" ref="BZ90:CC90" si="201">SUM(BZ82:BZ88)</f>
        <v>0</v>
      </c>
      <c r="CA90" s="55">
        <f t="shared" si="201"/>
        <v>0</v>
      </c>
      <c r="CB90" s="55">
        <f t="shared" si="201"/>
        <v>0</v>
      </c>
      <c r="CC90" s="55">
        <f t="shared" si="201"/>
        <v>3834004.6987450654</v>
      </c>
    </row>
    <row r="91" spans="1:81" ht="15">
      <c r="A91" s="56" t="s">
        <v>87</v>
      </c>
      <c r="B91" s="49"/>
      <c r="C91" s="49"/>
      <c r="D91" s="49"/>
      <c r="E91" s="49"/>
      <c r="F91" s="49"/>
      <c r="G91" s="49"/>
      <c r="H91" s="49"/>
      <c r="I91" s="50"/>
      <c r="J91" s="7"/>
      <c r="K91" s="49"/>
      <c r="L91" s="49"/>
      <c r="M91" s="49"/>
      <c r="N91" s="49"/>
      <c r="O91" s="49"/>
      <c r="P91" s="49"/>
      <c r="Q91" s="49"/>
      <c r="R91" s="50"/>
      <c r="T91" s="49"/>
      <c r="U91" s="49"/>
      <c r="V91" s="49"/>
      <c r="W91" s="49"/>
      <c r="X91" s="49"/>
      <c r="Y91" s="49"/>
      <c r="Z91" s="49"/>
      <c r="AA91" s="50"/>
      <c r="AC91" s="49"/>
      <c r="AD91" s="49"/>
      <c r="AE91" s="49"/>
      <c r="AF91" s="49"/>
      <c r="AG91" s="49"/>
      <c r="AH91" s="49"/>
      <c r="AI91" s="49"/>
      <c r="AJ91" s="50"/>
      <c r="AL91" s="49"/>
      <c r="AM91" s="49"/>
      <c r="AN91" s="49"/>
      <c r="AO91" s="49"/>
      <c r="AP91" s="49"/>
      <c r="AQ91" s="49"/>
      <c r="AR91" s="49"/>
      <c r="AS91" s="50"/>
      <c r="AU91" s="49"/>
      <c r="AV91" s="49"/>
      <c r="AW91" s="49"/>
      <c r="AX91" s="49"/>
      <c r="AY91" s="49"/>
      <c r="AZ91" s="49"/>
      <c r="BA91" s="49"/>
      <c r="BB91" s="50"/>
      <c r="BD91" s="49"/>
      <c r="BE91" s="49"/>
      <c r="BF91" s="49"/>
      <c r="BG91" s="49"/>
      <c r="BH91" s="49"/>
      <c r="BI91" s="49"/>
      <c r="BJ91" s="49"/>
      <c r="BK91" s="50"/>
      <c r="BM91" s="49"/>
      <c r="BN91" s="49"/>
      <c r="BO91" s="49"/>
      <c r="BP91" s="49"/>
      <c r="BQ91" s="49"/>
      <c r="BR91" s="49"/>
      <c r="BS91" s="49"/>
      <c r="BT91" s="50"/>
      <c r="BV91" s="49"/>
      <c r="BW91" s="49"/>
      <c r="BX91" s="49"/>
      <c r="BY91" s="49"/>
      <c r="BZ91" s="49"/>
      <c r="CA91" s="49"/>
      <c r="CB91" s="49"/>
      <c r="CC91" s="50"/>
    </row>
    <row r="92" spans="1:81">
      <c r="A92" s="29" t="s">
        <v>88</v>
      </c>
      <c r="B92" s="5">
        <v>0</v>
      </c>
      <c r="C92" s="5"/>
      <c r="D92" s="5"/>
      <c r="E92" s="5"/>
      <c r="F92" s="5"/>
      <c r="G92" s="5"/>
      <c r="H92" s="5"/>
      <c r="I92" s="5">
        <f t="shared" si="183"/>
        <v>0</v>
      </c>
      <c r="K92" s="5">
        <v>0</v>
      </c>
      <c r="L92" s="5"/>
      <c r="M92" s="5"/>
      <c r="N92" s="5"/>
      <c r="O92" s="5"/>
      <c r="P92" s="5"/>
      <c r="Q92" s="5"/>
      <c r="R92" s="5">
        <f t="shared" si="184"/>
        <v>0</v>
      </c>
      <c r="T92" s="5">
        <v>0</v>
      </c>
      <c r="U92" s="5"/>
      <c r="V92" s="5"/>
      <c r="W92" s="5"/>
      <c r="X92" s="5"/>
      <c r="Y92" s="5"/>
      <c r="Z92" s="5"/>
      <c r="AA92" s="5">
        <f t="shared" si="185"/>
        <v>0</v>
      </c>
      <c r="AC92" s="5">
        <v>0</v>
      </c>
      <c r="AD92" s="5"/>
      <c r="AE92" s="5"/>
      <c r="AF92" s="5"/>
      <c r="AG92" s="5"/>
      <c r="AH92" s="5"/>
      <c r="AI92" s="5"/>
      <c r="AJ92" s="5">
        <f t="shared" si="186"/>
        <v>0</v>
      </c>
      <c r="AL92" s="5">
        <v>0</v>
      </c>
      <c r="AM92" s="5"/>
      <c r="AN92" s="5"/>
      <c r="AO92" s="5"/>
      <c r="AP92" s="5"/>
      <c r="AQ92" s="5"/>
      <c r="AR92" s="5"/>
      <c r="AS92" s="5">
        <f t="shared" si="187"/>
        <v>0</v>
      </c>
      <c r="AU92" s="5">
        <v>0</v>
      </c>
      <c r="AV92" s="5"/>
      <c r="AW92" s="5"/>
      <c r="AX92" s="5"/>
      <c r="AY92" s="5"/>
      <c r="AZ92" s="5"/>
      <c r="BA92" s="5"/>
      <c r="BB92" s="5">
        <f t="shared" si="188"/>
        <v>0</v>
      </c>
      <c r="BD92" s="5">
        <v>0</v>
      </c>
      <c r="BE92" s="5"/>
      <c r="BF92" s="5"/>
      <c r="BG92" s="5"/>
      <c r="BH92" s="5"/>
      <c r="BI92" s="5"/>
      <c r="BJ92" s="5"/>
      <c r="BK92" s="5">
        <f t="shared" si="189"/>
        <v>0</v>
      </c>
      <c r="BM92" s="5">
        <v>0</v>
      </c>
      <c r="BN92" s="5"/>
      <c r="BO92" s="5"/>
      <c r="BP92" s="5"/>
      <c r="BQ92" s="5"/>
      <c r="BR92" s="5"/>
      <c r="BS92" s="5"/>
      <c r="BT92" s="5">
        <f t="shared" si="190"/>
        <v>0</v>
      </c>
      <c r="BV92" s="5">
        <f t="shared" ref="BV92:CA95" si="202">B92+K92+T92+AC92+AL92+AU92+BD92+BM92</f>
        <v>0</v>
      </c>
      <c r="BW92" s="5">
        <f t="shared" si="202"/>
        <v>0</v>
      </c>
      <c r="BX92" s="5">
        <f t="shared" si="202"/>
        <v>0</v>
      </c>
      <c r="BY92" s="5">
        <f t="shared" si="202"/>
        <v>0</v>
      </c>
      <c r="BZ92" s="5">
        <f t="shared" si="202"/>
        <v>0</v>
      </c>
      <c r="CA92" s="5">
        <f t="shared" si="202"/>
        <v>0</v>
      </c>
      <c r="CB92" s="5"/>
      <c r="CC92" s="5">
        <f t="shared" ref="CC92:CC95" si="203">SUM(BV92:CB92)</f>
        <v>0</v>
      </c>
    </row>
    <row r="93" spans="1:81">
      <c r="A93" s="29" t="s">
        <v>89</v>
      </c>
      <c r="B93" s="11"/>
      <c r="C93" s="11"/>
      <c r="D93" s="11"/>
      <c r="E93" s="11"/>
      <c r="F93" s="11">
        <f t="shared" ref="F93:H93" si="204">F161</f>
        <v>0</v>
      </c>
      <c r="G93" s="11">
        <v>275000</v>
      </c>
      <c r="H93" s="11">
        <f t="shared" si="204"/>
        <v>0</v>
      </c>
      <c r="I93" s="5">
        <f t="shared" si="183"/>
        <v>275000</v>
      </c>
      <c r="K93" s="11"/>
      <c r="L93" s="11"/>
      <c r="M93" s="11"/>
      <c r="N93" s="11"/>
      <c r="O93" s="11">
        <f t="shared" ref="O93:Q93" si="205">O161</f>
        <v>0</v>
      </c>
      <c r="P93" s="11">
        <v>800000</v>
      </c>
      <c r="Q93" s="11">
        <f t="shared" si="205"/>
        <v>0</v>
      </c>
      <c r="R93" s="5">
        <f t="shared" si="184"/>
        <v>800000</v>
      </c>
      <c r="T93" s="11"/>
      <c r="U93" s="11"/>
      <c r="V93" s="11"/>
      <c r="W93" s="11"/>
      <c r="X93" s="11">
        <f t="shared" ref="X93:Z93" si="206">X161</f>
        <v>0</v>
      </c>
      <c r="Y93" s="11">
        <v>800000</v>
      </c>
      <c r="Z93" s="11">
        <f t="shared" si="206"/>
        <v>0</v>
      </c>
      <c r="AA93" s="5">
        <f t="shared" si="185"/>
        <v>800000</v>
      </c>
      <c r="AC93" s="11"/>
      <c r="AD93" s="11"/>
      <c r="AE93" s="11"/>
      <c r="AF93" s="11"/>
      <c r="AG93" s="11">
        <f t="shared" ref="AG93:AI93" si="207">AG161</f>
        <v>0</v>
      </c>
      <c r="AH93" s="11">
        <v>1250000</v>
      </c>
      <c r="AI93" s="11">
        <f t="shared" si="207"/>
        <v>0</v>
      </c>
      <c r="AJ93" s="5">
        <f t="shared" si="186"/>
        <v>1250000</v>
      </c>
      <c r="AL93" s="11"/>
      <c r="AM93" s="11"/>
      <c r="AN93" s="11"/>
      <c r="AO93" s="11"/>
      <c r="AP93" s="11">
        <f t="shared" ref="AP93:AR93" si="208">AP161</f>
        <v>0</v>
      </c>
      <c r="AQ93" s="11">
        <v>2000000</v>
      </c>
      <c r="AR93" s="11">
        <f t="shared" si="208"/>
        <v>0</v>
      </c>
      <c r="AS93" s="5">
        <f t="shared" si="187"/>
        <v>2000000</v>
      </c>
      <c r="AU93" s="11"/>
      <c r="AV93" s="11"/>
      <c r="AW93" s="11"/>
      <c r="AX93" s="11"/>
      <c r="AY93" s="11">
        <f t="shared" ref="AY93:BA93" si="209">AY161</f>
        <v>0</v>
      </c>
      <c r="AZ93" s="11">
        <f t="shared" si="209"/>
        <v>0</v>
      </c>
      <c r="BA93" s="11">
        <f t="shared" si="209"/>
        <v>0</v>
      </c>
      <c r="BB93" s="5">
        <f t="shared" si="188"/>
        <v>0</v>
      </c>
      <c r="BD93" s="11"/>
      <c r="BE93" s="11"/>
      <c r="BF93" s="11"/>
      <c r="BG93" s="11"/>
      <c r="BH93" s="11">
        <v>0</v>
      </c>
      <c r="BI93" s="11">
        <v>50000</v>
      </c>
      <c r="BJ93" s="11">
        <f t="shared" ref="BJ93" si="210">BJ161</f>
        <v>0</v>
      </c>
      <c r="BK93" s="5">
        <f t="shared" si="189"/>
        <v>50000</v>
      </c>
      <c r="BM93" s="11"/>
      <c r="BN93" s="11"/>
      <c r="BO93" s="11"/>
      <c r="BP93" s="11"/>
      <c r="BQ93" s="11">
        <f t="shared" ref="BQ93:BS93" si="211">BQ161</f>
        <v>0</v>
      </c>
      <c r="BR93" s="11">
        <f t="shared" si="211"/>
        <v>0</v>
      </c>
      <c r="BS93" s="11">
        <f t="shared" si="211"/>
        <v>0</v>
      </c>
      <c r="BT93" s="5">
        <f t="shared" si="190"/>
        <v>0</v>
      </c>
      <c r="BV93" s="5">
        <f t="shared" si="202"/>
        <v>0</v>
      </c>
      <c r="BW93" s="5">
        <f t="shared" si="202"/>
        <v>0</v>
      </c>
      <c r="BX93" s="5">
        <f t="shared" si="202"/>
        <v>0</v>
      </c>
      <c r="BY93" s="5">
        <f t="shared" si="202"/>
        <v>0</v>
      </c>
      <c r="BZ93" s="5">
        <f t="shared" si="202"/>
        <v>0</v>
      </c>
      <c r="CA93" s="5">
        <f t="shared" si="202"/>
        <v>5175000</v>
      </c>
      <c r="CB93" s="11">
        <f t="shared" ref="CB93" si="212">CB161</f>
        <v>0</v>
      </c>
      <c r="CC93" s="5">
        <f t="shared" si="203"/>
        <v>5175000</v>
      </c>
    </row>
    <row r="94" spans="1:81">
      <c r="A94" s="29" t="s">
        <v>90</v>
      </c>
      <c r="B94" s="35"/>
      <c r="C94" s="35"/>
      <c r="D94" s="35"/>
      <c r="E94" s="35"/>
      <c r="F94" s="35"/>
      <c r="G94" s="35"/>
      <c r="H94" s="35"/>
      <c r="I94" s="35">
        <f t="shared" si="183"/>
        <v>0</v>
      </c>
      <c r="K94" s="35"/>
      <c r="L94" s="35"/>
      <c r="M94" s="35"/>
      <c r="N94" s="35"/>
      <c r="O94" s="35"/>
      <c r="P94" s="35"/>
      <c r="Q94" s="35"/>
      <c r="R94" s="35">
        <f t="shared" si="184"/>
        <v>0</v>
      </c>
      <c r="T94" s="35"/>
      <c r="U94" s="35"/>
      <c r="V94" s="35"/>
      <c r="W94" s="35"/>
      <c r="X94" s="35"/>
      <c r="Y94" s="35"/>
      <c r="Z94" s="35"/>
      <c r="AA94" s="35">
        <f t="shared" si="185"/>
        <v>0</v>
      </c>
      <c r="AC94" s="97">
        <f>'[2]07'!AC159</f>
        <v>0</v>
      </c>
      <c r="AD94" s="35"/>
      <c r="AE94" s="35"/>
      <c r="AF94" s="35"/>
      <c r="AG94" s="35"/>
      <c r="AH94" s="35"/>
      <c r="AI94" s="35"/>
      <c r="AJ94" s="35">
        <f t="shared" si="186"/>
        <v>0</v>
      </c>
      <c r="AL94" s="67"/>
      <c r="AM94" s="35"/>
      <c r="AN94" s="35"/>
      <c r="AO94" s="35"/>
      <c r="AP94" s="35"/>
      <c r="AQ94" s="35"/>
      <c r="AR94" s="35"/>
      <c r="AS94" s="35">
        <f t="shared" si="187"/>
        <v>0</v>
      </c>
      <c r="AU94" s="35"/>
      <c r="AV94" s="35"/>
      <c r="AW94" s="35"/>
      <c r="AX94" s="35"/>
      <c r="AY94" s="35"/>
      <c r="AZ94" s="35"/>
      <c r="BA94" s="35"/>
      <c r="BB94" s="35">
        <f t="shared" si="188"/>
        <v>0</v>
      </c>
      <c r="BD94" s="35"/>
      <c r="BE94" s="35"/>
      <c r="BF94" s="35"/>
      <c r="BG94" s="35"/>
      <c r="BH94" s="35"/>
      <c r="BI94" s="35"/>
      <c r="BJ94" s="35"/>
      <c r="BK94" s="35">
        <f t="shared" si="189"/>
        <v>0</v>
      </c>
      <c r="BM94" s="35"/>
      <c r="BN94" s="35"/>
      <c r="BO94" s="35"/>
      <c r="BP94" s="35"/>
      <c r="BQ94" s="35"/>
      <c r="BR94" s="35"/>
      <c r="BS94" s="35"/>
      <c r="BT94" s="35">
        <f t="shared" si="190"/>
        <v>0</v>
      </c>
      <c r="BV94" s="5">
        <f t="shared" si="202"/>
        <v>0</v>
      </c>
      <c r="BW94" s="5">
        <f t="shared" si="202"/>
        <v>0</v>
      </c>
      <c r="BX94" s="5">
        <f t="shared" si="202"/>
        <v>0</v>
      </c>
      <c r="BY94" s="5">
        <f t="shared" si="202"/>
        <v>0</v>
      </c>
      <c r="BZ94" s="5">
        <f t="shared" si="202"/>
        <v>0</v>
      </c>
      <c r="CA94" s="5">
        <f t="shared" si="202"/>
        <v>0</v>
      </c>
      <c r="CB94" s="35"/>
      <c r="CC94" s="35">
        <f t="shared" si="203"/>
        <v>0</v>
      </c>
    </row>
    <row r="95" spans="1:81">
      <c r="A95" s="29" t="s">
        <v>91</v>
      </c>
      <c r="B95" s="35">
        <v>60000</v>
      </c>
      <c r="C95" s="35"/>
      <c r="D95" s="35"/>
      <c r="E95" s="35"/>
      <c r="F95" s="35"/>
      <c r="G95" s="35"/>
      <c r="H95" s="35"/>
      <c r="I95" s="35">
        <f t="shared" si="183"/>
        <v>60000</v>
      </c>
      <c r="K95" s="35">
        <v>60000</v>
      </c>
      <c r="L95" s="35"/>
      <c r="M95" s="35"/>
      <c r="N95" s="35"/>
      <c r="O95" s="35"/>
      <c r="P95" s="35"/>
      <c r="Q95" s="35"/>
      <c r="R95" s="35">
        <f t="shared" si="184"/>
        <v>60000</v>
      </c>
      <c r="T95" s="35">
        <v>75000</v>
      </c>
      <c r="U95" s="35"/>
      <c r="V95" s="35"/>
      <c r="W95" s="35"/>
      <c r="X95" s="35"/>
      <c r="Y95" s="35"/>
      <c r="Z95" s="35"/>
      <c r="AA95" s="35">
        <f t="shared" si="185"/>
        <v>75000</v>
      </c>
      <c r="AC95" s="35">
        <v>125000</v>
      </c>
      <c r="AD95" s="35"/>
      <c r="AE95" s="35"/>
      <c r="AF95" s="35"/>
      <c r="AG95" s="35"/>
      <c r="AH95" s="35"/>
      <c r="AI95" s="35"/>
      <c r="AJ95" s="35">
        <f t="shared" si="186"/>
        <v>125000</v>
      </c>
      <c r="AL95" s="35">
        <v>150000</v>
      </c>
      <c r="AM95" s="35"/>
      <c r="AN95" s="35"/>
      <c r="AO95" s="35"/>
      <c r="AP95" s="35"/>
      <c r="AQ95" s="35"/>
      <c r="AR95" s="35"/>
      <c r="AS95" s="35">
        <f t="shared" si="187"/>
        <v>150000</v>
      </c>
      <c r="AU95" s="35">
        <v>0</v>
      </c>
      <c r="AV95" s="35"/>
      <c r="AW95" s="35"/>
      <c r="AX95" s="35"/>
      <c r="AY95" s="35"/>
      <c r="AZ95" s="35"/>
      <c r="BA95" s="35"/>
      <c r="BB95" s="35">
        <f t="shared" si="188"/>
        <v>0</v>
      </c>
      <c r="BD95" s="35"/>
      <c r="BE95" s="35"/>
      <c r="BF95" s="35"/>
      <c r="BG95" s="35"/>
      <c r="BH95" s="35"/>
      <c r="BI95" s="35"/>
      <c r="BJ95" s="35"/>
      <c r="BK95" s="35">
        <f t="shared" si="189"/>
        <v>0</v>
      </c>
      <c r="BM95" s="35">
        <v>0</v>
      </c>
      <c r="BN95" s="35"/>
      <c r="BO95" s="35"/>
      <c r="BP95" s="35"/>
      <c r="BQ95" s="35"/>
      <c r="BR95" s="35"/>
      <c r="BS95" s="35"/>
      <c r="BT95" s="35">
        <f t="shared" si="190"/>
        <v>0</v>
      </c>
      <c r="BV95" s="5">
        <f t="shared" si="202"/>
        <v>470000</v>
      </c>
      <c r="BW95" s="5">
        <f t="shared" si="202"/>
        <v>0</v>
      </c>
      <c r="BX95" s="5">
        <f t="shared" si="202"/>
        <v>0</v>
      </c>
      <c r="BY95" s="5">
        <f t="shared" si="202"/>
        <v>0</v>
      </c>
      <c r="BZ95" s="5">
        <f t="shared" si="202"/>
        <v>0</v>
      </c>
      <c r="CA95" s="5">
        <f t="shared" si="202"/>
        <v>0</v>
      </c>
      <c r="CB95" s="35"/>
      <c r="CC95" s="35">
        <f t="shared" si="203"/>
        <v>470000</v>
      </c>
    </row>
    <row r="96" spans="1:81" ht="15">
      <c r="A96" s="54" t="s">
        <v>92</v>
      </c>
      <c r="B96" s="55">
        <f>SUM(B92:B95)</f>
        <v>60000</v>
      </c>
      <c r="C96" s="55">
        <f t="shared" ref="C96:H96" si="213">SUM(C92:C95)</f>
        <v>0</v>
      </c>
      <c r="D96" s="55">
        <f t="shared" si="213"/>
        <v>0</v>
      </c>
      <c r="E96" s="55"/>
      <c r="F96" s="55">
        <f t="shared" si="213"/>
        <v>0</v>
      </c>
      <c r="G96" s="55">
        <f t="shared" si="213"/>
        <v>275000</v>
      </c>
      <c r="H96" s="55">
        <f t="shared" si="213"/>
        <v>0</v>
      </c>
      <c r="I96" s="55">
        <f>SUM(I92:I95)</f>
        <v>335000</v>
      </c>
      <c r="J96" s="7"/>
      <c r="K96" s="55">
        <f>SUM(K92:K95)</f>
        <v>60000</v>
      </c>
      <c r="L96" s="55">
        <f t="shared" ref="L96:Q96" si="214">SUM(L92:L95)</f>
        <v>0</v>
      </c>
      <c r="M96" s="55">
        <f t="shared" si="214"/>
        <v>0</v>
      </c>
      <c r="N96" s="55"/>
      <c r="O96" s="55">
        <f t="shared" si="214"/>
        <v>0</v>
      </c>
      <c r="P96" s="55">
        <f t="shared" si="214"/>
        <v>800000</v>
      </c>
      <c r="Q96" s="55">
        <f t="shared" si="214"/>
        <v>0</v>
      </c>
      <c r="R96" s="55">
        <f>SUM(R92:R95)</f>
        <v>860000</v>
      </c>
      <c r="T96" s="55">
        <f>SUM(T92:T95)</f>
        <v>75000</v>
      </c>
      <c r="U96" s="55">
        <f t="shared" ref="U96:Z96" si="215">SUM(U92:U95)</f>
        <v>0</v>
      </c>
      <c r="V96" s="55">
        <f t="shared" si="215"/>
        <v>0</v>
      </c>
      <c r="W96" s="55"/>
      <c r="X96" s="55">
        <f t="shared" si="215"/>
        <v>0</v>
      </c>
      <c r="Y96" s="55">
        <f t="shared" si="215"/>
        <v>800000</v>
      </c>
      <c r="Z96" s="55">
        <f t="shared" si="215"/>
        <v>0</v>
      </c>
      <c r="AA96" s="55">
        <f>SUM(AA92:AA95)</f>
        <v>875000</v>
      </c>
      <c r="AC96" s="55">
        <f>SUM(AC92:AC95)</f>
        <v>125000</v>
      </c>
      <c r="AD96" s="55">
        <f t="shared" ref="AD96:AI96" si="216">SUM(AD92:AD95)</f>
        <v>0</v>
      </c>
      <c r="AE96" s="55">
        <f t="shared" si="216"/>
        <v>0</v>
      </c>
      <c r="AF96" s="55">
        <f t="shared" si="216"/>
        <v>0</v>
      </c>
      <c r="AG96" s="55">
        <f t="shared" si="216"/>
        <v>0</v>
      </c>
      <c r="AH96" s="55">
        <f t="shared" si="216"/>
        <v>1250000</v>
      </c>
      <c r="AI96" s="55">
        <f t="shared" si="216"/>
        <v>0</v>
      </c>
      <c r="AJ96" s="55">
        <f>SUM(AJ92:AJ95)</f>
        <v>1375000</v>
      </c>
      <c r="AL96" s="55">
        <f>SUM(AL92:AL95)</f>
        <v>150000</v>
      </c>
      <c r="AM96" s="55">
        <f t="shared" ref="AM96:AR96" si="217">SUM(AM92:AM95)</f>
        <v>0</v>
      </c>
      <c r="AN96" s="55">
        <f t="shared" si="217"/>
        <v>0</v>
      </c>
      <c r="AO96" s="55"/>
      <c r="AP96" s="55">
        <f t="shared" si="217"/>
        <v>0</v>
      </c>
      <c r="AQ96" s="55">
        <f t="shared" si="217"/>
        <v>2000000</v>
      </c>
      <c r="AR96" s="55">
        <f t="shared" si="217"/>
        <v>0</v>
      </c>
      <c r="AS96" s="55">
        <f>SUM(AS92:AS95)</f>
        <v>2150000</v>
      </c>
      <c r="AU96" s="55">
        <f>SUM(AU92:AU95)</f>
        <v>0</v>
      </c>
      <c r="AV96" s="55">
        <f t="shared" ref="AV96:BA96" si="218">SUM(AV92:AV95)</f>
        <v>0</v>
      </c>
      <c r="AW96" s="55">
        <f t="shared" si="218"/>
        <v>0</v>
      </c>
      <c r="AX96" s="55"/>
      <c r="AY96" s="55">
        <f t="shared" si="218"/>
        <v>0</v>
      </c>
      <c r="AZ96" s="55">
        <f t="shared" si="218"/>
        <v>0</v>
      </c>
      <c r="BA96" s="55">
        <f t="shared" si="218"/>
        <v>0</v>
      </c>
      <c r="BB96" s="55">
        <f>SUM(BB92:BB95)</f>
        <v>0</v>
      </c>
      <c r="BD96" s="55">
        <f>SUM(BD92:BD95)</f>
        <v>0</v>
      </c>
      <c r="BE96" s="55">
        <f t="shared" ref="BE96:BJ96" si="219">SUM(BE92:BE95)</f>
        <v>0</v>
      </c>
      <c r="BF96" s="55">
        <f t="shared" si="219"/>
        <v>0</v>
      </c>
      <c r="BG96" s="55"/>
      <c r="BH96" s="55">
        <f t="shared" si="219"/>
        <v>0</v>
      </c>
      <c r="BI96" s="55">
        <f t="shared" si="219"/>
        <v>50000</v>
      </c>
      <c r="BJ96" s="55">
        <f t="shared" si="219"/>
        <v>0</v>
      </c>
      <c r="BK96" s="55">
        <f>SUM(BK92:BK95)</f>
        <v>50000</v>
      </c>
      <c r="BM96" s="55">
        <f>SUM(BM92:BM95)</f>
        <v>0</v>
      </c>
      <c r="BN96" s="55">
        <f t="shared" ref="BN96:BS96" si="220">SUM(BN92:BN95)</f>
        <v>0</v>
      </c>
      <c r="BO96" s="55">
        <f t="shared" si="220"/>
        <v>0</v>
      </c>
      <c r="BP96" s="55"/>
      <c r="BQ96" s="55">
        <f t="shared" si="220"/>
        <v>0</v>
      </c>
      <c r="BR96" s="55">
        <f t="shared" si="220"/>
        <v>0</v>
      </c>
      <c r="BS96" s="55">
        <f t="shared" si="220"/>
        <v>0</v>
      </c>
      <c r="BT96" s="55">
        <f>SUM(BT92:BT95)</f>
        <v>0</v>
      </c>
      <c r="BV96" s="55">
        <f>SUM(BV92:BV95)</f>
        <v>470000</v>
      </c>
      <c r="BW96" s="55">
        <f t="shared" ref="BW96:BX96" si="221">SUM(BW92:BW95)</f>
        <v>0</v>
      </c>
      <c r="BX96" s="55">
        <f t="shared" si="221"/>
        <v>0</v>
      </c>
      <c r="BY96" s="55"/>
      <c r="BZ96" s="55">
        <f t="shared" ref="BZ96:CB96" si="222">SUM(BZ92:BZ95)</f>
        <v>0</v>
      </c>
      <c r="CA96" s="55">
        <f t="shared" si="222"/>
        <v>5175000</v>
      </c>
      <c r="CB96" s="55">
        <f t="shared" si="222"/>
        <v>0</v>
      </c>
      <c r="CC96" s="55">
        <f>SUM(CC92:CC95)</f>
        <v>5645000</v>
      </c>
    </row>
    <row r="97" spans="1:81" ht="15">
      <c r="A97" s="58" t="s">
        <v>93</v>
      </c>
      <c r="B97" s="59">
        <f>B80+B90+B96</f>
        <v>9436378.1767955814</v>
      </c>
      <c r="C97" s="59">
        <f t="shared" ref="C97:H97" si="223">C80+C90+C96</f>
        <v>767083.45303867408</v>
      </c>
      <c r="D97" s="59">
        <f t="shared" si="223"/>
        <v>369669.42</v>
      </c>
      <c r="E97" s="59"/>
      <c r="F97" s="59">
        <f t="shared" si="223"/>
        <v>0</v>
      </c>
      <c r="G97" s="59">
        <f t="shared" si="223"/>
        <v>275000</v>
      </c>
      <c r="H97" s="59">
        <f t="shared" si="223"/>
        <v>0</v>
      </c>
      <c r="I97" s="59">
        <f>I80+I90+I96</f>
        <v>10848131.049834257</v>
      </c>
      <c r="J97" s="7"/>
      <c r="K97" s="59">
        <f>K80+K90+K96</f>
        <v>10395687.005870841</v>
      </c>
      <c r="L97" s="59">
        <f t="shared" ref="L97:Q97" si="224">L80+L90+L96</f>
        <v>489609.99999999994</v>
      </c>
      <c r="M97" s="59">
        <f t="shared" si="224"/>
        <v>281519.27999999997</v>
      </c>
      <c r="N97" s="59"/>
      <c r="O97" s="59">
        <f t="shared" si="224"/>
        <v>0</v>
      </c>
      <c r="P97" s="59">
        <f t="shared" si="224"/>
        <v>800000</v>
      </c>
      <c r="Q97" s="59">
        <f t="shared" si="224"/>
        <v>0</v>
      </c>
      <c r="R97" s="59">
        <f>R80+R90+R96</f>
        <v>11966816.285870841</v>
      </c>
      <c r="T97" s="59">
        <f>T80+T90+T96</f>
        <v>12544182.18357083</v>
      </c>
      <c r="U97" s="59">
        <f t="shared" ref="U97:Z97" si="225">U80+U90+U96</f>
        <v>722448.55490360432</v>
      </c>
      <c r="V97" s="59">
        <f t="shared" si="225"/>
        <v>164960.01</v>
      </c>
      <c r="W97" s="59"/>
      <c r="X97" s="59">
        <f t="shared" si="225"/>
        <v>0</v>
      </c>
      <c r="Y97" s="59">
        <f t="shared" si="225"/>
        <v>800000</v>
      </c>
      <c r="Z97" s="59">
        <f t="shared" si="225"/>
        <v>0</v>
      </c>
      <c r="AA97" s="59">
        <f>AA80+AA90+AA96</f>
        <v>14231590.748474434</v>
      </c>
      <c r="AC97" s="59">
        <f>AC80+AC90+AC96</f>
        <v>25976212.177929856</v>
      </c>
      <c r="AD97" s="59">
        <f t="shared" ref="AD97:AI97" si="226">AD80+AD90+AD96</f>
        <v>1933598.0239520955</v>
      </c>
      <c r="AE97" s="59">
        <f t="shared" si="226"/>
        <v>892958.58000000007</v>
      </c>
      <c r="AF97" s="59">
        <f t="shared" si="226"/>
        <v>0</v>
      </c>
      <c r="AG97" s="59">
        <f t="shared" si="226"/>
        <v>0</v>
      </c>
      <c r="AH97" s="59">
        <f t="shared" si="226"/>
        <v>1250000</v>
      </c>
      <c r="AI97" s="59">
        <f t="shared" si="226"/>
        <v>0</v>
      </c>
      <c r="AJ97" s="59">
        <f>AJ80+AJ90+AJ96</f>
        <v>30052768.781881951</v>
      </c>
      <c r="AL97" s="59">
        <f>AL80+AL90+AL96</f>
        <v>24516121.715543814</v>
      </c>
      <c r="AM97" s="59">
        <f t="shared" ref="AM97:AR97" si="227">AM80+AM90+AM96</f>
        <v>1430345.6235138706</v>
      </c>
      <c r="AN97" s="59">
        <f t="shared" si="227"/>
        <v>580356.82799999998</v>
      </c>
      <c r="AO97" s="59"/>
      <c r="AP97" s="59">
        <f t="shared" si="227"/>
        <v>0</v>
      </c>
      <c r="AQ97" s="59">
        <f t="shared" si="227"/>
        <v>2000000</v>
      </c>
      <c r="AR97" s="59">
        <f t="shared" si="227"/>
        <v>0</v>
      </c>
      <c r="AS97" s="59">
        <f>AS80+AS90+AS96</f>
        <v>28526824.167057682</v>
      </c>
      <c r="AU97" s="59">
        <f>AU80+AU90+AU96</f>
        <v>1511858.888888889</v>
      </c>
      <c r="AV97" s="59">
        <f t="shared" ref="AV97:BA97" si="228">AV80+AV90+AV96</f>
        <v>106937.66666666669</v>
      </c>
      <c r="AW97" s="59">
        <f t="shared" si="228"/>
        <v>2182.3200000000002</v>
      </c>
      <c r="AX97" s="59"/>
      <c r="AY97" s="59">
        <f t="shared" si="228"/>
        <v>0</v>
      </c>
      <c r="AZ97" s="59">
        <f t="shared" si="228"/>
        <v>0</v>
      </c>
      <c r="BA97" s="59">
        <f t="shared" si="228"/>
        <v>0</v>
      </c>
      <c r="BB97" s="59">
        <f>BB80+BB90+BB96</f>
        <v>1620978.8755555556</v>
      </c>
      <c r="BD97" s="59">
        <f>BD80+BD90+BD96</f>
        <v>5174661.5488721803</v>
      </c>
      <c r="BE97" s="59">
        <f t="shared" ref="BE97:BJ97" si="229">BE80+BE90+BE96</f>
        <v>155326.31578947368</v>
      </c>
      <c r="BF97" s="59">
        <f t="shared" si="229"/>
        <v>564294.24</v>
      </c>
      <c r="BG97" s="59"/>
      <c r="BH97" s="59">
        <f t="shared" si="229"/>
        <v>0</v>
      </c>
      <c r="BI97" s="59">
        <f t="shared" si="229"/>
        <v>50000</v>
      </c>
      <c r="BJ97" s="59">
        <f t="shared" si="229"/>
        <v>0</v>
      </c>
      <c r="BK97" s="59">
        <f>BK80+BK90+BK96</f>
        <v>5944282.1046616537</v>
      </c>
      <c r="BM97" s="59">
        <f>BM80+BM90+BM96</f>
        <v>0</v>
      </c>
      <c r="BN97" s="59">
        <f t="shared" ref="BN97:BS97" si="230">BN80+BN90+BN96</f>
        <v>0</v>
      </c>
      <c r="BO97" s="59">
        <f t="shared" si="230"/>
        <v>0</v>
      </c>
      <c r="BP97" s="59"/>
      <c r="BQ97" s="59">
        <f t="shared" si="230"/>
        <v>0</v>
      </c>
      <c r="BR97" s="59">
        <f t="shared" si="230"/>
        <v>0</v>
      </c>
      <c r="BS97" s="59">
        <f t="shared" si="230"/>
        <v>0</v>
      </c>
      <c r="BT97" s="59">
        <f>BT80+BT90+BT96</f>
        <v>0</v>
      </c>
      <c r="BV97" s="59">
        <f>BV80+BV90+BV96</f>
        <v>89555101.697471991</v>
      </c>
      <c r="BW97" s="59">
        <f t="shared" ref="BW97:BX97" si="231">BW80+BW90+BW96</f>
        <v>5605349.6378643848</v>
      </c>
      <c r="BX97" s="59">
        <f t="shared" si="231"/>
        <v>2855940.6779999994</v>
      </c>
      <c r="BY97" s="59"/>
      <c r="BZ97" s="59">
        <f t="shared" ref="BZ97:CB97" si="232">BZ80+BZ90+BZ96</f>
        <v>0</v>
      </c>
      <c r="CA97" s="59">
        <f t="shared" si="232"/>
        <v>5175000</v>
      </c>
      <c r="CB97" s="59">
        <f t="shared" si="232"/>
        <v>0</v>
      </c>
      <c r="CC97" s="59">
        <f>CC80+CC90+CC96</f>
        <v>103191392.01333638</v>
      </c>
    </row>
    <row r="98" spans="1:81" ht="15">
      <c r="A98" s="56" t="s">
        <v>94</v>
      </c>
      <c r="B98" s="49"/>
      <c r="C98" s="49"/>
      <c r="D98" s="49"/>
      <c r="E98" s="49"/>
      <c r="F98" s="49"/>
      <c r="G98" s="49"/>
      <c r="H98" s="49"/>
      <c r="I98" s="50"/>
      <c r="J98" s="7"/>
      <c r="K98" s="49"/>
      <c r="L98" s="49"/>
      <c r="M98" s="49"/>
      <c r="N98" s="49"/>
      <c r="O98" s="49"/>
      <c r="P98" s="49"/>
      <c r="Q98" s="49"/>
      <c r="R98" s="50"/>
      <c r="T98" s="49"/>
      <c r="U98" s="49"/>
      <c r="V98" s="49"/>
      <c r="W98" s="49"/>
      <c r="X98" s="49"/>
      <c r="Y98" s="49"/>
      <c r="Z98" s="49"/>
      <c r="AA98" s="50"/>
      <c r="AC98" s="49"/>
      <c r="AD98" s="49"/>
      <c r="AE98" s="49"/>
      <c r="AF98" s="49"/>
      <c r="AG98" s="49"/>
      <c r="AH98" s="49"/>
      <c r="AI98" s="49"/>
      <c r="AJ98" s="50"/>
      <c r="AL98" s="49"/>
      <c r="AM98" s="49"/>
      <c r="AN98" s="49"/>
      <c r="AO98" s="49"/>
      <c r="AP98" s="49"/>
      <c r="AQ98" s="49"/>
      <c r="AR98" s="49"/>
      <c r="AS98" s="50"/>
      <c r="AU98" s="49"/>
      <c r="AV98" s="49"/>
      <c r="AW98" s="49"/>
      <c r="AX98" s="49"/>
      <c r="AY98" s="49"/>
      <c r="AZ98" s="49"/>
      <c r="BA98" s="49"/>
      <c r="BB98" s="50"/>
      <c r="BD98" s="49"/>
      <c r="BE98" s="49"/>
      <c r="BF98" s="49"/>
      <c r="BG98" s="49"/>
      <c r="BH98" s="49"/>
      <c r="BI98" s="49"/>
      <c r="BJ98" s="49"/>
      <c r="BK98" s="50"/>
      <c r="BM98" s="49"/>
      <c r="BN98" s="49"/>
      <c r="BO98" s="49"/>
      <c r="BP98" s="49"/>
      <c r="BQ98" s="49"/>
      <c r="BR98" s="49"/>
      <c r="BS98" s="49"/>
      <c r="BT98" s="50"/>
      <c r="BV98" s="49"/>
      <c r="BW98" s="49"/>
      <c r="BX98" s="49"/>
      <c r="BY98" s="49"/>
      <c r="BZ98" s="49"/>
      <c r="CA98" s="49"/>
      <c r="CB98" s="49"/>
      <c r="CC98" s="50"/>
    </row>
    <row r="99" spans="1:81">
      <c r="A99" s="29" t="s">
        <v>95</v>
      </c>
      <c r="B99" s="5">
        <v>0</v>
      </c>
      <c r="C99" s="5"/>
      <c r="D99" s="5"/>
      <c r="E99" s="5"/>
      <c r="F99" s="5"/>
      <c r="G99" s="5"/>
      <c r="H99" s="5"/>
      <c r="I99" s="5">
        <f>SUM(B99:H99)</f>
        <v>0</v>
      </c>
      <c r="J99" s="7"/>
      <c r="K99" s="5">
        <v>0</v>
      </c>
      <c r="L99" s="5"/>
      <c r="M99" s="5"/>
      <c r="N99" s="5"/>
      <c r="O99" s="5"/>
      <c r="P99" s="5"/>
      <c r="Q99" s="5"/>
      <c r="R99" s="5">
        <f>SUM(K99:Q99)</f>
        <v>0</v>
      </c>
      <c r="T99" s="5">
        <v>0</v>
      </c>
      <c r="U99" s="5"/>
      <c r="V99" s="5"/>
      <c r="W99" s="5"/>
      <c r="X99" s="5"/>
      <c r="Y99" s="5"/>
      <c r="Z99" s="5"/>
      <c r="AA99" s="5">
        <f>SUM(T99:Z99)</f>
        <v>0</v>
      </c>
      <c r="AC99" s="5">
        <v>0</v>
      </c>
      <c r="AD99" s="5"/>
      <c r="AE99" s="5"/>
      <c r="AF99" s="5"/>
      <c r="AG99" s="5"/>
      <c r="AH99" s="5"/>
      <c r="AI99" s="5"/>
      <c r="AJ99" s="5">
        <f>SUM(AC99:AI99)</f>
        <v>0</v>
      </c>
      <c r="AL99" s="5">
        <v>0</v>
      </c>
      <c r="AM99" s="5"/>
      <c r="AN99" s="5"/>
      <c r="AO99" s="5"/>
      <c r="AP99" s="5"/>
      <c r="AQ99" s="5"/>
      <c r="AR99" s="5"/>
      <c r="AS99" s="5">
        <f>SUM(AL99:AR99)</f>
        <v>0</v>
      </c>
      <c r="AU99" s="5">
        <v>0</v>
      </c>
      <c r="AV99" s="5"/>
      <c r="AW99" s="5"/>
      <c r="AX99" s="5"/>
      <c r="AY99" s="5"/>
      <c r="AZ99" s="5"/>
      <c r="BA99" s="5"/>
      <c r="BB99" s="5">
        <f>SUM(AU99:BA99)</f>
        <v>0</v>
      </c>
      <c r="BD99" s="5">
        <v>0</v>
      </c>
      <c r="BE99" s="5"/>
      <c r="BF99" s="5"/>
      <c r="BG99" s="5"/>
      <c r="BH99" s="5"/>
      <c r="BI99" s="5"/>
      <c r="BJ99" s="5"/>
      <c r="BK99" s="5">
        <f>SUM(BD99:BJ99)</f>
        <v>0</v>
      </c>
      <c r="BM99" s="5">
        <v>0</v>
      </c>
      <c r="BN99" s="5"/>
      <c r="BO99" s="5"/>
      <c r="BP99" s="5"/>
      <c r="BQ99" s="5"/>
      <c r="BR99" s="5"/>
      <c r="BS99" s="5"/>
      <c r="BT99" s="5">
        <f>SUM(BM99:BS99)</f>
        <v>0</v>
      </c>
      <c r="BV99" s="5">
        <f t="shared" ref="BV99:CA102" si="233">B99+K99+T99+AC99+AL99+AU99+BD99+BM99</f>
        <v>0</v>
      </c>
      <c r="BW99" s="5">
        <f t="shared" si="233"/>
        <v>0</v>
      </c>
      <c r="BX99" s="5">
        <f t="shared" si="233"/>
        <v>0</v>
      </c>
      <c r="BY99" s="5">
        <f t="shared" si="233"/>
        <v>0</v>
      </c>
      <c r="BZ99" s="5">
        <f t="shared" si="233"/>
        <v>0</v>
      </c>
      <c r="CA99" s="5">
        <f t="shared" si="233"/>
        <v>0</v>
      </c>
      <c r="CB99" s="5"/>
      <c r="CC99" s="5">
        <f>SUM(BV99:CB99)</f>
        <v>0</v>
      </c>
    </row>
    <row r="100" spans="1:81">
      <c r="A100" s="29" t="s">
        <v>96</v>
      </c>
      <c r="B100" s="11">
        <v>0</v>
      </c>
      <c r="C100" s="11">
        <v>0</v>
      </c>
      <c r="D100" s="11">
        <v>0</v>
      </c>
      <c r="E100" s="11"/>
      <c r="F100" s="11">
        <f t="shared" ref="F100:H100" si="234">F168</f>
        <v>0</v>
      </c>
      <c r="G100" s="11">
        <f t="shared" si="234"/>
        <v>0</v>
      </c>
      <c r="H100" s="11">
        <f t="shared" si="234"/>
        <v>0</v>
      </c>
      <c r="I100" s="5">
        <f t="shared" ref="I100:I102" si="235">SUM(B100:H100)</f>
        <v>0</v>
      </c>
      <c r="J100" s="7"/>
      <c r="K100" s="11">
        <v>0</v>
      </c>
      <c r="L100" s="11">
        <v>0</v>
      </c>
      <c r="M100" s="11">
        <v>0</v>
      </c>
      <c r="N100" s="11"/>
      <c r="O100" s="11">
        <f t="shared" ref="O100:Q100" si="236">O168</f>
        <v>0</v>
      </c>
      <c r="P100" s="11">
        <f t="shared" si="236"/>
        <v>0</v>
      </c>
      <c r="Q100" s="11">
        <f t="shared" si="236"/>
        <v>0</v>
      </c>
      <c r="R100" s="5">
        <f t="shared" ref="R100:R102" si="237">SUM(K100:Q100)</f>
        <v>0</v>
      </c>
      <c r="T100" s="11">
        <v>0</v>
      </c>
      <c r="U100" s="11">
        <v>0</v>
      </c>
      <c r="V100" s="11">
        <v>0</v>
      </c>
      <c r="W100" s="11"/>
      <c r="X100" s="11">
        <f t="shared" ref="X100:Z100" si="238">X168</f>
        <v>0</v>
      </c>
      <c r="Y100" s="11">
        <f t="shared" si="238"/>
        <v>0</v>
      </c>
      <c r="Z100" s="11">
        <f t="shared" si="238"/>
        <v>0</v>
      </c>
      <c r="AA100" s="5">
        <f t="shared" ref="AA100:AA102" si="239">SUM(T100:Z100)</f>
        <v>0</v>
      </c>
      <c r="AC100" s="11">
        <v>0</v>
      </c>
      <c r="AD100" s="11">
        <v>0</v>
      </c>
      <c r="AE100" s="11">
        <v>0</v>
      </c>
      <c r="AF100" s="11"/>
      <c r="AG100" s="11">
        <f t="shared" ref="AG100:AI100" si="240">AG168</f>
        <v>0</v>
      </c>
      <c r="AH100" s="11">
        <f t="shared" si="240"/>
        <v>0</v>
      </c>
      <c r="AI100" s="11">
        <f t="shared" si="240"/>
        <v>0</v>
      </c>
      <c r="AJ100" s="5">
        <f t="shared" ref="AJ100:AJ102" si="241">SUM(AC100:AI100)</f>
        <v>0</v>
      </c>
      <c r="AL100" s="11">
        <v>0</v>
      </c>
      <c r="AM100" s="11">
        <v>0</v>
      </c>
      <c r="AN100" s="11">
        <v>0</v>
      </c>
      <c r="AO100" s="11"/>
      <c r="AP100" s="11">
        <f t="shared" ref="AP100:AR100" si="242">AP168</f>
        <v>0</v>
      </c>
      <c r="AQ100" s="11">
        <f t="shared" si="242"/>
        <v>0</v>
      </c>
      <c r="AR100" s="11">
        <f t="shared" si="242"/>
        <v>0</v>
      </c>
      <c r="AS100" s="5">
        <f t="shared" ref="AS100:AS102" si="243">SUM(AL100:AR100)</f>
        <v>0</v>
      </c>
      <c r="AU100" s="11">
        <v>0</v>
      </c>
      <c r="AV100" s="11">
        <v>0</v>
      </c>
      <c r="AW100" s="11">
        <v>0</v>
      </c>
      <c r="AX100" s="11"/>
      <c r="AY100" s="11">
        <f t="shared" ref="AY100:BA100" si="244">AY168</f>
        <v>0</v>
      </c>
      <c r="AZ100" s="11">
        <f t="shared" si="244"/>
        <v>0</v>
      </c>
      <c r="BA100" s="11">
        <f t="shared" si="244"/>
        <v>0</v>
      </c>
      <c r="BB100" s="5">
        <f t="shared" ref="BB100:BB102" si="245">SUM(AU100:BA100)</f>
        <v>0</v>
      </c>
      <c r="BD100" s="11">
        <v>0</v>
      </c>
      <c r="BE100" s="11">
        <v>0</v>
      </c>
      <c r="BF100" s="11">
        <v>0</v>
      </c>
      <c r="BG100" s="11"/>
      <c r="BH100" s="11">
        <f t="shared" ref="BH100:BJ100" si="246">BH168</f>
        <v>0</v>
      </c>
      <c r="BI100" s="11">
        <f t="shared" si="246"/>
        <v>0</v>
      </c>
      <c r="BJ100" s="11">
        <f t="shared" si="246"/>
        <v>0</v>
      </c>
      <c r="BK100" s="5">
        <f t="shared" ref="BK100:BK102" si="247">SUM(BD100:BJ100)</f>
        <v>0</v>
      </c>
      <c r="BM100" s="11">
        <v>0</v>
      </c>
      <c r="BN100" s="11">
        <v>0</v>
      </c>
      <c r="BO100" s="11">
        <v>0</v>
      </c>
      <c r="BP100" s="11"/>
      <c r="BQ100" s="11">
        <f t="shared" ref="BQ100:BS100" si="248">BQ168</f>
        <v>0</v>
      </c>
      <c r="BR100" s="11">
        <f t="shared" si="248"/>
        <v>0</v>
      </c>
      <c r="BS100" s="11">
        <f t="shared" si="248"/>
        <v>0</v>
      </c>
      <c r="BT100" s="5">
        <f t="shared" ref="BT100:BT102" si="249">SUM(BM100:BS100)</f>
        <v>0</v>
      </c>
      <c r="BV100" s="5">
        <f t="shared" si="233"/>
        <v>0</v>
      </c>
      <c r="BW100" s="5">
        <f t="shared" si="233"/>
        <v>0</v>
      </c>
      <c r="BX100" s="5">
        <f t="shared" si="233"/>
        <v>0</v>
      </c>
      <c r="BY100" s="5">
        <f t="shared" si="233"/>
        <v>0</v>
      </c>
      <c r="BZ100" s="5">
        <f t="shared" si="233"/>
        <v>0</v>
      </c>
      <c r="CA100" s="5">
        <f t="shared" si="233"/>
        <v>0</v>
      </c>
      <c r="CB100" s="11">
        <f t="shared" ref="CB100" si="250">CB168</f>
        <v>0</v>
      </c>
      <c r="CC100" s="5">
        <f t="shared" ref="CC100:CC102" si="251">SUM(BV100:CB100)</f>
        <v>0</v>
      </c>
    </row>
    <row r="101" spans="1:81">
      <c r="A101" s="29" t="s">
        <v>264</v>
      </c>
      <c r="B101" s="35"/>
      <c r="C101" s="35"/>
      <c r="D101" s="35"/>
      <c r="E101" s="35"/>
      <c r="F101" s="35"/>
      <c r="G101" s="35"/>
      <c r="H101" s="35"/>
      <c r="I101" s="5">
        <f t="shared" si="235"/>
        <v>0</v>
      </c>
      <c r="J101" s="7"/>
      <c r="K101" s="35"/>
      <c r="L101" s="35"/>
      <c r="M101" s="35"/>
      <c r="N101" s="35"/>
      <c r="O101" s="35"/>
      <c r="P101" s="35"/>
      <c r="Q101" s="35"/>
      <c r="R101" s="5">
        <f t="shared" si="237"/>
        <v>0</v>
      </c>
      <c r="T101" s="35"/>
      <c r="U101" s="35"/>
      <c r="V101" s="35"/>
      <c r="W101" s="35"/>
      <c r="X101" s="35"/>
      <c r="Y101" s="35"/>
      <c r="Z101" s="35"/>
      <c r="AA101" s="5">
        <f t="shared" si="239"/>
        <v>0</v>
      </c>
      <c r="AC101" s="35"/>
      <c r="AD101" s="35"/>
      <c r="AE101" s="35"/>
      <c r="AF101" s="35">
        <v>0</v>
      </c>
      <c r="AG101" s="35"/>
      <c r="AH101" s="35"/>
      <c r="AI101" s="35"/>
      <c r="AJ101" s="5">
        <f t="shared" si="241"/>
        <v>0</v>
      </c>
      <c r="AL101" s="35"/>
      <c r="AM101" s="35"/>
      <c r="AN101" s="35"/>
      <c r="AO101" s="35">
        <v>0</v>
      </c>
      <c r="AP101" s="35"/>
      <c r="AQ101" s="35"/>
      <c r="AR101" s="35"/>
      <c r="AS101" s="5">
        <f t="shared" si="243"/>
        <v>0</v>
      </c>
      <c r="AU101" s="35"/>
      <c r="AV101" s="35"/>
      <c r="AW101" s="35"/>
      <c r="AX101" s="35"/>
      <c r="AY101" s="35"/>
      <c r="AZ101" s="35"/>
      <c r="BA101" s="35"/>
      <c r="BB101" s="5">
        <f t="shared" si="245"/>
        <v>0</v>
      </c>
      <c r="BD101" s="35"/>
      <c r="BE101" s="35"/>
      <c r="BF101" s="35"/>
      <c r="BG101" s="35"/>
      <c r="BH101" s="35"/>
      <c r="BI101" s="35"/>
      <c r="BJ101" s="35"/>
      <c r="BK101" s="5">
        <f t="shared" si="247"/>
        <v>0</v>
      </c>
      <c r="BM101" s="35"/>
      <c r="BN101" s="35"/>
      <c r="BO101" s="35"/>
      <c r="BP101" s="35"/>
      <c r="BQ101" s="35"/>
      <c r="BR101" s="35"/>
      <c r="BS101" s="35"/>
      <c r="BT101" s="5">
        <f t="shared" si="249"/>
        <v>0</v>
      </c>
      <c r="BV101" s="5">
        <f t="shared" si="233"/>
        <v>0</v>
      </c>
      <c r="BW101" s="5">
        <f t="shared" si="233"/>
        <v>0</v>
      </c>
      <c r="BX101" s="5">
        <f t="shared" si="233"/>
        <v>0</v>
      </c>
      <c r="BY101" s="5">
        <f t="shared" si="233"/>
        <v>0</v>
      </c>
      <c r="BZ101" s="5">
        <f t="shared" si="233"/>
        <v>0</v>
      </c>
      <c r="CA101" s="5">
        <f t="shared" si="233"/>
        <v>0</v>
      </c>
      <c r="CB101" s="35"/>
      <c r="CC101" s="5">
        <f t="shared" si="251"/>
        <v>0</v>
      </c>
    </row>
    <row r="102" spans="1:81">
      <c r="A102" s="29"/>
      <c r="B102" s="35"/>
      <c r="C102" s="35"/>
      <c r="D102" s="35"/>
      <c r="E102" s="35"/>
      <c r="F102" s="35"/>
      <c r="G102" s="35"/>
      <c r="H102" s="35"/>
      <c r="I102" s="5">
        <f t="shared" si="235"/>
        <v>0</v>
      </c>
      <c r="J102" s="7"/>
      <c r="K102" s="35"/>
      <c r="L102" s="35"/>
      <c r="M102" s="35"/>
      <c r="N102" s="35"/>
      <c r="O102" s="35"/>
      <c r="P102" s="35"/>
      <c r="Q102" s="35"/>
      <c r="R102" s="5">
        <f t="shared" si="237"/>
        <v>0</v>
      </c>
      <c r="T102" s="35"/>
      <c r="U102" s="35"/>
      <c r="V102" s="35"/>
      <c r="W102" s="35"/>
      <c r="X102" s="35"/>
      <c r="Y102" s="35"/>
      <c r="Z102" s="35"/>
      <c r="AA102" s="5">
        <f t="shared" si="239"/>
        <v>0</v>
      </c>
      <c r="AC102" s="35"/>
      <c r="AD102" s="35"/>
      <c r="AE102" s="35"/>
      <c r="AF102" s="35"/>
      <c r="AG102" s="35"/>
      <c r="AH102" s="35"/>
      <c r="AI102" s="35"/>
      <c r="AJ102" s="5">
        <f t="shared" si="241"/>
        <v>0</v>
      </c>
      <c r="AL102" s="35"/>
      <c r="AM102" s="35"/>
      <c r="AN102" s="35"/>
      <c r="AO102" s="35"/>
      <c r="AP102" s="35"/>
      <c r="AQ102" s="35"/>
      <c r="AR102" s="35"/>
      <c r="AS102" s="5">
        <f t="shared" si="243"/>
        <v>0</v>
      </c>
      <c r="AU102" s="35"/>
      <c r="AV102" s="35"/>
      <c r="AW102" s="35"/>
      <c r="AX102" s="35"/>
      <c r="AY102" s="35"/>
      <c r="AZ102" s="35"/>
      <c r="BA102" s="35"/>
      <c r="BB102" s="5">
        <f t="shared" si="245"/>
        <v>0</v>
      </c>
      <c r="BD102" s="35"/>
      <c r="BE102" s="35"/>
      <c r="BF102" s="35"/>
      <c r="BG102" s="35"/>
      <c r="BH102" s="35"/>
      <c r="BI102" s="35"/>
      <c r="BJ102" s="35"/>
      <c r="BK102" s="5">
        <f t="shared" si="247"/>
        <v>0</v>
      </c>
      <c r="BM102" s="35"/>
      <c r="BN102" s="35"/>
      <c r="BO102" s="35"/>
      <c r="BP102" s="35"/>
      <c r="BQ102" s="35"/>
      <c r="BR102" s="35"/>
      <c r="BS102" s="35"/>
      <c r="BT102" s="5">
        <f t="shared" si="249"/>
        <v>0</v>
      </c>
      <c r="BV102" s="5">
        <f t="shared" si="233"/>
        <v>0</v>
      </c>
      <c r="BW102" s="5">
        <f t="shared" si="233"/>
        <v>0</v>
      </c>
      <c r="BX102" s="5">
        <f t="shared" si="233"/>
        <v>0</v>
      </c>
      <c r="BY102" s="5">
        <f t="shared" si="233"/>
        <v>0</v>
      </c>
      <c r="BZ102" s="5">
        <f t="shared" si="233"/>
        <v>0</v>
      </c>
      <c r="CA102" s="5">
        <f t="shared" si="233"/>
        <v>0</v>
      </c>
      <c r="CB102" s="35"/>
      <c r="CC102" s="5">
        <f t="shared" si="251"/>
        <v>0</v>
      </c>
    </row>
    <row r="103" spans="1:81" ht="15">
      <c r="A103" s="54" t="s">
        <v>97</v>
      </c>
      <c r="B103" s="55">
        <f>SUM(B99:B102)</f>
        <v>0</v>
      </c>
      <c r="C103" s="55">
        <f t="shared" ref="C103:I103" si="252">SUM(C99:C102)</f>
        <v>0</v>
      </c>
      <c r="D103" s="55">
        <f t="shared" si="252"/>
        <v>0</v>
      </c>
      <c r="E103" s="55">
        <f t="shared" si="252"/>
        <v>0</v>
      </c>
      <c r="F103" s="55">
        <f t="shared" si="252"/>
        <v>0</v>
      </c>
      <c r="G103" s="55">
        <f t="shared" si="252"/>
        <v>0</v>
      </c>
      <c r="H103" s="55">
        <f t="shared" si="252"/>
        <v>0</v>
      </c>
      <c r="I103" s="55">
        <f t="shared" si="252"/>
        <v>0</v>
      </c>
      <c r="J103" s="7"/>
      <c r="K103" s="55">
        <f>SUM(K99:K102)</f>
        <v>0</v>
      </c>
      <c r="L103" s="55">
        <f t="shared" ref="L103:R103" si="253">SUM(L99:L102)</f>
        <v>0</v>
      </c>
      <c r="M103" s="55">
        <f t="shared" si="253"/>
        <v>0</v>
      </c>
      <c r="N103" s="55">
        <f t="shared" si="253"/>
        <v>0</v>
      </c>
      <c r="O103" s="55">
        <f t="shared" si="253"/>
        <v>0</v>
      </c>
      <c r="P103" s="55">
        <f t="shared" si="253"/>
        <v>0</v>
      </c>
      <c r="Q103" s="55">
        <f t="shared" si="253"/>
        <v>0</v>
      </c>
      <c r="R103" s="55">
        <f t="shared" si="253"/>
        <v>0</v>
      </c>
      <c r="T103" s="55">
        <f>SUM(T99:T102)</f>
        <v>0</v>
      </c>
      <c r="U103" s="55">
        <f t="shared" ref="U103:AA103" si="254">SUM(U99:U102)</f>
        <v>0</v>
      </c>
      <c r="V103" s="55">
        <f t="shared" si="254"/>
        <v>0</v>
      </c>
      <c r="W103" s="55">
        <f t="shared" si="254"/>
        <v>0</v>
      </c>
      <c r="X103" s="55">
        <f t="shared" si="254"/>
        <v>0</v>
      </c>
      <c r="Y103" s="55">
        <f t="shared" si="254"/>
        <v>0</v>
      </c>
      <c r="Z103" s="55">
        <f t="shared" si="254"/>
        <v>0</v>
      </c>
      <c r="AA103" s="55">
        <f t="shared" si="254"/>
        <v>0</v>
      </c>
      <c r="AC103" s="55">
        <f>SUM(AC99:AC102)</f>
        <v>0</v>
      </c>
      <c r="AD103" s="55">
        <f t="shared" ref="AD103:AJ103" si="255">SUM(AD99:AD102)</f>
        <v>0</v>
      </c>
      <c r="AE103" s="55">
        <f t="shared" si="255"/>
        <v>0</v>
      </c>
      <c r="AF103" s="55">
        <f t="shared" si="255"/>
        <v>0</v>
      </c>
      <c r="AG103" s="55">
        <f t="shared" si="255"/>
        <v>0</v>
      </c>
      <c r="AH103" s="55">
        <f t="shared" si="255"/>
        <v>0</v>
      </c>
      <c r="AI103" s="55">
        <f t="shared" si="255"/>
        <v>0</v>
      </c>
      <c r="AJ103" s="55">
        <f t="shared" si="255"/>
        <v>0</v>
      </c>
      <c r="AL103" s="55">
        <f>SUM(AL99:AL102)</f>
        <v>0</v>
      </c>
      <c r="AM103" s="55">
        <f t="shared" ref="AM103:AS103" si="256">SUM(AM99:AM102)</f>
        <v>0</v>
      </c>
      <c r="AN103" s="55">
        <f t="shared" si="256"/>
        <v>0</v>
      </c>
      <c r="AO103" s="55">
        <f t="shared" si="256"/>
        <v>0</v>
      </c>
      <c r="AP103" s="55">
        <f t="shared" si="256"/>
        <v>0</v>
      </c>
      <c r="AQ103" s="55">
        <f t="shared" si="256"/>
        <v>0</v>
      </c>
      <c r="AR103" s="55">
        <f t="shared" si="256"/>
        <v>0</v>
      </c>
      <c r="AS103" s="55">
        <f t="shared" si="256"/>
        <v>0</v>
      </c>
      <c r="AU103" s="55">
        <f>SUM(AU99:AU102)</f>
        <v>0</v>
      </c>
      <c r="AV103" s="55">
        <f t="shared" ref="AV103:BB103" si="257">SUM(AV99:AV102)</f>
        <v>0</v>
      </c>
      <c r="AW103" s="55">
        <f t="shared" si="257"/>
        <v>0</v>
      </c>
      <c r="AX103" s="55">
        <f t="shared" si="257"/>
        <v>0</v>
      </c>
      <c r="AY103" s="55">
        <f t="shared" si="257"/>
        <v>0</v>
      </c>
      <c r="AZ103" s="55">
        <f t="shared" si="257"/>
        <v>0</v>
      </c>
      <c r="BA103" s="55">
        <f t="shared" si="257"/>
        <v>0</v>
      </c>
      <c r="BB103" s="55">
        <f t="shared" si="257"/>
        <v>0</v>
      </c>
      <c r="BD103" s="55">
        <f>SUM(BD99:BD102)</f>
        <v>0</v>
      </c>
      <c r="BE103" s="55">
        <f t="shared" ref="BE103:BK103" si="258">SUM(BE99:BE102)</f>
        <v>0</v>
      </c>
      <c r="BF103" s="55">
        <f t="shared" si="258"/>
        <v>0</v>
      </c>
      <c r="BG103" s="55">
        <f t="shared" si="258"/>
        <v>0</v>
      </c>
      <c r="BH103" s="55">
        <f t="shared" si="258"/>
        <v>0</v>
      </c>
      <c r="BI103" s="55">
        <f t="shared" si="258"/>
        <v>0</v>
      </c>
      <c r="BJ103" s="55">
        <f t="shared" si="258"/>
        <v>0</v>
      </c>
      <c r="BK103" s="55">
        <f t="shared" si="258"/>
        <v>0</v>
      </c>
      <c r="BM103" s="55">
        <f>SUM(BM99:BM102)</f>
        <v>0</v>
      </c>
      <c r="BN103" s="55">
        <f t="shared" ref="BN103:BT103" si="259">SUM(BN99:BN102)</f>
        <v>0</v>
      </c>
      <c r="BO103" s="55">
        <f t="shared" si="259"/>
        <v>0</v>
      </c>
      <c r="BP103" s="55">
        <f t="shared" si="259"/>
        <v>0</v>
      </c>
      <c r="BQ103" s="55">
        <f t="shared" si="259"/>
        <v>0</v>
      </c>
      <c r="BR103" s="55">
        <f t="shared" si="259"/>
        <v>0</v>
      </c>
      <c r="BS103" s="55">
        <f t="shared" si="259"/>
        <v>0</v>
      </c>
      <c r="BT103" s="55">
        <f t="shared" si="259"/>
        <v>0</v>
      </c>
      <c r="BV103" s="55">
        <f>SUM(BV99:BV102)</f>
        <v>0</v>
      </c>
      <c r="BW103" s="55">
        <f t="shared" ref="BW103:CC103" si="260">SUM(BW99:BW102)</f>
        <v>0</v>
      </c>
      <c r="BX103" s="55">
        <f t="shared" si="260"/>
        <v>0</v>
      </c>
      <c r="BY103" s="55">
        <f t="shared" si="260"/>
        <v>0</v>
      </c>
      <c r="BZ103" s="55">
        <f t="shared" si="260"/>
        <v>0</v>
      </c>
      <c r="CA103" s="55">
        <f t="shared" si="260"/>
        <v>0</v>
      </c>
      <c r="CB103" s="55">
        <f t="shared" si="260"/>
        <v>0</v>
      </c>
      <c r="CC103" s="55">
        <f t="shared" si="260"/>
        <v>0</v>
      </c>
    </row>
    <row r="104" spans="1:81" ht="15" thickBot="1">
      <c r="A104" s="29"/>
      <c r="B104" s="42"/>
      <c r="C104" s="42"/>
      <c r="D104" s="42"/>
      <c r="E104" s="42"/>
      <c r="F104" s="42"/>
      <c r="G104" s="42"/>
      <c r="H104" s="42"/>
      <c r="I104" s="42"/>
      <c r="J104" s="7"/>
      <c r="K104" s="42"/>
      <c r="L104" s="42"/>
      <c r="M104" s="42"/>
      <c r="N104" s="42"/>
      <c r="O104" s="42"/>
      <c r="P104" s="42"/>
      <c r="Q104" s="42"/>
      <c r="R104" s="42"/>
      <c r="T104" s="42"/>
      <c r="U104" s="42"/>
      <c r="V104" s="42"/>
      <c r="W104" s="42"/>
      <c r="X104" s="42"/>
      <c r="Y104" s="42"/>
      <c r="Z104" s="42"/>
      <c r="AA104" s="42"/>
      <c r="AC104" s="42"/>
      <c r="AD104" s="42"/>
      <c r="AE104" s="42"/>
      <c r="AF104" s="42"/>
      <c r="AG104" s="42"/>
      <c r="AH104" s="42"/>
      <c r="AI104" s="42"/>
      <c r="AJ104" s="42"/>
      <c r="AL104" s="42"/>
      <c r="AM104" s="42"/>
      <c r="AN104" s="42"/>
      <c r="AO104" s="42"/>
      <c r="AP104" s="42"/>
      <c r="AQ104" s="42"/>
      <c r="AR104" s="42"/>
      <c r="AS104" s="42"/>
      <c r="AU104" s="42"/>
      <c r="AV104" s="42"/>
      <c r="AW104" s="42"/>
      <c r="AX104" s="42"/>
      <c r="AY104" s="42"/>
      <c r="AZ104" s="42"/>
      <c r="BA104" s="42"/>
      <c r="BB104" s="42"/>
      <c r="BD104" s="42"/>
      <c r="BE104" s="42"/>
      <c r="BF104" s="42"/>
      <c r="BG104" s="42"/>
      <c r="BH104" s="42"/>
      <c r="BI104" s="42"/>
      <c r="BJ104" s="42"/>
      <c r="BK104" s="42"/>
      <c r="BM104" s="42"/>
      <c r="BN104" s="42"/>
      <c r="BO104" s="42"/>
      <c r="BP104" s="42"/>
      <c r="BQ104" s="42"/>
      <c r="BR104" s="42"/>
      <c r="BS104" s="42"/>
      <c r="BT104" s="42"/>
      <c r="BV104" s="42"/>
      <c r="BW104" s="42"/>
      <c r="BX104" s="42"/>
      <c r="BY104" s="42"/>
      <c r="BZ104" s="42"/>
      <c r="CA104" s="42"/>
      <c r="CB104" s="42"/>
      <c r="CC104" s="42"/>
    </row>
    <row r="105" spans="1:81" ht="15.75" thickBot="1">
      <c r="A105" s="60" t="s">
        <v>98</v>
      </c>
      <c r="B105" s="61" t="str">
        <f t="shared" ref="B105:I105" si="261">B1</f>
        <v>Operating</v>
      </c>
      <c r="C105" s="61" t="str">
        <f t="shared" si="261"/>
        <v>SPED</v>
      </c>
      <c r="D105" s="61" t="str">
        <f t="shared" si="261"/>
        <v>NSLP</v>
      </c>
      <c r="E105" s="61" t="str">
        <f t="shared" si="261"/>
        <v>Other</v>
      </c>
      <c r="F105" s="61" t="str">
        <f t="shared" si="261"/>
        <v>Title I</v>
      </c>
      <c r="G105" s="61" t="str">
        <f t="shared" si="261"/>
        <v>SGF</v>
      </c>
      <c r="H105" s="61" t="str">
        <f t="shared" si="261"/>
        <v>Title III</v>
      </c>
      <c r="I105" s="61" t="str">
        <f t="shared" si="261"/>
        <v>Horizon</v>
      </c>
      <c r="J105" s="7"/>
      <c r="K105" s="61" t="str">
        <f t="shared" ref="K105:R105" si="262">K1</f>
        <v>Operating</v>
      </c>
      <c r="L105" s="61" t="str">
        <f t="shared" si="262"/>
        <v>SPED</v>
      </c>
      <c r="M105" s="61" t="str">
        <f t="shared" si="262"/>
        <v>NSLP</v>
      </c>
      <c r="N105" s="61" t="str">
        <f t="shared" si="262"/>
        <v>Other</v>
      </c>
      <c r="O105" s="61" t="str">
        <f t="shared" si="262"/>
        <v>Title I</v>
      </c>
      <c r="P105" s="61" t="str">
        <f t="shared" si="262"/>
        <v>SGF</v>
      </c>
      <c r="Q105" s="61" t="str">
        <f t="shared" si="262"/>
        <v>Title III</v>
      </c>
      <c r="R105" s="61" t="str">
        <f t="shared" si="262"/>
        <v>St. Rose</v>
      </c>
      <c r="T105" s="61" t="str">
        <f t="shared" ref="T105:AA105" si="263">T1</f>
        <v>Operating</v>
      </c>
      <c r="U105" s="61" t="str">
        <f t="shared" si="263"/>
        <v>SPED</v>
      </c>
      <c r="V105" s="61" t="str">
        <f t="shared" si="263"/>
        <v>NSLP</v>
      </c>
      <c r="W105" s="61" t="str">
        <f t="shared" si="263"/>
        <v>Other</v>
      </c>
      <c r="X105" s="61" t="str">
        <f t="shared" si="263"/>
        <v>Title I</v>
      </c>
      <c r="Y105" s="61" t="str">
        <f t="shared" si="263"/>
        <v>SGF</v>
      </c>
      <c r="Z105" s="61" t="str">
        <f t="shared" si="263"/>
        <v>Title III</v>
      </c>
      <c r="AA105" s="61" t="str">
        <f t="shared" si="263"/>
        <v>Inspirada</v>
      </c>
      <c r="AC105" s="61" t="str">
        <f t="shared" ref="AC105:AJ105" si="264">AC1</f>
        <v>Operating</v>
      </c>
      <c r="AD105" s="61" t="str">
        <f t="shared" si="264"/>
        <v>SPED</v>
      </c>
      <c r="AE105" s="61" t="str">
        <f t="shared" si="264"/>
        <v>NSLP</v>
      </c>
      <c r="AF105" s="61" t="str">
        <f t="shared" si="264"/>
        <v>Other</v>
      </c>
      <c r="AG105" s="61" t="str">
        <f t="shared" si="264"/>
        <v>Title I</v>
      </c>
      <c r="AH105" s="61" t="str">
        <f t="shared" si="264"/>
        <v>SGF</v>
      </c>
      <c r="AI105" s="61" t="str">
        <f t="shared" si="264"/>
        <v>Title III</v>
      </c>
      <c r="AJ105" s="61" t="str">
        <f t="shared" si="264"/>
        <v>Cadence</v>
      </c>
      <c r="AL105" s="61" t="str">
        <f t="shared" ref="AL105:AS105" si="265">AL1</f>
        <v>Operating</v>
      </c>
      <c r="AM105" s="61" t="str">
        <f t="shared" si="265"/>
        <v>SPED</v>
      </c>
      <c r="AN105" s="61" t="str">
        <f t="shared" si="265"/>
        <v>NSLP</v>
      </c>
      <c r="AO105" s="61" t="str">
        <f t="shared" si="265"/>
        <v>Other</v>
      </c>
      <c r="AP105" s="61" t="str">
        <f t="shared" si="265"/>
        <v>Title I</v>
      </c>
      <c r="AQ105" s="61" t="str">
        <f t="shared" si="265"/>
        <v>SGF</v>
      </c>
      <c r="AR105" s="61" t="str">
        <f t="shared" si="265"/>
        <v>Title III</v>
      </c>
      <c r="AS105" s="61" t="str">
        <f t="shared" si="265"/>
        <v>Sloan</v>
      </c>
      <c r="AU105" s="61" t="str">
        <f t="shared" ref="AU105:BB105" si="266">AU1</f>
        <v>Operating</v>
      </c>
      <c r="AV105" s="61" t="str">
        <f t="shared" si="266"/>
        <v>SPED</v>
      </c>
      <c r="AW105" s="61" t="str">
        <f t="shared" si="266"/>
        <v>NSLP</v>
      </c>
      <c r="AX105" s="61" t="str">
        <f t="shared" si="266"/>
        <v>Other</v>
      </c>
      <c r="AY105" s="61" t="str">
        <f t="shared" si="266"/>
        <v>Title I</v>
      </c>
      <c r="AZ105" s="61" t="str">
        <f t="shared" si="266"/>
        <v>SGF</v>
      </c>
      <c r="BA105" s="61" t="str">
        <f t="shared" si="266"/>
        <v>Title III</v>
      </c>
      <c r="BB105" s="61" t="str">
        <f t="shared" si="266"/>
        <v>Virtual</v>
      </c>
      <c r="BD105" s="61" t="str">
        <f t="shared" ref="BD105:BK105" si="267">BD1</f>
        <v>Operating</v>
      </c>
      <c r="BE105" s="61" t="str">
        <f t="shared" si="267"/>
        <v>SPED</v>
      </c>
      <c r="BF105" s="61" t="str">
        <f t="shared" si="267"/>
        <v>NSLP</v>
      </c>
      <c r="BG105" s="61" t="str">
        <f t="shared" si="267"/>
        <v>Other</v>
      </c>
      <c r="BH105" s="61" t="str">
        <f t="shared" si="267"/>
        <v>Title I</v>
      </c>
      <c r="BI105" s="61" t="str">
        <f t="shared" si="267"/>
        <v>SGF</v>
      </c>
      <c r="BJ105" s="61" t="str">
        <f t="shared" si="267"/>
        <v>Title III</v>
      </c>
      <c r="BK105" s="61" t="str">
        <f t="shared" si="267"/>
        <v>Springs</v>
      </c>
      <c r="BM105" s="61" t="str">
        <f t="shared" ref="BM105:BT105" si="268">BM1</f>
        <v>Operating</v>
      </c>
      <c r="BN105" s="61" t="str">
        <f t="shared" si="268"/>
        <v>SPED</v>
      </c>
      <c r="BO105" s="61" t="str">
        <f t="shared" si="268"/>
        <v>NSLP</v>
      </c>
      <c r="BP105" s="61" t="str">
        <f t="shared" si="268"/>
        <v>Other</v>
      </c>
      <c r="BQ105" s="61" t="str">
        <f t="shared" si="268"/>
        <v>Title I</v>
      </c>
      <c r="BR105" s="61" t="str">
        <f t="shared" si="268"/>
        <v>SGF</v>
      </c>
      <c r="BS105" s="61" t="str">
        <f t="shared" si="268"/>
        <v>Title III</v>
      </c>
      <c r="BT105" s="61" t="str">
        <f t="shared" si="268"/>
        <v>Exec. Office</v>
      </c>
      <c r="BV105" s="61" t="str">
        <f t="shared" ref="BV105:CC105" si="269">BV1</f>
        <v>Operating</v>
      </c>
      <c r="BW105" s="61" t="str">
        <f t="shared" si="269"/>
        <v>SPED</v>
      </c>
      <c r="BX105" s="61" t="str">
        <f t="shared" si="269"/>
        <v>NSLP</v>
      </c>
      <c r="BY105" s="61" t="str">
        <f t="shared" si="269"/>
        <v>Other</v>
      </c>
      <c r="BZ105" s="61" t="str">
        <f t="shared" si="269"/>
        <v>Title I</v>
      </c>
      <c r="CA105" s="61" t="str">
        <f t="shared" si="269"/>
        <v>SGF</v>
      </c>
      <c r="CB105" s="61" t="str">
        <f t="shared" si="269"/>
        <v>Title III</v>
      </c>
      <c r="CC105" s="61" t="str">
        <f t="shared" si="269"/>
        <v>Systemwide</v>
      </c>
    </row>
    <row r="106" spans="1:81" ht="15">
      <c r="A106" s="48" t="s">
        <v>99</v>
      </c>
      <c r="B106" s="49"/>
      <c r="C106" s="49"/>
      <c r="D106" s="49"/>
      <c r="E106" s="49"/>
      <c r="F106" s="49"/>
      <c r="G106" s="49"/>
      <c r="H106" s="49"/>
      <c r="I106" s="50"/>
      <c r="J106" s="7"/>
      <c r="K106" s="49"/>
      <c r="L106" s="49"/>
      <c r="M106" s="49"/>
      <c r="N106" s="49"/>
      <c r="O106" s="49"/>
      <c r="P106" s="49"/>
      <c r="Q106" s="49"/>
      <c r="R106" s="50"/>
      <c r="T106" s="49"/>
      <c r="U106" s="49"/>
      <c r="V106" s="49"/>
      <c r="W106" s="49"/>
      <c r="X106" s="49"/>
      <c r="Y106" s="49"/>
      <c r="Z106" s="49"/>
      <c r="AA106" s="50"/>
      <c r="AC106" s="49"/>
      <c r="AD106" s="49"/>
      <c r="AE106" s="49"/>
      <c r="AF106" s="49"/>
      <c r="AG106" s="49"/>
      <c r="AH106" s="49"/>
      <c r="AI106" s="49"/>
      <c r="AJ106" s="50"/>
      <c r="AL106" s="49"/>
      <c r="AM106" s="49"/>
      <c r="AN106" s="49"/>
      <c r="AO106" s="49"/>
      <c r="AP106" s="49"/>
      <c r="AQ106" s="49"/>
      <c r="AR106" s="49"/>
      <c r="AS106" s="50"/>
      <c r="AU106" s="49"/>
      <c r="AV106" s="49"/>
      <c r="AW106" s="49"/>
      <c r="AX106" s="49"/>
      <c r="AY106" s="49"/>
      <c r="AZ106" s="49"/>
      <c r="BA106" s="49"/>
      <c r="BB106" s="50"/>
      <c r="BD106" s="49"/>
      <c r="BE106" s="49"/>
      <c r="BF106" s="49"/>
      <c r="BG106" s="49"/>
      <c r="BH106" s="49"/>
      <c r="BI106" s="49"/>
      <c r="BJ106" s="49"/>
      <c r="BK106" s="50"/>
      <c r="BM106" s="49"/>
      <c r="BN106" s="49"/>
      <c r="BO106" s="49"/>
      <c r="BP106" s="49"/>
      <c r="BQ106" s="49"/>
      <c r="BR106" s="49"/>
      <c r="BS106" s="49"/>
      <c r="BT106" s="50"/>
      <c r="BV106" s="49"/>
      <c r="BW106" s="49"/>
      <c r="BX106" s="49"/>
      <c r="BY106" s="49"/>
      <c r="BZ106" s="49"/>
      <c r="CA106" s="49"/>
      <c r="CB106" s="49"/>
      <c r="CC106" s="50"/>
    </row>
    <row r="107" spans="1:81">
      <c r="A107" s="29" t="s">
        <v>40</v>
      </c>
      <c r="B107" s="62">
        <f>'26-27'!B107*1.015</f>
        <v>163297.81967911994</v>
      </c>
      <c r="C107" s="11"/>
      <c r="D107" s="5"/>
      <c r="E107" s="5"/>
      <c r="F107" s="5"/>
      <c r="G107" s="5"/>
      <c r="H107" s="5"/>
      <c r="I107" s="5">
        <f t="shared" ref="I107:I120" si="270">SUM(B107:H107)</f>
        <v>163297.81967911994</v>
      </c>
      <c r="K107" s="62">
        <f>'26-27'!K107*1.015</f>
        <v>159038.09196680124</v>
      </c>
      <c r="L107" s="11"/>
      <c r="M107" s="5"/>
      <c r="N107" s="5"/>
      <c r="O107" s="5"/>
      <c r="P107" s="5"/>
      <c r="Q107" s="5"/>
      <c r="R107" s="5">
        <f t="shared" ref="R107:R120" si="271">SUM(K107:Q107)</f>
        <v>159038.09196680124</v>
      </c>
      <c r="T107" s="62">
        <f>'26-27'!T107*1.015</f>
        <v>222841.38146112495</v>
      </c>
      <c r="U107" s="5"/>
      <c r="V107" s="5"/>
      <c r="W107" s="5"/>
      <c r="X107" s="5"/>
      <c r="Y107" s="5"/>
      <c r="Z107" s="5"/>
      <c r="AA107" s="5">
        <f t="shared" ref="AA107:AA120" si="272">SUM(T107:Z107)</f>
        <v>222841.38146112495</v>
      </c>
      <c r="AC107" s="62">
        <f>'26-27'!AC107*1.015</f>
        <v>171250.74747374994</v>
      </c>
      <c r="AD107" s="11"/>
      <c r="AE107" s="5"/>
      <c r="AF107" s="5"/>
      <c r="AG107" s="5"/>
      <c r="AH107" s="5"/>
      <c r="AI107" s="5"/>
      <c r="AJ107" s="5">
        <f t="shared" ref="AJ107:AJ120" si="273">SUM(AC107:AI107)</f>
        <v>171250.74747374994</v>
      </c>
      <c r="AL107" s="62">
        <f>'26-27'!AL107*1.015</f>
        <v>179784.2045318287</v>
      </c>
      <c r="AM107" s="11"/>
      <c r="AN107" s="5"/>
      <c r="AO107" s="5"/>
      <c r="AP107" s="5"/>
      <c r="AQ107" s="5"/>
      <c r="AR107" s="5"/>
      <c r="AS107" s="5">
        <f t="shared" ref="AS107:AS120" si="274">SUM(AL107:AR107)</f>
        <v>179784.2045318287</v>
      </c>
      <c r="AU107" s="62">
        <f>'26-27'!AU107*1.015</f>
        <v>0</v>
      </c>
      <c r="AV107" s="11"/>
      <c r="AW107" s="5"/>
      <c r="AX107" s="5"/>
      <c r="AY107" s="5"/>
      <c r="AZ107" s="5"/>
      <c r="BA107" s="5"/>
      <c r="BB107" s="5">
        <f t="shared" ref="BB107:BB120" si="275">SUM(AU107:BA107)</f>
        <v>0</v>
      </c>
      <c r="BD107" s="62">
        <f>'26-27'!BD107*1.015</f>
        <v>0</v>
      </c>
      <c r="BE107" s="11"/>
      <c r="BF107" s="5"/>
      <c r="BG107" s="5"/>
      <c r="BH107" s="5"/>
      <c r="BI107" s="5"/>
      <c r="BJ107" s="5"/>
      <c r="BK107" s="5">
        <f t="shared" ref="BK107:BK120" si="276">SUM(BD107:BJ107)</f>
        <v>0</v>
      </c>
      <c r="BM107" s="62">
        <f>'26-27'!BM107*1.015</f>
        <v>0</v>
      </c>
      <c r="BN107" s="11"/>
      <c r="BO107" s="5"/>
      <c r="BP107" s="5"/>
      <c r="BQ107" s="5"/>
      <c r="BR107" s="5"/>
      <c r="BS107" s="5"/>
      <c r="BT107" s="5">
        <f t="shared" ref="BT107:BT120" si="277">SUM(BM107:BS107)</f>
        <v>0</v>
      </c>
      <c r="BV107" s="5">
        <f t="shared" ref="BV107:CA120" si="278">B107+K107+T107+AC107+AL107+AU107+BD107+BM107</f>
        <v>896212.24511262472</v>
      </c>
      <c r="BW107" s="5">
        <f t="shared" si="278"/>
        <v>0</v>
      </c>
      <c r="BX107" s="5">
        <f t="shared" si="278"/>
        <v>0</v>
      </c>
      <c r="BY107" s="5">
        <f t="shared" si="278"/>
        <v>0</v>
      </c>
      <c r="BZ107" s="5">
        <f t="shared" si="278"/>
        <v>0</v>
      </c>
      <c r="CA107" s="5">
        <f t="shared" si="278"/>
        <v>0</v>
      </c>
      <c r="CB107" s="5"/>
      <c r="CC107" s="5">
        <f t="shared" ref="CC107:CC120" si="279">SUM(BV107:CB107)</f>
        <v>896212.24511262472</v>
      </c>
    </row>
    <row r="108" spans="1:81">
      <c r="A108" s="29" t="s">
        <v>100</v>
      </c>
      <c r="B108" s="62">
        <f>'26-27'!B108*1.015</f>
        <v>336685.43182574993</v>
      </c>
      <c r="C108" s="11"/>
      <c r="D108" s="5"/>
      <c r="E108" s="5"/>
      <c r="F108" s="5"/>
      <c r="G108" s="5"/>
      <c r="H108" s="5"/>
      <c r="I108" s="5">
        <f t="shared" si="270"/>
        <v>336685.43182574993</v>
      </c>
      <c r="K108" s="62">
        <f>'26-27'!K108*1.015</f>
        <v>348963.78730499995</v>
      </c>
      <c r="L108" s="11"/>
      <c r="M108" s="5"/>
      <c r="N108" s="5"/>
      <c r="O108" s="5"/>
      <c r="P108" s="5"/>
      <c r="Q108" s="5"/>
      <c r="R108" s="5">
        <f t="shared" si="271"/>
        <v>348963.78730499995</v>
      </c>
      <c r="T108" s="62">
        <f>'26-27'!T108*1.015</f>
        <v>368350.6643774999</v>
      </c>
      <c r="U108" s="5"/>
      <c r="V108" s="5"/>
      <c r="W108" s="5"/>
      <c r="X108" s="5"/>
      <c r="Y108" s="5"/>
      <c r="Z108" s="5"/>
      <c r="AA108" s="5">
        <f t="shared" si="272"/>
        <v>368350.6643774999</v>
      </c>
      <c r="AC108" s="62">
        <f>'26-27'!AC108*1.015</f>
        <v>599700.73077599984</v>
      </c>
      <c r="AD108" s="11"/>
      <c r="AE108" s="5"/>
      <c r="AF108" s="5"/>
      <c r="AG108" s="5"/>
      <c r="AH108" s="5"/>
      <c r="AI108" s="5"/>
      <c r="AJ108" s="5">
        <f t="shared" si="273"/>
        <v>599700.73077599984</v>
      </c>
      <c r="AL108" s="62">
        <f>'26-27'!AL108*1.015</f>
        <v>498242.74076324987</v>
      </c>
      <c r="AM108" s="11"/>
      <c r="AN108" s="5"/>
      <c r="AO108" s="5"/>
      <c r="AP108" s="5"/>
      <c r="AQ108" s="5"/>
      <c r="AR108" s="5"/>
      <c r="AS108" s="5">
        <f t="shared" si="274"/>
        <v>498242.74076324987</v>
      </c>
      <c r="AU108" s="62">
        <f>'26-27'!AU108*1.015</f>
        <v>0</v>
      </c>
      <c r="AV108" s="11"/>
      <c r="AW108" s="5"/>
      <c r="AX108" s="5"/>
      <c r="AY108" s="5"/>
      <c r="AZ108" s="5"/>
      <c r="BA108" s="5"/>
      <c r="BB108" s="5">
        <f t="shared" si="275"/>
        <v>0</v>
      </c>
      <c r="BD108" s="62">
        <f>'26-27'!BD108*1.015</f>
        <v>123860.60351874995</v>
      </c>
      <c r="BE108" s="11"/>
      <c r="BF108" s="5"/>
      <c r="BG108" s="5"/>
      <c r="BH108" s="5"/>
      <c r="BI108" s="5"/>
      <c r="BJ108" s="5"/>
      <c r="BK108" s="5">
        <f t="shared" si="276"/>
        <v>123860.60351874995</v>
      </c>
      <c r="BM108" s="62">
        <f>'26-27'!BM108*1.015</f>
        <v>0</v>
      </c>
      <c r="BN108" s="11"/>
      <c r="BO108" s="5"/>
      <c r="BP108" s="5"/>
      <c r="BQ108" s="5"/>
      <c r="BR108" s="5"/>
      <c r="BS108" s="5"/>
      <c r="BT108" s="5">
        <f t="shared" si="277"/>
        <v>0</v>
      </c>
      <c r="BV108" s="5">
        <f t="shared" si="278"/>
        <v>2275803.9585662493</v>
      </c>
      <c r="BW108" s="5">
        <f t="shared" si="278"/>
        <v>0</v>
      </c>
      <c r="BX108" s="5">
        <f t="shared" si="278"/>
        <v>0</v>
      </c>
      <c r="BY108" s="5">
        <f t="shared" si="278"/>
        <v>0</v>
      </c>
      <c r="BZ108" s="5">
        <f t="shared" si="278"/>
        <v>0</v>
      </c>
      <c r="CA108" s="5">
        <f t="shared" si="278"/>
        <v>0</v>
      </c>
      <c r="CB108" s="5"/>
      <c r="CC108" s="5">
        <f t="shared" si="279"/>
        <v>2275803.9585662493</v>
      </c>
    </row>
    <row r="109" spans="1:81">
      <c r="A109" s="29" t="s">
        <v>42</v>
      </c>
      <c r="B109" s="62">
        <f>'26-27'!B109*1.015</f>
        <v>0</v>
      </c>
      <c r="C109" s="11"/>
      <c r="D109" s="5"/>
      <c r="E109" s="5"/>
      <c r="F109" s="5"/>
      <c r="G109" s="5"/>
      <c r="H109" s="5"/>
      <c r="I109" s="5">
        <f t="shared" si="270"/>
        <v>0</v>
      </c>
      <c r="K109" s="62">
        <f>'26-27'!K109*1.015</f>
        <v>0</v>
      </c>
      <c r="L109" s="11"/>
      <c r="M109" s="5"/>
      <c r="N109" s="5"/>
      <c r="O109" s="5"/>
      <c r="P109" s="5"/>
      <c r="Q109" s="5"/>
      <c r="R109" s="5">
        <f t="shared" si="271"/>
        <v>0</v>
      </c>
      <c r="T109" s="62">
        <f>'26-27'!T109*1.015</f>
        <v>0</v>
      </c>
      <c r="U109" s="5"/>
      <c r="V109" s="5"/>
      <c r="W109" s="5"/>
      <c r="X109" s="5"/>
      <c r="Y109" s="5"/>
      <c r="Z109" s="5"/>
      <c r="AA109" s="5">
        <f t="shared" si="272"/>
        <v>0</v>
      </c>
      <c r="AC109" s="62">
        <f>'26-27'!AC109*1.015</f>
        <v>0</v>
      </c>
      <c r="AD109" s="11"/>
      <c r="AE109" s="5"/>
      <c r="AF109" s="5"/>
      <c r="AG109" s="5"/>
      <c r="AH109" s="5"/>
      <c r="AI109" s="5"/>
      <c r="AJ109" s="5">
        <f t="shared" si="273"/>
        <v>0</v>
      </c>
      <c r="AL109" s="62">
        <f>'26-27'!AL109*1.015</f>
        <v>0</v>
      </c>
      <c r="AM109" s="11"/>
      <c r="AN109" s="5"/>
      <c r="AO109" s="5"/>
      <c r="AP109" s="5"/>
      <c r="AQ109" s="5"/>
      <c r="AR109" s="5"/>
      <c r="AS109" s="5">
        <f t="shared" si="274"/>
        <v>0</v>
      </c>
      <c r="AU109" s="62">
        <f>'26-27'!AU109*1.015</f>
        <v>0</v>
      </c>
      <c r="AV109" s="11"/>
      <c r="AW109" s="5"/>
      <c r="AX109" s="5"/>
      <c r="AY109" s="5"/>
      <c r="AZ109" s="5"/>
      <c r="BA109" s="5"/>
      <c r="BB109" s="5">
        <f t="shared" si="275"/>
        <v>0</v>
      </c>
      <c r="BD109" s="62">
        <f>'26-27'!BD109*1.015</f>
        <v>75393.410837499978</v>
      </c>
      <c r="BE109" s="11"/>
      <c r="BF109" s="5"/>
      <c r="BG109" s="5">
        <v>0</v>
      </c>
      <c r="BH109" s="5"/>
      <c r="BI109" s="5"/>
      <c r="BJ109" s="5"/>
      <c r="BK109" s="5">
        <f t="shared" si="276"/>
        <v>75393.410837499978</v>
      </c>
      <c r="BM109" s="62">
        <f>'26-27'!BM109*1.015</f>
        <v>0</v>
      </c>
      <c r="BN109" s="11"/>
      <c r="BO109" s="5"/>
      <c r="BP109" s="5"/>
      <c r="BQ109" s="5"/>
      <c r="BR109" s="5"/>
      <c r="BS109" s="5"/>
      <c r="BT109" s="5">
        <f t="shared" si="277"/>
        <v>0</v>
      </c>
      <c r="BV109" s="5">
        <f t="shared" si="278"/>
        <v>75393.410837499978</v>
      </c>
      <c r="BW109" s="5">
        <f t="shared" si="278"/>
        <v>0</v>
      </c>
      <c r="BX109" s="5">
        <f t="shared" si="278"/>
        <v>0</v>
      </c>
      <c r="BY109" s="5">
        <f t="shared" si="278"/>
        <v>0</v>
      </c>
      <c r="BZ109" s="5">
        <f t="shared" si="278"/>
        <v>0</v>
      </c>
      <c r="CA109" s="5">
        <f t="shared" si="278"/>
        <v>0</v>
      </c>
      <c r="CB109" s="5"/>
      <c r="CC109" s="5">
        <f t="shared" si="279"/>
        <v>75393.410837499978</v>
      </c>
    </row>
    <row r="110" spans="1:81">
      <c r="A110" s="32" t="s">
        <v>43</v>
      </c>
      <c r="B110" s="62">
        <f>'26-27'!B110*1.015</f>
        <v>0</v>
      </c>
      <c r="C110" s="11"/>
      <c r="D110" s="5"/>
      <c r="E110" s="5"/>
      <c r="F110" s="11"/>
      <c r="G110" s="5"/>
      <c r="H110" s="5"/>
      <c r="I110" s="5">
        <f t="shared" si="270"/>
        <v>0</v>
      </c>
      <c r="K110" s="62">
        <f>'26-27'!K110*1.015</f>
        <v>0</v>
      </c>
      <c r="L110" s="11"/>
      <c r="M110" s="5"/>
      <c r="N110" s="5"/>
      <c r="O110" s="5"/>
      <c r="P110" s="5"/>
      <c r="Q110" s="5"/>
      <c r="R110" s="5">
        <f t="shared" si="271"/>
        <v>0</v>
      </c>
      <c r="T110" s="62">
        <f>'26-27'!T110*1.015</f>
        <v>0</v>
      </c>
      <c r="U110" s="5"/>
      <c r="V110" s="5"/>
      <c r="W110" s="5"/>
      <c r="X110" s="5"/>
      <c r="Y110" s="5"/>
      <c r="Z110" s="5"/>
      <c r="AA110" s="5">
        <f t="shared" si="272"/>
        <v>0</v>
      </c>
      <c r="AC110" s="62">
        <f>'26-27'!AC110*1.015</f>
        <v>252029.40194249994</v>
      </c>
      <c r="AD110" s="11"/>
      <c r="AE110" s="5"/>
      <c r="AF110" s="5"/>
      <c r="AG110" s="5"/>
      <c r="AH110" s="5"/>
      <c r="AI110" s="5"/>
      <c r="AJ110" s="5">
        <f t="shared" si="273"/>
        <v>252029.40194249994</v>
      </c>
      <c r="AL110" s="62">
        <f>'26-27'!AL110*1.015</f>
        <v>232642.52486999994</v>
      </c>
      <c r="AM110" s="11"/>
      <c r="AN110" s="5"/>
      <c r="AO110" s="5"/>
      <c r="AP110" s="5"/>
      <c r="AQ110" s="5"/>
      <c r="AR110" s="5"/>
      <c r="AS110" s="5">
        <f t="shared" si="274"/>
        <v>232642.52486999994</v>
      </c>
      <c r="AU110" s="62">
        <f>'26-27'!AU110*1.015</f>
        <v>0</v>
      </c>
      <c r="AV110" s="11"/>
      <c r="AW110" s="5"/>
      <c r="AX110" s="5"/>
      <c r="AY110" s="5"/>
      <c r="AZ110" s="5"/>
      <c r="BA110" s="5"/>
      <c r="BB110" s="5">
        <f t="shared" si="275"/>
        <v>0</v>
      </c>
      <c r="BD110" s="62">
        <f>'26-27'!BD110*1.015</f>
        <v>0</v>
      </c>
      <c r="BE110" s="11"/>
      <c r="BF110" s="5"/>
      <c r="BG110" s="5"/>
      <c r="BH110" s="5"/>
      <c r="BI110" s="5"/>
      <c r="BJ110" s="5"/>
      <c r="BK110" s="5">
        <f t="shared" si="276"/>
        <v>0</v>
      </c>
      <c r="BM110" s="62">
        <f>'26-27'!BM110*1.015</f>
        <v>0</v>
      </c>
      <c r="BN110" s="11"/>
      <c r="BO110" s="5"/>
      <c r="BP110" s="5"/>
      <c r="BQ110" s="5"/>
      <c r="BR110" s="5"/>
      <c r="BS110" s="5"/>
      <c r="BT110" s="5">
        <f t="shared" si="277"/>
        <v>0</v>
      </c>
      <c r="BV110" s="5">
        <f t="shared" si="278"/>
        <v>484671.92681249988</v>
      </c>
      <c r="BW110" s="5">
        <f t="shared" si="278"/>
        <v>0</v>
      </c>
      <c r="BX110" s="5">
        <f t="shared" si="278"/>
        <v>0</v>
      </c>
      <c r="BY110" s="5">
        <f t="shared" si="278"/>
        <v>0</v>
      </c>
      <c r="BZ110" s="5">
        <f t="shared" si="278"/>
        <v>0</v>
      </c>
      <c r="CA110" s="5">
        <f t="shared" si="278"/>
        <v>0</v>
      </c>
      <c r="CB110" s="5"/>
      <c r="CC110" s="5">
        <f t="shared" si="279"/>
        <v>484671.92681249988</v>
      </c>
    </row>
    <row r="111" spans="1:81">
      <c r="A111" s="32" t="s">
        <v>44</v>
      </c>
      <c r="B111" s="62">
        <f>'26-27'!B111*1.015</f>
        <v>86702.422463124967</v>
      </c>
      <c r="C111" s="11"/>
      <c r="D111" s="5"/>
      <c r="E111" s="5"/>
      <c r="F111" s="11"/>
      <c r="G111" s="5"/>
      <c r="H111" s="5"/>
      <c r="I111" s="5">
        <f t="shared" si="270"/>
        <v>86702.422463124967</v>
      </c>
      <c r="K111" s="62">
        <f>'26-27'!K111*1.015</f>
        <v>86163.898099999977</v>
      </c>
      <c r="L111" s="11"/>
      <c r="M111" s="5"/>
      <c r="N111" s="5"/>
      <c r="O111" s="5"/>
      <c r="P111" s="5"/>
      <c r="Q111" s="5"/>
      <c r="R111" s="5">
        <f t="shared" si="271"/>
        <v>86163.898099999977</v>
      </c>
      <c r="T111" s="62">
        <f>'26-27'!T111*1.015</f>
        <v>86163.898099999977</v>
      </c>
      <c r="U111" s="5"/>
      <c r="V111" s="5"/>
      <c r="W111" s="5"/>
      <c r="X111" s="5"/>
      <c r="Y111" s="5"/>
      <c r="Z111" s="5"/>
      <c r="AA111" s="5">
        <f t="shared" si="272"/>
        <v>86163.898099999977</v>
      </c>
      <c r="AC111" s="62">
        <f>'26-27'!AC111*1.015</f>
        <v>168019.60129499994</v>
      </c>
      <c r="AD111" s="11"/>
      <c r="AE111" s="5"/>
      <c r="AF111" s="5"/>
      <c r="AG111" s="5"/>
      <c r="AH111" s="5"/>
      <c r="AI111" s="5"/>
      <c r="AJ111" s="5">
        <f t="shared" si="273"/>
        <v>168019.60129499994</v>
      </c>
      <c r="AL111" s="62">
        <f>'26-27'!AL111*1.015</f>
        <v>175774.35212399991</v>
      </c>
      <c r="AM111" s="11"/>
      <c r="AN111" s="5"/>
      <c r="AO111" s="5"/>
      <c r="AP111" s="5"/>
      <c r="AQ111" s="5"/>
      <c r="AR111" s="5"/>
      <c r="AS111" s="5">
        <f t="shared" si="274"/>
        <v>175774.35212399991</v>
      </c>
      <c r="AU111" s="62">
        <f>'26-27'!AU111*1.015</f>
        <v>91549.141731249969</v>
      </c>
      <c r="AV111" s="11"/>
      <c r="AW111" s="5"/>
      <c r="AX111" s="5"/>
      <c r="AY111" s="5"/>
      <c r="AZ111" s="5"/>
      <c r="BA111" s="5"/>
      <c r="BB111" s="5">
        <f t="shared" si="275"/>
        <v>91549.141731249969</v>
      </c>
      <c r="BD111" s="62">
        <f>'26-27'!BD111*1.015</f>
        <v>0</v>
      </c>
      <c r="BE111" s="11"/>
      <c r="BF111" s="5"/>
      <c r="BG111" s="5"/>
      <c r="BH111" s="5"/>
      <c r="BI111" s="5"/>
      <c r="BJ111" s="5"/>
      <c r="BK111" s="5">
        <f t="shared" si="276"/>
        <v>0</v>
      </c>
      <c r="BM111" s="62">
        <f>'26-27'!BM111*1.015</f>
        <v>96934.385362499961</v>
      </c>
      <c r="BN111" s="11"/>
      <c r="BO111" s="5"/>
      <c r="BP111" s="5"/>
      <c r="BQ111" s="5"/>
      <c r="BR111" s="5"/>
      <c r="BS111" s="5"/>
      <c r="BT111" s="5">
        <f t="shared" si="277"/>
        <v>96934.385362499961</v>
      </c>
      <c r="BV111" s="5">
        <f t="shared" si="278"/>
        <v>791307.6991758747</v>
      </c>
      <c r="BW111" s="5">
        <f t="shared" si="278"/>
        <v>0</v>
      </c>
      <c r="BX111" s="5">
        <f t="shared" si="278"/>
        <v>0</v>
      </c>
      <c r="BY111" s="5">
        <f t="shared" si="278"/>
        <v>0</v>
      </c>
      <c r="BZ111" s="5">
        <f t="shared" si="278"/>
        <v>0</v>
      </c>
      <c r="CA111" s="5">
        <f t="shared" si="278"/>
        <v>0</v>
      </c>
      <c r="CB111" s="5"/>
      <c r="CC111" s="5">
        <f t="shared" si="279"/>
        <v>791307.6991758747</v>
      </c>
    </row>
    <row r="112" spans="1:81">
      <c r="A112" s="29" t="s">
        <v>101</v>
      </c>
      <c r="B112" s="62">
        <f>'26-27'!B112*1.015</f>
        <v>0</v>
      </c>
      <c r="C112" s="11"/>
      <c r="D112" s="5"/>
      <c r="E112" s="5"/>
      <c r="F112" s="11"/>
      <c r="G112" s="5"/>
      <c r="H112" s="5"/>
      <c r="I112" s="5">
        <f t="shared" si="270"/>
        <v>0</v>
      </c>
      <c r="K112" s="62">
        <f>'26-27'!K112*1.015</f>
        <v>86163.898099999977</v>
      </c>
      <c r="L112" s="11"/>
      <c r="M112" s="5"/>
      <c r="N112" s="5"/>
      <c r="O112" s="5"/>
      <c r="P112" s="5"/>
      <c r="Q112" s="5"/>
      <c r="R112" s="5">
        <f t="shared" si="271"/>
        <v>86163.898099999977</v>
      </c>
      <c r="T112" s="62">
        <f>'26-27'!T112*1.015</f>
        <v>86163.898099999977</v>
      </c>
      <c r="U112" s="5"/>
      <c r="V112" s="5"/>
      <c r="W112" s="5"/>
      <c r="X112" s="5"/>
      <c r="Y112" s="5"/>
      <c r="Z112" s="5"/>
      <c r="AA112" s="5">
        <f t="shared" si="272"/>
        <v>86163.898099999977</v>
      </c>
      <c r="AC112" s="62">
        <f>'26-27'!AC112*1.015</f>
        <v>336039.20258999988</v>
      </c>
      <c r="AD112" s="11"/>
      <c r="AE112" s="5"/>
      <c r="AF112" s="5"/>
      <c r="AG112" s="5"/>
      <c r="AH112" s="5"/>
      <c r="AI112" s="5"/>
      <c r="AJ112" s="5">
        <f t="shared" si="273"/>
        <v>336039.20258999988</v>
      </c>
      <c r="AL112" s="62">
        <f>'26-27'!AL112*1.015</f>
        <v>248152.0265279999</v>
      </c>
      <c r="AM112" s="11"/>
      <c r="AN112" s="5"/>
      <c r="AO112" s="5"/>
      <c r="AP112" s="5"/>
      <c r="AQ112" s="5"/>
      <c r="AR112" s="5"/>
      <c r="AS112" s="5">
        <f t="shared" si="274"/>
        <v>248152.0265279999</v>
      </c>
      <c r="AU112" s="62">
        <f>'26-27'!AU112*1.015</f>
        <v>0</v>
      </c>
      <c r="AV112" s="11"/>
      <c r="AW112" s="5"/>
      <c r="AX112" s="5"/>
      <c r="AY112" s="5"/>
      <c r="AZ112" s="5"/>
      <c r="BA112" s="5"/>
      <c r="BB112" s="5">
        <f t="shared" si="275"/>
        <v>0</v>
      </c>
      <c r="BD112" s="62">
        <f>'26-27'!BD112*1.015</f>
        <v>0</v>
      </c>
      <c r="BE112" s="11"/>
      <c r="BF112" s="5"/>
      <c r="BG112" s="5"/>
      <c r="BH112" s="5"/>
      <c r="BI112" s="5"/>
      <c r="BJ112" s="5"/>
      <c r="BK112" s="5">
        <f t="shared" si="276"/>
        <v>0</v>
      </c>
      <c r="BM112" s="62">
        <f>'26-27'!BM112*1.015</f>
        <v>0</v>
      </c>
      <c r="BN112" s="11"/>
      <c r="BO112" s="5"/>
      <c r="BP112" s="5"/>
      <c r="BQ112" s="5"/>
      <c r="BR112" s="5"/>
      <c r="BS112" s="5"/>
      <c r="BT112" s="5">
        <f t="shared" si="277"/>
        <v>0</v>
      </c>
      <c r="BV112" s="5">
        <f t="shared" si="278"/>
        <v>756519.02531799977</v>
      </c>
      <c r="BW112" s="5">
        <f t="shared" si="278"/>
        <v>0</v>
      </c>
      <c r="BX112" s="5">
        <f t="shared" si="278"/>
        <v>0</v>
      </c>
      <c r="BY112" s="5">
        <f t="shared" si="278"/>
        <v>0</v>
      </c>
      <c r="BZ112" s="5">
        <f t="shared" si="278"/>
        <v>0</v>
      </c>
      <c r="CA112" s="5">
        <f t="shared" si="278"/>
        <v>0</v>
      </c>
      <c r="CB112" s="5"/>
      <c r="CC112" s="5">
        <f t="shared" si="279"/>
        <v>756519.02531799977</v>
      </c>
    </row>
    <row r="113" spans="1:81">
      <c r="A113" s="29" t="s">
        <v>102</v>
      </c>
      <c r="B113" s="62">
        <f>'26-27'!B113*1.015</f>
        <v>0</v>
      </c>
      <c r="C113" s="11"/>
      <c r="D113" s="5"/>
      <c r="E113" s="5"/>
      <c r="F113" s="5"/>
      <c r="G113" s="5"/>
      <c r="H113" s="5"/>
      <c r="I113" s="5">
        <f t="shared" si="270"/>
        <v>0</v>
      </c>
      <c r="K113" s="62">
        <f>'26-27'!K113*1.015</f>
        <v>0</v>
      </c>
      <c r="L113" s="11"/>
      <c r="M113" s="5"/>
      <c r="N113" s="5"/>
      <c r="O113" s="5"/>
      <c r="P113" s="5"/>
      <c r="Q113" s="5"/>
      <c r="R113" s="5">
        <f t="shared" si="271"/>
        <v>0</v>
      </c>
      <c r="T113" s="62">
        <f>'26-27'!T113*1.015</f>
        <v>0</v>
      </c>
      <c r="U113" s="5"/>
      <c r="V113" s="5"/>
      <c r="W113" s="5"/>
      <c r="X113" s="5"/>
      <c r="Y113" s="5"/>
      <c r="Z113" s="5"/>
      <c r="AA113" s="5">
        <f t="shared" si="272"/>
        <v>0</v>
      </c>
      <c r="AC113" s="62">
        <f>'26-27'!AC113*1.015</f>
        <v>71085.215932499981</v>
      </c>
      <c r="AD113" s="11"/>
      <c r="AE113" s="5"/>
      <c r="AF113" s="5"/>
      <c r="AG113" s="5"/>
      <c r="AH113" s="5"/>
      <c r="AI113" s="5"/>
      <c r="AJ113" s="5">
        <f t="shared" si="273"/>
        <v>71085.215932499981</v>
      </c>
      <c r="AL113" s="62">
        <f>'26-27'!AL113*1.015</f>
        <v>0</v>
      </c>
      <c r="AM113" s="11"/>
      <c r="AN113" s="5"/>
      <c r="AO113" s="5"/>
      <c r="AP113" s="5"/>
      <c r="AQ113" s="5"/>
      <c r="AR113" s="5"/>
      <c r="AS113" s="5">
        <f t="shared" si="274"/>
        <v>0</v>
      </c>
      <c r="AU113" s="62">
        <f>'26-27'!AU113*1.015</f>
        <v>0</v>
      </c>
      <c r="AV113" s="11"/>
      <c r="AW113" s="5"/>
      <c r="AX113" s="5"/>
      <c r="AY113" s="5"/>
      <c r="AZ113" s="5"/>
      <c r="BA113" s="5"/>
      <c r="BB113" s="5">
        <f t="shared" si="275"/>
        <v>0</v>
      </c>
      <c r="BD113" s="62">
        <f>'26-27'!BD113*1.015</f>
        <v>0</v>
      </c>
      <c r="BE113" s="11"/>
      <c r="BF113" s="5"/>
      <c r="BG113" s="5"/>
      <c r="BH113" s="5"/>
      <c r="BI113" s="5"/>
      <c r="BJ113" s="5"/>
      <c r="BK113" s="5">
        <f t="shared" si="276"/>
        <v>0</v>
      </c>
      <c r="BM113" s="62">
        <f>'26-27'!BM113*1.015</f>
        <v>0</v>
      </c>
      <c r="BN113" s="11"/>
      <c r="BO113" s="5"/>
      <c r="BP113" s="5"/>
      <c r="BQ113" s="5"/>
      <c r="BR113" s="5"/>
      <c r="BS113" s="5"/>
      <c r="BT113" s="5">
        <f t="shared" si="277"/>
        <v>0</v>
      </c>
      <c r="BV113" s="5">
        <f t="shared" si="278"/>
        <v>71085.215932499981</v>
      </c>
      <c r="BW113" s="5">
        <f t="shared" si="278"/>
        <v>0</v>
      </c>
      <c r="BX113" s="5">
        <f t="shared" si="278"/>
        <v>0</v>
      </c>
      <c r="BY113" s="5">
        <f t="shared" si="278"/>
        <v>0</v>
      </c>
      <c r="BZ113" s="5">
        <f t="shared" si="278"/>
        <v>0</v>
      </c>
      <c r="CA113" s="5">
        <f t="shared" si="278"/>
        <v>0</v>
      </c>
      <c r="CB113" s="5"/>
      <c r="CC113" s="5">
        <f t="shared" si="279"/>
        <v>71085.215932499981</v>
      </c>
    </row>
    <row r="114" spans="1:81">
      <c r="A114" s="29" t="s">
        <v>103</v>
      </c>
      <c r="B114" s="11">
        <f>63000*(B36-B35)</f>
        <v>2646000</v>
      </c>
      <c r="C114" s="11"/>
      <c r="D114" s="5"/>
      <c r="E114" s="5"/>
      <c r="F114" s="5"/>
      <c r="G114" s="5"/>
      <c r="H114" s="5"/>
      <c r="I114" s="5">
        <f t="shared" si="270"/>
        <v>2646000</v>
      </c>
      <c r="J114" s="14">
        <f>60050*1.015</f>
        <v>60950.749999999993</v>
      </c>
      <c r="K114" s="11">
        <f>63000*(K36-K35)</f>
        <v>2709000</v>
      </c>
      <c r="L114" s="11"/>
      <c r="M114" s="5"/>
      <c r="N114" s="5"/>
      <c r="O114" s="5"/>
      <c r="P114" s="5"/>
      <c r="Q114" s="5"/>
      <c r="R114" s="5">
        <f t="shared" si="271"/>
        <v>2709000</v>
      </c>
      <c r="T114" s="5">
        <f>63000*(T36-T35)</f>
        <v>3402000</v>
      </c>
      <c r="U114" s="5"/>
      <c r="V114" s="5"/>
      <c r="W114" s="5"/>
      <c r="X114" s="5"/>
      <c r="Y114" s="5"/>
      <c r="Z114" s="5"/>
      <c r="AA114" s="5">
        <f t="shared" si="272"/>
        <v>3402000</v>
      </c>
      <c r="AC114" s="11">
        <f>66500*(AC36-AC35)</f>
        <v>6716500</v>
      </c>
      <c r="AD114" s="11"/>
      <c r="AE114" s="5"/>
      <c r="AF114" s="5"/>
      <c r="AG114" s="5"/>
      <c r="AH114" s="5"/>
      <c r="AI114" s="5"/>
      <c r="AJ114" s="5">
        <f t="shared" si="273"/>
        <v>6716500</v>
      </c>
      <c r="AK114" s="7">
        <f>63500*1.015</f>
        <v>64452.499999999993</v>
      </c>
      <c r="AL114" s="11">
        <f>65000*(AL36-AL35)</f>
        <v>6240000</v>
      </c>
      <c r="AM114" s="11"/>
      <c r="AN114" s="5"/>
      <c r="AO114" s="5"/>
      <c r="AP114" s="5"/>
      <c r="AQ114" s="5"/>
      <c r="AR114" s="5"/>
      <c r="AS114" s="5">
        <f t="shared" si="274"/>
        <v>6240000</v>
      </c>
      <c r="AU114" s="11">
        <f>60000*(AU36-AU35)</f>
        <v>0</v>
      </c>
      <c r="AV114" s="11"/>
      <c r="AW114" s="5"/>
      <c r="AX114" s="5"/>
      <c r="AY114" s="5"/>
      <c r="AZ114" s="5"/>
      <c r="BA114" s="5"/>
      <c r="BB114" s="5">
        <f t="shared" si="275"/>
        <v>0</v>
      </c>
      <c r="BD114" s="11">
        <f>65000*(BD36-BD35)</f>
        <v>1495000</v>
      </c>
      <c r="BE114" s="11"/>
      <c r="BF114" s="5"/>
      <c r="BG114" s="5"/>
      <c r="BH114" s="5"/>
      <c r="BI114" s="5"/>
      <c r="BJ114" s="5"/>
      <c r="BK114" s="5">
        <f t="shared" si="276"/>
        <v>1495000</v>
      </c>
      <c r="BM114" s="62">
        <f>'26-27'!BM114*1.015</f>
        <v>84177.109187499969</v>
      </c>
      <c r="BN114" s="11"/>
      <c r="BO114" s="5"/>
      <c r="BP114" s="5"/>
      <c r="BQ114" s="5"/>
      <c r="BR114" s="5"/>
      <c r="BS114" s="5"/>
      <c r="BT114" s="5">
        <f t="shared" si="277"/>
        <v>84177.109187499969</v>
      </c>
      <c r="BV114" s="5">
        <f t="shared" si="278"/>
        <v>23292677.109187499</v>
      </c>
      <c r="BW114" s="5">
        <f t="shared" si="278"/>
        <v>0</v>
      </c>
      <c r="BX114" s="5">
        <f t="shared" si="278"/>
        <v>0</v>
      </c>
      <c r="BY114" s="5">
        <f t="shared" si="278"/>
        <v>0</v>
      </c>
      <c r="BZ114" s="5">
        <f t="shared" si="278"/>
        <v>0</v>
      </c>
      <c r="CA114" s="5">
        <f t="shared" si="278"/>
        <v>0</v>
      </c>
      <c r="CB114" s="5"/>
      <c r="CC114" s="5">
        <f t="shared" si="279"/>
        <v>23292677.109187499</v>
      </c>
    </row>
    <row r="115" spans="1:81">
      <c r="A115" s="29" t="s">
        <v>30</v>
      </c>
      <c r="B115" s="11"/>
      <c r="C115" s="11">
        <f>63000*C36</f>
        <v>315000</v>
      </c>
      <c r="D115" s="5"/>
      <c r="E115" s="5"/>
      <c r="F115" s="5"/>
      <c r="G115" s="5"/>
      <c r="H115" s="5"/>
      <c r="I115" s="5">
        <f t="shared" si="270"/>
        <v>315000</v>
      </c>
      <c r="K115" s="11"/>
      <c r="L115" s="11">
        <f>63000*L36</f>
        <v>252000</v>
      </c>
      <c r="M115" s="5"/>
      <c r="N115" s="5"/>
      <c r="O115" s="5"/>
      <c r="P115" s="5"/>
      <c r="Q115" s="5"/>
      <c r="R115" s="5">
        <f t="shared" si="271"/>
        <v>252000</v>
      </c>
      <c r="T115" s="5"/>
      <c r="U115" s="5">
        <f>63000*U36</f>
        <v>315000</v>
      </c>
      <c r="V115" s="5"/>
      <c r="W115" s="5"/>
      <c r="X115" s="5"/>
      <c r="Y115" s="5"/>
      <c r="Z115" s="5"/>
      <c r="AA115" s="5">
        <f t="shared" si="272"/>
        <v>315000</v>
      </c>
      <c r="AC115" s="11"/>
      <c r="AD115" s="11">
        <f>66500*AD36</f>
        <v>864500</v>
      </c>
      <c r="AE115" s="5"/>
      <c r="AF115" s="5"/>
      <c r="AG115" s="5"/>
      <c r="AH115" s="5"/>
      <c r="AI115" s="5"/>
      <c r="AJ115" s="5">
        <f t="shared" si="273"/>
        <v>864500</v>
      </c>
      <c r="AL115" s="11"/>
      <c r="AM115" s="11">
        <f>65000*AM36</f>
        <v>780000</v>
      </c>
      <c r="AN115" s="5"/>
      <c r="AO115" s="5"/>
      <c r="AP115" s="5"/>
      <c r="AQ115" s="5"/>
      <c r="AR115" s="5"/>
      <c r="AS115" s="5">
        <f t="shared" si="274"/>
        <v>780000</v>
      </c>
      <c r="AU115" s="11"/>
      <c r="AV115" s="62">
        <f>'26-27'!AV115*1.015</f>
        <v>84467.546356156236</v>
      </c>
      <c r="AW115" s="5"/>
      <c r="AX115" s="5"/>
      <c r="AY115" s="5"/>
      <c r="AZ115" s="5"/>
      <c r="BA115" s="5"/>
      <c r="BB115" s="5">
        <f t="shared" si="275"/>
        <v>84467.546356156236</v>
      </c>
      <c r="BD115" s="11"/>
      <c r="BE115" s="11">
        <f>65000*BE36</f>
        <v>65000</v>
      </c>
      <c r="BF115" s="5"/>
      <c r="BG115" s="5"/>
      <c r="BH115" s="5"/>
      <c r="BI115" s="5"/>
      <c r="BJ115" s="5"/>
      <c r="BK115" s="5">
        <f t="shared" si="276"/>
        <v>65000</v>
      </c>
      <c r="BM115" s="11"/>
      <c r="BN115" s="11">
        <f>60000*BN36</f>
        <v>0</v>
      </c>
      <c r="BO115" s="5"/>
      <c r="BP115" s="5"/>
      <c r="BQ115" s="5"/>
      <c r="BR115" s="5"/>
      <c r="BS115" s="5"/>
      <c r="BT115" s="5">
        <f t="shared" si="277"/>
        <v>0</v>
      </c>
      <c r="BV115" s="5">
        <f t="shared" si="278"/>
        <v>0</v>
      </c>
      <c r="BW115" s="5">
        <f t="shared" si="278"/>
        <v>2675967.5463561565</v>
      </c>
      <c r="BX115" s="5">
        <f t="shared" si="278"/>
        <v>0</v>
      </c>
      <c r="BY115" s="5">
        <f t="shared" si="278"/>
        <v>0</v>
      </c>
      <c r="BZ115" s="5">
        <f t="shared" si="278"/>
        <v>0</v>
      </c>
      <c r="CA115" s="5">
        <f t="shared" si="278"/>
        <v>0</v>
      </c>
      <c r="CB115" s="5"/>
      <c r="CC115" s="5">
        <f t="shared" si="279"/>
        <v>2675967.5463561565</v>
      </c>
    </row>
    <row r="116" spans="1:81">
      <c r="A116" s="29" t="s">
        <v>104</v>
      </c>
      <c r="B116" s="62">
        <f>'26-27'!B116*1.015</f>
        <v>153576.69157949995</v>
      </c>
      <c r="C116" s="11"/>
      <c r="D116" s="5"/>
      <c r="E116" s="5"/>
      <c r="F116" s="5"/>
      <c r="G116" s="5"/>
      <c r="H116" s="5"/>
      <c r="I116" s="5">
        <f t="shared" si="270"/>
        <v>153576.69157949995</v>
      </c>
      <c r="K116" s="62">
        <f>'26-27'!K116*1.015</f>
        <v>134415.68103599997</v>
      </c>
      <c r="L116" s="11"/>
      <c r="M116" s="5"/>
      <c r="N116" s="5"/>
      <c r="O116" s="5"/>
      <c r="P116" s="5"/>
      <c r="Q116" s="5"/>
      <c r="R116" s="5">
        <f t="shared" si="271"/>
        <v>134415.68103599997</v>
      </c>
      <c r="T116" s="62">
        <f>'26-27'!T116*1.015</f>
        <v>120082.31658706497</v>
      </c>
      <c r="U116" s="5"/>
      <c r="V116" s="5"/>
      <c r="W116" s="5"/>
      <c r="X116" s="5"/>
      <c r="Y116" s="5"/>
      <c r="Z116" s="5"/>
      <c r="AA116" s="5">
        <f t="shared" si="272"/>
        <v>120082.31658706497</v>
      </c>
      <c r="AC116" s="62">
        <f>'26-27'!AC116*1.015</f>
        <v>258491.69429999992</v>
      </c>
      <c r="AD116" s="11"/>
      <c r="AE116" s="5"/>
      <c r="AF116" s="5"/>
      <c r="AG116" s="5"/>
      <c r="AH116" s="5"/>
      <c r="AI116" s="5"/>
      <c r="AJ116" s="5">
        <f t="shared" si="273"/>
        <v>258491.69429999992</v>
      </c>
      <c r="AL116" s="62">
        <f>'26-27'!AL116*1.015</f>
        <v>226058.93382099993</v>
      </c>
      <c r="AM116" s="11"/>
      <c r="AN116" s="5"/>
      <c r="AO116" s="5"/>
      <c r="AP116" s="5"/>
      <c r="AQ116" s="5"/>
      <c r="AR116" s="5"/>
      <c r="AS116" s="5">
        <f t="shared" si="274"/>
        <v>226058.93382099993</v>
      </c>
      <c r="AU116" s="11">
        <v>0</v>
      </c>
      <c r="AV116" s="11"/>
      <c r="AW116" s="5"/>
      <c r="AX116" s="5"/>
      <c r="AY116" s="5"/>
      <c r="AZ116" s="5"/>
      <c r="BA116" s="5"/>
      <c r="BB116" s="5">
        <f t="shared" si="275"/>
        <v>0</v>
      </c>
      <c r="BD116" s="62">
        <f>'26-27'!BD116*1.015</f>
        <v>53852.43631249998</v>
      </c>
      <c r="BE116" s="11"/>
      <c r="BF116" s="5"/>
      <c r="BG116" s="5"/>
      <c r="BH116" s="5"/>
      <c r="BI116" s="5"/>
      <c r="BJ116" s="5"/>
      <c r="BK116" s="5">
        <f t="shared" si="276"/>
        <v>53852.43631249998</v>
      </c>
      <c r="BM116" s="62">
        <f>'26-27'!BM116*1.015</f>
        <v>96934.385362499961</v>
      </c>
      <c r="BN116" s="11"/>
      <c r="BO116" s="5"/>
      <c r="BP116" s="5"/>
      <c r="BQ116" s="5"/>
      <c r="BR116" s="5"/>
      <c r="BS116" s="5"/>
      <c r="BT116" s="5">
        <f t="shared" si="277"/>
        <v>96934.385362499961</v>
      </c>
      <c r="BV116" s="5">
        <f t="shared" si="278"/>
        <v>1043412.1389985647</v>
      </c>
      <c r="BW116" s="5">
        <f t="shared" si="278"/>
        <v>0</v>
      </c>
      <c r="BX116" s="5">
        <f t="shared" si="278"/>
        <v>0</v>
      </c>
      <c r="BY116" s="5">
        <f t="shared" si="278"/>
        <v>0</v>
      </c>
      <c r="BZ116" s="5">
        <f t="shared" si="278"/>
        <v>0</v>
      </c>
      <c r="CA116" s="5">
        <f t="shared" si="278"/>
        <v>0</v>
      </c>
      <c r="CB116" s="5"/>
      <c r="CC116" s="5">
        <f t="shared" si="279"/>
        <v>1043412.1389985647</v>
      </c>
    </row>
    <row r="117" spans="1:81">
      <c r="A117" s="29" t="s">
        <v>105</v>
      </c>
      <c r="B117" s="11">
        <f>(20.75*8*190)*(B48+B49)</f>
        <v>94620</v>
      </c>
      <c r="C117" s="11"/>
      <c r="D117" s="5"/>
      <c r="E117" s="5"/>
      <c r="F117" s="5"/>
      <c r="G117" s="5"/>
      <c r="H117" s="5"/>
      <c r="I117" s="5">
        <f t="shared" si="270"/>
        <v>94620</v>
      </c>
      <c r="K117" s="11">
        <f>(20.75*8*190)*(K48+K49)</f>
        <v>94620</v>
      </c>
      <c r="L117" s="11"/>
      <c r="M117" s="5"/>
      <c r="N117" s="5"/>
      <c r="O117" s="5"/>
      <c r="P117" s="5"/>
      <c r="Q117" s="5"/>
      <c r="R117" s="5">
        <f t="shared" si="271"/>
        <v>94620</v>
      </c>
      <c r="T117" s="11">
        <f>(20.75*8*185)*(T48+T49)</f>
        <v>92130</v>
      </c>
      <c r="U117" s="5"/>
      <c r="V117" s="5"/>
      <c r="W117" s="5"/>
      <c r="X117" s="5"/>
      <c r="Y117" s="5"/>
      <c r="Z117" s="5"/>
      <c r="AA117" s="5">
        <f t="shared" si="272"/>
        <v>92130</v>
      </c>
      <c r="AC117" s="11">
        <f>(21.75*8*190)*(AC48+AC49)</f>
        <v>264480</v>
      </c>
      <c r="AD117" s="11"/>
      <c r="AE117" s="5"/>
      <c r="AF117" s="5"/>
      <c r="AG117" s="5"/>
      <c r="AH117" s="5"/>
      <c r="AI117" s="5"/>
      <c r="AJ117" s="5">
        <f t="shared" si="273"/>
        <v>264480</v>
      </c>
      <c r="AL117" s="11">
        <f>(20.75*8*190)*(AL48+AL49)</f>
        <v>189240</v>
      </c>
      <c r="AM117" s="11"/>
      <c r="AN117" s="5"/>
      <c r="AO117" s="5"/>
      <c r="AP117" s="5"/>
      <c r="AQ117" s="5"/>
      <c r="AR117" s="5"/>
      <c r="AS117" s="5">
        <f t="shared" si="274"/>
        <v>189240</v>
      </c>
      <c r="AU117" s="11">
        <f>(23*8*190)*(AU48+AU49)</f>
        <v>0</v>
      </c>
      <c r="AV117" s="11"/>
      <c r="AW117" s="5"/>
      <c r="AX117" s="5"/>
      <c r="AY117" s="5"/>
      <c r="AZ117" s="5"/>
      <c r="BA117" s="5"/>
      <c r="BB117" s="5">
        <f t="shared" si="275"/>
        <v>0</v>
      </c>
      <c r="BD117" s="11">
        <f>(21.75*8*190)*(BD48+BD49)</f>
        <v>33060</v>
      </c>
      <c r="BE117" s="11"/>
      <c r="BF117" s="5"/>
      <c r="BG117" s="5"/>
      <c r="BH117" s="5"/>
      <c r="BI117" s="5"/>
      <c r="BJ117" s="5"/>
      <c r="BK117" s="5">
        <f t="shared" si="276"/>
        <v>33060</v>
      </c>
      <c r="BM117" s="11">
        <f>(23*8*190)*(BM48+BM49)</f>
        <v>0</v>
      </c>
      <c r="BN117" s="11"/>
      <c r="BO117" s="5"/>
      <c r="BP117" s="5"/>
      <c r="BQ117" s="5"/>
      <c r="BR117" s="5"/>
      <c r="BS117" s="5"/>
      <c r="BT117" s="5">
        <f t="shared" si="277"/>
        <v>0</v>
      </c>
      <c r="BV117" s="5">
        <f t="shared" si="278"/>
        <v>768150</v>
      </c>
      <c r="BW117" s="5">
        <f t="shared" si="278"/>
        <v>0</v>
      </c>
      <c r="BX117" s="5">
        <f t="shared" si="278"/>
        <v>0</v>
      </c>
      <c r="BY117" s="5">
        <f t="shared" si="278"/>
        <v>0</v>
      </c>
      <c r="BZ117" s="5">
        <f t="shared" si="278"/>
        <v>0</v>
      </c>
      <c r="CA117" s="5">
        <f t="shared" si="278"/>
        <v>0</v>
      </c>
      <c r="CB117" s="5"/>
      <c r="CC117" s="5">
        <f t="shared" si="279"/>
        <v>768150</v>
      </c>
    </row>
    <row r="118" spans="1:81">
      <c r="A118" s="29" t="s">
        <v>106</v>
      </c>
      <c r="B118" s="11">
        <f>(20.75*7.55*180)*B50</f>
        <v>112797</v>
      </c>
      <c r="C118" s="11">
        <f>(20.75*8*180)*C50</f>
        <v>119520</v>
      </c>
      <c r="D118" s="11">
        <f>(20.75*8*180)*D50</f>
        <v>29880</v>
      </c>
      <c r="E118" s="11">
        <f t="shared" ref="E118" si="280">(19*8*180)*E50</f>
        <v>0</v>
      </c>
      <c r="F118" s="5"/>
      <c r="G118" s="5"/>
      <c r="H118" s="5"/>
      <c r="I118" s="5">
        <f t="shared" si="270"/>
        <v>262197</v>
      </c>
      <c r="K118" s="11">
        <f>(20.75*7.5*180)*K50</f>
        <v>196087.5</v>
      </c>
      <c r="L118" s="11">
        <f>(20.75*7.5*180)*L50</f>
        <v>112050</v>
      </c>
      <c r="M118" s="11">
        <f>(20.75*7.5*180)*M50</f>
        <v>28012.5</v>
      </c>
      <c r="N118" s="11">
        <f t="shared" ref="N118" si="281">(19*8*180)*N50</f>
        <v>0</v>
      </c>
      <c r="O118" s="5">
        <f>(14*8*180)*O50</f>
        <v>0</v>
      </c>
      <c r="P118" s="5"/>
      <c r="Q118" s="5"/>
      <c r="R118" s="5">
        <f t="shared" si="271"/>
        <v>336150</v>
      </c>
      <c r="T118" s="5">
        <f>(20.75*8*180)*T50</f>
        <v>149400</v>
      </c>
      <c r="U118" s="5">
        <f>(20.75*8*180)*U50</f>
        <v>149400</v>
      </c>
      <c r="V118" s="5">
        <f>(20.75*8*180)*V50</f>
        <v>29880</v>
      </c>
      <c r="W118" s="5">
        <f t="shared" ref="W118:Z118" si="282">(19*8*180)*W50</f>
        <v>0</v>
      </c>
      <c r="X118" s="5">
        <f t="shared" si="282"/>
        <v>0</v>
      </c>
      <c r="Y118" s="5">
        <f t="shared" si="282"/>
        <v>0</v>
      </c>
      <c r="Z118" s="5">
        <f t="shared" si="282"/>
        <v>0</v>
      </c>
      <c r="AA118" s="5">
        <f t="shared" si="272"/>
        <v>328680</v>
      </c>
      <c r="AC118" s="11">
        <f>(21.75*7.92*180)*AC50</f>
        <v>341074.8</v>
      </c>
      <c r="AD118" s="11">
        <f>(21.75*8*180)*AD50</f>
        <v>407160</v>
      </c>
      <c r="AE118" s="11">
        <f>(21.75*6*180)*AE50</f>
        <v>70470</v>
      </c>
      <c r="AF118" s="11">
        <f t="shared" ref="AF118" si="283">(19*8*180)*AF50</f>
        <v>0</v>
      </c>
      <c r="AG118" s="5">
        <f>(14*8*180)*AG50</f>
        <v>0</v>
      </c>
      <c r="AH118" s="5"/>
      <c r="AI118" s="5"/>
      <c r="AJ118" s="5">
        <f t="shared" si="273"/>
        <v>818704.8</v>
      </c>
      <c r="AL118" s="11">
        <f>(20.75*8*180)*AL50</f>
        <v>149400</v>
      </c>
      <c r="AM118" s="11">
        <f>(20.75*8*180)*AM50</f>
        <v>358560</v>
      </c>
      <c r="AN118" s="11">
        <f>(20.75*6*180)*AN50</f>
        <v>67230</v>
      </c>
      <c r="AO118" s="11">
        <f t="shared" ref="AO118" si="284">(20*8*180)*AO50</f>
        <v>0</v>
      </c>
      <c r="AP118" s="5">
        <f>(14*8*180)*AP50</f>
        <v>0</v>
      </c>
      <c r="AQ118" s="5"/>
      <c r="AR118" s="5"/>
      <c r="AS118" s="5">
        <f t="shared" si="274"/>
        <v>575190</v>
      </c>
      <c r="AU118" s="11">
        <f>(21.75*7.5*180)*AU50</f>
        <v>58725</v>
      </c>
      <c r="AV118" s="11">
        <f>(21.75*7.5*180)*AV50</f>
        <v>29362.5</v>
      </c>
      <c r="AW118" s="11">
        <f t="shared" ref="AW118:AY118" si="285">(19*8*180)*AW50</f>
        <v>0</v>
      </c>
      <c r="AX118" s="11">
        <f t="shared" si="285"/>
        <v>0</v>
      </c>
      <c r="AY118" s="11">
        <f t="shared" si="285"/>
        <v>0</v>
      </c>
      <c r="AZ118" s="5"/>
      <c r="BA118" s="5"/>
      <c r="BB118" s="5">
        <f t="shared" si="275"/>
        <v>88087.5</v>
      </c>
      <c r="BD118" s="11">
        <f>(21.75*8*180)*BD50</f>
        <v>93960</v>
      </c>
      <c r="BE118" s="11">
        <f t="shared" ref="BE118:BJ118" si="286">(20*8*180)*BE50</f>
        <v>28800</v>
      </c>
      <c r="BF118" s="11">
        <f t="shared" si="286"/>
        <v>0</v>
      </c>
      <c r="BG118" s="11">
        <f t="shared" si="286"/>
        <v>0</v>
      </c>
      <c r="BH118" s="11">
        <f>(20*8*180)*BH50</f>
        <v>0</v>
      </c>
      <c r="BI118" s="11">
        <f t="shared" si="286"/>
        <v>0</v>
      </c>
      <c r="BJ118" s="11">
        <f t="shared" si="286"/>
        <v>0</v>
      </c>
      <c r="BK118" s="5">
        <f t="shared" si="276"/>
        <v>122760</v>
      </c>
      <c r="BM118" s="11">
        <f>27*3*185</f>
        <v>14985</v>
      </c>
      <c r="BN118" s="11">
        <f t="shared" ref="BN118:BO118" si="287">(18*8*180)*BN50</f>
        <v>0</v>
      </c>
      <c r="BO118" s="11">
        <f t="shared" si="287"/>
        <v>0</v>
      </c>
      <c r="BP118" s="5"/>
      <c r="BQ118" s="5">
        <f>(14*8*180)*BQ50</f>
        <v>0</v>
      </c>
      <c r="BR118" s="5"/>
      <c r="BS118" s="5"/>
      <c r="BT118" s="5">
        <f t="shared" si="277"/>
        <v>14985</v>
      </c>
      <c r="BV118" s="5">
        <f t="shared" si="278"/>
        <v>1116429.3</v>
      </c>
      <c r="BW118" s="5">
        <f t="shared" si="278"/>
        <v>1204852.5</v>
      </c>
      <c r="BX118" s="5">
        <f t="shared" si="278"/>
        <v>225472.5</v>
      </c>
      <c r="BY118" s="5">
        <f t="shared" si="278"/>
        <v>0</v>
      </c>
      <c r="BZ118" s="5">
        <f t="shared" si="278"/>
        <v>0</v>
      </c>
      <c r="CA118" s="5">
        <f t="shared" si="278"/>
        <v>0</v>
      </c>
      <c r="CB118" s="5"/>
      <c r="CC118" s="5">
        <f t="shared" si="279"/>
        <v>2546754.2999999998</v>
      </c>
    </row>
    <row r="119" spans="1:81">
      <c r="A119" s="29" t="s">
        <v>107</v>
      </c>
      <c r="B119" s="11">
        <f>(26.75*8*240)+(22*8*240)</f>
        <v>93600</v>
      </c>
      <c r="C119" s="11"/>
      <c r="D119" s="5"/>
      <c r="E119" s="5"/>
      <c r="F119" s="5"/>
      <c r="G119" s="5"/>
      <c r="H119" s="5"/>
      <c r="I119" s="5">
        <f t="shared" si="270"/>
        <v>93600</v>
      </c>
      <c r="K119" s="11">
        <f>(22.75*8*240)*(K51)</f>
        <v>131040</v>
      </c>
      <c r="L119" s="11"/>
      <c r="M119" s="5"/>
      <c r="N119" s="5"/>
      <c r="O119" s="5"/>
      <c r="P119" s="5"/>
      <c r="Q119" s="5"/>
      <c r="R119" s="5">
        <f t="shared" si="271"/>
        <v>131040</v>
      </c>
      <c r="T119" s="11">
        <f>(23.75*8*240)*T51</f>
        <v>136800</v>
      </c>
      <c r="U119" s="5"/>
      <c r="V119" s="5"/>
      <c r="W119" s="5"/>
      <c r="X119" s="5"/>
      <c r="Y119" s="5"/>
      <c r="Z119" s="5"/>
      <c r="AA119" s="5">
        <f t="shared" si="272"/>
        <v>136800</v>
      </c>
      <c r="AC119" s="11">
        <f>((22.75*8*240)*AC51-1)+(60000*1.03*1.015*1.015*1.015)</f>
        <v>370381.92357499996</v>
      </c>
      <c r="AD119" s="11"/>
      <c r="AE119" s="5"/>
      <c r="AF119" s="5"/>
      <c r="AG119" s="5"/>
      <c r="AH119" s="5"/>
      <c r="AI119" s="5"/>
      <c r="AJ119" s="5">
        <f t="shared" si="273"/>
        <v>370381.92357499996</v>
      </c>
      <c r="AL119" s="11">
        <f>(21.75*8*240)*AL51</f>
        <v>334080</v>
      </c>
      <c r="AM119" s="11"/>
      <c r="AN119" s="5"/>
      <c r="AO119" s="5"/>
      <c r="AP119" s="5"/>
      <c r="AQ119" s="5"/>
      <c r="AR119" s="5"/>
      <c r="AS119" s="5">
        <f t="shared" si="274"/>
        <v>334080</v>
      </c>
      <c r="AU119" s="11">
        <f>(21*8*240)*AU51</f>
        <v>0</v>
      </c>
      <c r="AV119" s="11"/>
      <c r="AW119" s="5"/>
      <c r="AX119" s="5"/>
      <c r="AY119" s="5"/>
      <c r="AZ119" s="5"/>
      <c r="BA119" s="5"/>
      <c r="BB119" s="5">
        <f t="shared" si="275"/>
        <v>0</v>
      </c>
      <c r="BD119" s="62">
        <f>'26-27'!BD119*1.015</f>
        <v>59237.679943749987</v>
      </c>
      <c r="BE119" s="11"/>
      <c r="BF119" s="5"/>
      <c r="BG119" s="5"/>
      <c r="BH119" s="5"/>
      <c r="BI119" s="5"/>
      <c r="BJ119" s="5"/>
      <c r="BK119" s="5">
        <f t="shared" si="276"/>
        <v>59237.679943749987</v>
      </c>
      <c r="BM119" s="11">
        <f>(21*8*240)*BM51</f>
        <v>0</v>
      </c>
      <c r="BN119" s="11"/>
      <c r="BO119" s="5"/>
      <c r="BP119" s="5"/>
      <c r="BQ119" s="5"/>
      <c r="BR119" s="5"/>
      <c r="BS119" s="5"/>
      <c r="BT119" s="5">
        <f t="shared" si="277"/>
        <v>0</v>
      </c>
      <c r="BV119" s="5">
        <f t="shared" si="278"/>
        <v>1125139.6035187498</v>
      </c>
      <c r="BW119" s="5">
        <f t="shared" si="278"/>
        <v>0</v>
      </c>
      <c r="BX119" s="5">
        <f t="shared" si="278"/>
        <v>0</v>
      </c>
      <c r="BY119" s="5">
        <f t="shared" si="278"/>
        <v>0</v>
      </c>
      <c r="BZ119" s="5">
        <f t="shared" si="278"/>
        <v>0</v>
      </c>
      <c r="CA119" s="5">
        <f t="shared" si="278"/>
        <v>0</v>
      </c>
      <c r="CB119" s="5"/>
      <c r="CC119" s="5">
        <f t="shared" si="279"/>
        <v>1125139.6035187498</v>
      </c>
    </row>
    <row r="120" spans="1:81">
      <c r="A120" s="29" t="s">
        <v>53</v>
      </c>
      <c r="B120" s="11"/>
      <c r="C120" s="11"/>
      <c r="D120" s="5">
        <f>24*8*180</f>
        <v>34560</v>
      </c>
      <c r="E120" s="5"/>
      <c r="F120" s="5"/>
      <c r="G120" s="5"/>
      <c r="H120" s="5"/>
      <c r="I120" s="5">
        <f t="shared" si="270"/>
        <v>34560</v>
      </c>
      <c r="K120" s="11"/>
      <c r="L120" s="11"/>
      <c r="M120" s="62">
        <f>'26-27'!M120*1.015</f>
        <v>43081.949049999988</v>
      </c>
      <c r="N120" s="5"/>
      <c r="O120" s="5"/>
      <c r="P120" s="5"/>
      <c r="Q120" s="5"/>
      <c r="R120" s="5">
        <f t="shared" si="271"/>
        <v>43081.949049999988</v>
      </c>
      <c r="T120" s="5"/>
      <c r="U120" s="5"/>
      <c r="V120" s="5">
        <f>(23.75*8*180)*V52</f>
        <v>34200</v>
      </c>
      <c r="W120" s="5"/>
      <c r="X120" s="5"/>
      <c r="Y120" s="5"/>
      <c r="Z120" s="5"/>
      <c r="AA120" s="5">
        <f t="shared" si="272"/>
        <v>34200</v>
      </c>
      <c r="AC120" s="11"/>
      <c r="AD120" s="11"/>
      <c r="AE120" s="11">
        <f>(22.75*8*180)*AE52</f>
        <v>98280</v>
      </c>
      <c r="AF120" s="5"/>
      <c r="AG120" s="5"/>
      <c r="AH120" s="5"/>
      <c r="AI120" s="5"/>
      <c r="AJ120" s="5">
        <f t="shared" si="273"/>
        <v>98280</v>
      </c>
      <c r="AL120" s="11"/>
      <c r="AM120" s="11"/>
      <c r="AN120" s="11">
        <f>(21.75*8*180)*AN52</f>
        <v>31320</v>
      </c>
      <c r="AO120" s="5"/>
      <c r="AP120" s="5"/>
      <c r="AQ120" s="5"/>
      <c r="AR120" s="5"/>
      <c r="AS120" s="5">
        <f t="shared" si="274"/>
        <v>31320</v>
      </c>
      <c r="AU120" s="11"/>
      <c r="AV120" s="11"/>
      <c r="AW120" s="5">
        <v>0</v>
      </c>
      <c r="AX120" s="5"/>
      <c r="AY120" s="5"/>
      <c r="AZ120" s="5"/>
      <c r="BA120" s="5"/>
      <c r="BB120" s="5">
        <f t="shared" si="275"/>
        <v>0</v>
      </c>
      <c r="BD120" s="11"/>
      <c r="BE120" s="11"/>
      <c r="BF120" s="5">
        <f>20.75*8*180*BF52</f>
        <v>29880</v>
      </c>
      <c r="BG120" s="5"/>
      <c r="BH120" s="5"/>
      <c r="BI120" s="5"/>
      <c r="BJ120" s="5"/>
      <c r="BK120" s="5">
        <f t="shared" si="276"/>
        <v>29880</v>
      </c>
      <c r="BM120" s="11"/>
      <c r="BN120" s="11"/>
      <c r="BO120" s="5">
        <f>27*4*175</f>
        <v>18900</v>
      </c>
      <c r="BP120" s="5"/>
      <c r="BQ120" s="5"/>
      <c r="BR120" s="5"/>
      <c r="BS120" s="5"/>
      <c r="BT120" s="5">
        <f t="shared" si="277"/>
        <v>18900</v>
      </c>
      <c r="BV120" s="5">
        <f t="shared" si="278"/>
        <v>0</v>
      </c>
      <c r="BW120" s="5">
        <f t="shared" si="278"/>
        <v>0</v>
      </c>
      <c r="BX120" s="5">
        <f t="shared" si="278"/>
        <v>290221.94905</v>
      </c>
      <c r="BY120" s="5">
        <f t="shared" si="278"/>
        <v>0</v>
      </c>
      <c r="BZ120" s="5">
        <f t="shared" si="278"/>
        <v>0</v>
      </c>
      <c r="CA120" s="5">
        <f t="shared" si="278"/>
        <v>0</v>
      </c>
      <c r="CB120" s="5"/>
      <c r="CC120" s="5">
        <f t="shared" si="279"/>
        <v>290221.94905</v>
      </c>
    </row>
    <row r="121" spans="1:81" ht="15">
      <c r="A121" s="64" t="s">
        <v>108</v>
      </c>
      <c r="B121" s="65">
        <f>SUM(B107:B120)</f>
        <v>3687279.3655474945</v>
      </c>
      <c r="C121" s="65">
        <f t="shared" ref="C121:I121" si="288">SUM(C107:C120)</f>
        <v>434520</v>
      </c>
      <c r="D121" s="65">
        <f t="shared" si="288"/>
        <v>64440</v>
      </c>
      <c r="E121" s="65">
        <f t="shared" si="288"/>
        <v>0</v>
      </c>
      <c r="F121" s="65">
        <f t="shared" si="288"/>
        <v>0</v>
      </c>
      <c r="G121" s="65">
        <f t="shared" si="288"/>
        <v>0</v>
      </c>
      <c r="H121" s="65">
        <f t="shared" si="288"/>
        <v>0</v>
      </c>
      <c r="I121" s="65">
        <f t="shared" si="288"/>
        <v>4186239.3655474945</v>
      </c>
      <c r="J121" s="7"/>
      <c r="K121" s="65">
        <f>SUM(K107:K120)</f>
        <v>3945492.8565078015</v>
      </c>
      <c r="L121" s="65">
        <f t="shared" ref="L121:R121" si="289">SUM(L107:L120)</f>
        <v>364050</v>
      </c>
      <c r="M121" s="65">
        <f t="shared" si="289"/>
        <v>71094.449049999996</v>
      </c>
      <c r="N121" s="65"/>
      <c r="O121" s="65">
        <f t="shared" si="289"/>
        <v>0</v>
      </c>
      <c r="P121" s="65">
        <f t="shared" si="289"/>
        <v>0</v>
      </c>
      <c r="Q121" s="65">
        <f t="shared" si="289"/>
        <v>0</v>
      </c>
      <c r="R121" s="65">
        <f t="shared" si="289"/>
        <v>4380637.3055578014</v>
      </c>
      <c r="T121" s="65">
        <f>SUM(T107:T120)</f>
        <v>4663932.1586256903</v>
      </c>
      <c r="U121" s="65">
        <f t="shared" ref="U121:AA121" si="290">SUM(U107:U120)</f>
        <v>464400</v>
      </c>
      <c r="V121" s="65">
        <f t="shared" si="290"/>
        <v>64080</v>
      </c>
      <c r="W121" s="65"/>
      <c r="X121" s="65">
        <f t="shared" si="290"/>
        <v>0</v>
      </c>
      <c r="Y121" s="65">
        <f t="shared" si="290"/>
        <v>0</v>
      </c>
      <c r="Z121" s="65">
        <f t="shared" si="290"/>
        <v>0</v>
      </c>
      <c r="AA121" s="65">
        <f t="shared" si="290"/>
        <v>5192412.1586256903</v>
      </c>
      <c r="AC121" s="65">
        <f>SUM(AC107:AC120)</f>
        <v>9549053.3178847507</v>
      </c>
      <c r="AD121" s="65">
        <f t="shared" ref="AD121:AJ121" si="291">SUM(AD107:AD120)</f>
        <v>1271660</v>
      </c>
      <c r="AE121" s="65">
        <f t="shared" si="291"/>
        <v>168750</v>
      </c>
      <c r="AF121" s="65">
        <f t="shared" si="291"/>
        <v>0</v>
      </c>
      <c r="AG121" s="65">
        <f t="shared" si="291"/>
        <v>0</v>
      </c>
      <c r="AH121" s="65">
        <f t="shared" si="291"/>
        <v>0</v>
      </c>
      <c r="AI121" s="65">
        <f t="shared" si="291"/>
        <v>0</v>
      </c>
      <c r="AJ121" s="65">
        <f t="shared" si="291"/>
        <v>10989463.317884751</v>
      </c>
      <c r="AL121" s="65">
        <f>SUM(AL107:AL120)</f>
        <v>8473374.7826380786</v>
      </c>
      <c r="AM121" s="65">
        <f t="shared" ref="AM121:AS121" si="292">SUM(AM107:AM120)</f>
        <v>1138560</v>
      </c>
      <c r="AN121" s="65">
        <f t="shared" si="292"/>
        <v>98550</v>
      </c>
      <c r="AO121" s="65"/>
      <c r="AP121" s="65">
        <f t="shared" si="292"/>
        <v>0</v>
      </c>
      <c r="AQ121" s="65">
        <f t="shared" si="292"/>
        <v>0</v>
      </c>
      <c r="AR121" s="65">
        <f t="shared" si="292"/>
        <v>0</v>
      </c>
      <c r="AS121" s="65">
        <f t="shared" si="292"/>
        <v>9710484.7826380786</v>
      </c>
      <c r="AU121" s="65">
        <f>SUM(AU107:AU120)</f>
        <v>150274.14173124998</v>
      </c>
      <c r="AV121" s="65">
        <f t="shared" ref="AV121:BB121" si="293">SUM(AV107:AV120)</f>
        <v>113830.04635615624</v>
      </c>
      <c r="AW121" s="65">
        <f t="shared" si="293"/>
        <v>0</v>
      </c>
      <c r="AX121" s="65">
        <f t="shared" si="293"/>
        <v>0</v>
      </c>
      <c r="AY121" s="65">
        <f t="shared" si="293"/>
        <v>0</v>
      </c>
      <c r="AZ121" s="65">
        <f t="shared" si="293"/>
        <v>0</v>
      </c>
      <c r="BA121" s="65">
        <f t="shared" si="293"/>
        <v>0</v>
      </c>
      <c r="BB121" s="65">
        <f t="shared" si="293"/>
        <v>264104.18808740622</v>
      </c>
      <c r="BD121" s="65">
        <f>SUM(BD107:BD120)</f>
        <v>1934364.1306124998</v>
      </c>
      <c r="BE121" s="65">
        <f t="shared" ref="BE121:BK121" si="294">SUM(BE107:BE120)</f>
        <v>93800</v>
      </c>
      <c r="BF121" s="65">
        <f t="shared" si="294"/>
        <v>29880</v>
      </c>
      <c r="BG121" s="65">
        <f t="shared" si="294"/>
        <v>0</v>
      </c>
      <c r="BH121" s="65">
        <f t="shared" si="294"/>
        <v>0</v>
      </c>
      <c r="BI121" s="65">
        <f t="shared" si="294"/>
        <v>0</v>
      </c>
      <c r="BJ121" s="65">
        <f t="shared" si="294"/>
        <v>0</v>
      </c>
      <c r="BK121" s="65">
        <f t="shared" si="294"/>
        <v>2058044.1306124998</v>
      </c>
      <c r="BM121" s="65">
        <f>SUM(BM107:BM120)</f>
        <v>293030.87991249992</v>
      </c>
      <c r="BN121" s="65">
        <f t="shared" ref="BN121:BT121" si="295">SUM(BN107:BN120)</f>
        <v>0</v>
      </c>
      <c r="BO121" s="65">
        <f t="shared" si="295"/>
        <v>18900</v>
      </c>
      <c r="BP121" s="65">
        <f t="shared" si="295"/>
        <v>0</v>
      </c>
      <c r="BQ121" s="65">
        <f t="shared" si="295"/>
        <v>0</v>
      </c>
      <c r="BR121" s="65">
        <f t="shared" si="295"/>
        <v>0</v>
      </c>
      <c r="BS121" s="65">
        <f t="shared" si="295"/>
        <v>0</v>
      </c>
      <c r="BT121" s="65">
        <f t="shared" si="295"/>
        <v>311930.87991249992</v>
      </c>
      <c r="BV121" s="65">
        <f>SUM(BV107:BV120)</f>
        <v>32696801.633460063</v>
      </c>
      <c r="BW121" s="65">
        <f t="shared" ref="BW121:CC121" si="296">SUM(BW107:BW120)</f>
        <v>3880820.0463561565</v>
      </c>
      <c r="BX121" s="65">
        <f t="shared" si="296"/>
        <v>515694.44905</v>
      </c>
      <c r="BY121" s="65">
        <f t="shared" si="296"/>
        <v>0</v>
      </c>
      <c r="BZ121" s="65">
        <f t="shared" si="296"/>
        <v>0</v>
      </c>
      <c r="CA121" s="65">
        <f t="shared" si="296"/>
        <v>0</v>
      </c>
      <c r="CB121" s="65">
        <f t="shared" si="296"/>
        <v>0</v>
      </c>
      <c r="CC121" s="65">
        <f t="shared" si="296"/>
        <v>37093316.128866218</v>
      </c>
    </row>
    <row r="122" spans="1:81" ht="15">
      <c r="A122" s="66" t="s">
        <v>109</v>
      </c>
      <c r="B122" s="49"/>
      <c r="C122" s="49"/>
      <c r="D122" s="49"/>
      <c r="E122" s="49"/>
      <c r="F122" s="49"/>
      <c r="G122" s="49"/>
      <c r="H122" s="49"/>
      <c r="I122" s="50"/>
      <c r="J122" s="7"/>
      <c r="K122" s="49"/>
      <c r="L122" s="49"/>
      <c r="M122" s="49"/>
      <c r="N122" s="49"/>
      <c r="O122" s="49"/>
      <c r="P122" s="49"/>
      <c r="Q122" s="49"/>
      <c r="R122" s="50"/>
      <c r="T122" s="49"/>
      <c r="U122" s="49"/>
      <c r="V122" s="49"/>
      <c r="W122" s="49"/>
      <c r="X122" s="49"/>
      <c r="Y122" s="49"/>
      <c r="Z122" s="49"/>
      <c r="AA122" s="50"/>
      <c r="AC122" s="49"/>
      <c r="AD122" s="49"/>
      <c r="AE122" s="49"/>
      <c r="AF122" s="49"/>
      <c r="AG122" s="49"/>
      <c r="AH122" s="49"/>
      <c r="AI122" s="49"/>
      <c r="AJ122" s="50"/>
      <c r="AL122" s="49"/>
      <c r="AM122" s="49"/>
      <c r="AN122" s="49"/>
      <c r="AO122" s="49"/>
      <c r="AP122" s="49"/>
      <c r="AQ122" s="49"/>
      <c r="AR122" s="49"/>
      <c r="AS122" s="50"/>
      <c r="AU122" s="49"/>
      <c r="AV122" s="49"/>
      <c r="AW122" s="49"/>
      <c r="AX122" s="49"/>
      <c r="AY122" s="49"/>
      <c r="AZ122" s="49"/>
      <c r="BA122" s="49"/>
      <c r="BB122" s="50"/>
      <c r="BD122" s="49"/>
      <c r="BE122" s="49"/>
      <c r="BF122" s="49"/>
      <c r="BG122" s="49"/>
      <c r="BH122" s="49"/>
      <c r="BI122" s="49"/>
      <c r="BJ122" s="49"/>
      <c r="BK122" s="50"/>
      <c r="BM122" s="49"/>
      <c r="BN122" s="49"/>
      <c r="BO122" s="49"/>
      <c r="BP122" s="49"/>
      <c r="BQ122" s="49"/>
      <c r="BR122" s="49"/>
      <c r="BS122" s="49"/>
      <c r="BT122" s="50"/>
      <c r="BV122" s="49"/>
      <c r="BW122" s="49"/>
      <c r="BX122" s="49"/>
      <c r="BY122" s="49"/>
      <c r="BZ122" s="49"/>
      <c r="CA122" s="49"/>
      <c r="CB122" s="49"/>
      <c r="CC122" s="50"/>
    </row>
    <row r="123" spans="1:81">
      <c r="A123" s="29" t="s">
        <v>55</v>
      </c>
      <c r="B123" s="11">
        <v>0</v>
      </c>
      <c r="C123" s="62">
        <f>'26-27'!C123*1.015</f>
        <v>80778.65446874997</v>
      </c>
      <c r="D123" s="11"/>
      <c r="E123" s="11"/>
      <c r="F123" s="5"/>
      <c r="G123" s="5"/>
      <c r="H123" s="5"/>
      <c r="I123" s="5">
        <f t="shared" ref="I123:I128" si="297">SUM(B123:H123)</f>
        <v>80778.65446874997</v>
      </c>
      <c r="K123" s="11">
        <v>0</v>
      </c>
      <c r="L123" s="62">
        <f>'26-27'!L123*1.015</f>
        <v>86163.898099999977</v>
      </c>
      <c r="M123" s="11"/>
      <c r="N123" s="11"/>
      <c r="O123" s="5"/>
      <c r="P123" s="5"/>
      <c r="Q123" s="5"/>
      <c r="R123" s="5">
        <f t="shared" ref="R123:R128" si="298">SUM(K123:Q123)</f>
        <v>86163.898099999977</v>
      </c>
      <c r="T123" s="11"/>
      <c r="U123" s="62">
        <f>'26-27'!U123*1.015</f>
        <v>61930.301759374976</v>
      </c>
      <c r="V123" s="11"/>
      <c r="W123" s="11"/>
      <c r="X123" s="5"/>
      <c r="Y123" s="5"/>
      <c r="Z123" s="5"/>
      <c r="AA123" s="5">
        <f t="shared" ref="AA123:AA128" si="299">SUM(T123:Z123)</f>
        <v>61930.301759374976</v>
      </c>
      <c r="AC123" s="11">
        <v>0</v>
      </c>
      <c r="AD123" s="62">
        <f>'26-27'!AD123*1.015</f>
        <v>96934.385362499961</v>
      </c>
      <c r="AE123" s="11"/>
      <c r="AF123" s="11"/>
      <c r="AG123" s="5"/>
      <c r="AH123" s="5"/>
      <c r="AI123" s="5"/>
      <c r="AJ123" s="5">
        <f t="shared" ref="AJ123:AJ128" si="300">SUM(AC123:AI123)</f>
        <v>96934.385362499961</v>
      </c>
      <c r="AL123" s="11">
        <v>0</v>
      </c>
      <c r="AM123" s="62"/>
      <c r="AN123" s="11"/>
      <c r="AO123" s="11"/>
      <c r="AP123" s="5"/>
      <c r="AQ123" s="5"/>
      <c r="AR123" s="5"/>
      <c r="AS123" s="5">
        <f t="shared" ref="AS123:AS128" si="301">SUM(AL123:AR123)</f>
        <v>0</v>
      </c>
      <c r="AU123" s="11">
        <v>0</v>
      </c>
      <c r="AV123" s="62">
        <v>0</v>
      </c>
      <c r="AW123" s="11"/>
      <c r="AX123" s="11"/>
      <c r="AY123" s="5"/>
      <c r="AZ123" s="5"/>
      <c r="BA123" s="5"/>
      <c r="BB123" s="5">
        <f t="shared" ref="BB123:BB128" si="302">SUM(AU123:BA123)</f>
        <v>0</v>
      </c>
      <c r="BD123" s="11">
        <v>0</v>
      </c>
      <c r="BE123" s="62">
        <v>0</v>
      </c>
      <c r="BF123" s="11"/>
      <c r="BG123" s="11"/>
      <c r="BH123" s="5"/>
      <c r="BI123" s="5"/>
      <c r="BJ123" s="5"/>
      <c r="BK123" s="5">
        <f t="shared" ref="BK123:BK128" si="303">SUM(BD123:BJ123)</f>
        <v>0</v>
      </c>
      <c r="BM123" s="11">
        <v>0</v>
      </c>
      <c r="BN123" s="62">
        <v>0</v>
      </c>
      <c r="BO123" s="11"/>
      <c r="BP123" s="11"/>
      <c r="BQ123" s="5"/>
      <c r="BR123" s="5"/>
      <c r="BS123" s="5"/>
      <c r="BT123" s="5">
        <f t="shared" ref="BT123:BT128" si="304">SUM(BM123:BS123)</f>
        <v>0</v>
      </c>
      <c r="BV123" s="5">
        <f t="shared" ref="BV123:CA130" si="305">B123+K123+T123+AC123+AL123+AU123+BD123+BM123</f>
        <v>0</v>
      </c>
      <c r="BW123" s="5">
        <f t="shared" si="305"/>
        <v>325807.23969062488</v>
      </c>
      <c r="BX123" s="5">
        <f t="shared" si="305"/>
        <v>0</v>
      </c>
      <c r="BY123" s="5">
        <f t="shared" si="305"/>
        <v>0</v>
      </c>
      <c r="BZ123" s="5">
        <f t="shared" si="305"/>
        <v>0</v>
      </c>
      <c r="CA123" s="5">
        <f t="shared" si="305"/>
        <v>0</v>
      </c>
      <c r="CB123" s="5"/>
      <c r="CC123" s="5">
        <f t="shared" ref="CC123:CC128" si="306">SUM(BV123:CB123)</f>
        <v>325807.23969062488</v>
      </c>
    </row>
    <row r="124" spans="1:81">
      <c r="A124" s="29" t="s">
        <v>56</v>
      </c>
      <c r="B124" s="11">
        <v>0</v>
      </c>
      <c r="C124" s="62">
        <v>0</v>
      </c>
      <c r="D124" s="11"/>
      <c r="E124" s="11"/>
      <c r="F124" s="5"/>
      <c r="G124" s="5"/>
      <c r="H124" s="5"/>
      <c r="I124" s="5">
        <f t="shared" si="297"/>
        <v>0</v>
      </c>
      <c r="K124" s="11">
        <v>0</v>
      </c>
      <c r="L124" s="62">
        <v>0</v>
      </c>
      <c r="M124" s="11"/>
      <c r="N124" s="11"/>
      <c r="O124" s="5"/>
      <c r="P124" s="5"/>
      <c r="Q124" s="5"/>
      <c r="R124" s="5">
        <f t="shared" si="298"/>
        <v>0</v>
      </c>
      <c r="T124" s="11"/>
      <c r="U124" s="62">
        <f>'26-27'!U124*1.015</f>
        <v>57352.844672812484</v>
      </c>
      <c r="V124" s="11"/>
      <c r="W124" s="11"/>
      <c r="X124" s="5"/>
      <c r="Y124" s="5"/>
      <c r="Z124" s="5"/>
      <c r="AA124" s="5">
        <f t="shared" si="299"/>
        <v>57352.844672812484</v>
      </c>
      <c r="AC124" s="11">
        <v>0</v>
      </c>
      <c r="AD124" s="62">
        <f>'26-27'!AD124*1.015</f>
        <v>66777.021027499984</v>
      </c>
      <c r="AE124" s="11"/>
      <c r="AF124" s="11"/>
      <c r="AG124" s="5"/>
      <c r="AH124" s="5"/>
      <c r="AI124" s="5"/>
      <c r="AJ124" s="5">
        <f t="shared" si="300"/>
        <v>66777.021027499984</v>
      </c>
      <c r="AL124" s="11">
        <v>0</v>
      </c>
      <c r="AM124" s="62">
        <v>0</v>
      </c>
      <c r="AN124" s="11"/>
      <c r="AO124" s="11"/>
      <c r="AP124" s="5"/>
      <c r="AQ124" s="5"/>
      <c r="AR124" s="5"/>
      <c r="AS124" s="5">
        <f t="shared" si="301"/>
        <v>0</v>
      </c>
      <c r="AU124" s="11">
        <v>0</v>
      </c>
      <c r="AV124" s="62">
        <v>0</v>
      </c>
      <c r="AW124" s="11"/>
      <c r="AX124" s="11"/>
      <c r="AY124" s="5"/>
      <c r="AZ124" s="5"/>
      <c r="BA124" s="5"/>
      <c r="BB124" s="5">
        <f t="shared" si="302"/>
        <v>0</v>
      </c>
      <c r="BD124" s="11">
        <v>0</v>
      </c>
      <c r="BE124" s="62">
        <v>0</v>
      </c>
      <c r="BF124" s="11"/>
      <c r="BG124" s="11"/>
      <c r="BH124" s="5"/>
      <c r="BI124" s="5"/>
      <c r="BJ124" s="5"/>
      <c r="BK124" s="5">
        <f t="shared" si="303"/>
        <v>0</v>
      </c>
      <c r="BM124" s="11">
        <v>0</v>
      </c>
      <c r="BN124" s="62">
        <v>0</v>
      </c>
      <c r="BO124" s="11"/>
      <c r="BP124" s="11"/>
      <c r="BQ124" s="5"/>
      <c r="BR124" s="5"/>
      <c r="BS124" s="5"/>
      <c r="BT124" s="5">
        <f t="shared" si="304"/>
        <v>0</v>
      </c>
      <c r="BV124" s="5">
        <f t="shared" si="305"/>
        <v>0</v>
      </c>
      <c r="BW124" s="5">
        <f t="shared" si="305"/>
        <v>124129.86570031247</v>
      </c>
      <c r="BX124" s="5">
        <f t="shared" si="305"/>
        <v>0</v>
      </c>
      <c r="BY124" s="5">
        <f t="shared" si="305"/>
        <v>0</v>
      </c>
      <c r="BZ124" s="5">
        <f t="shared" si="305"/>
        <v>0</v>
      </c>
      <c r="CA124" s="5">
        <f t="shared" si="305"/>
        <v>0</v>
      </c>
      <c r="CB124" s="5"/>
      <c r="CC124" s="5">
        <f t="shared" si="306"/>
        <v>124129.86570031247</v>
      </c>
    </row>
    <row r="125" spans="1:81">
      <c r="A125" s="29" t="s">
        <v>57</v>
      </c>
      <c r="B125" s="11">
        <v>0</v>
      </c>
      <c r="C125" s="11">
        <v>0</v>
      </c>
      <c r="D125" s="11"/>
      <c r="E125" s="11"/>
      <c r="F125" s="5"/>
      <c r="G125" s="5"/>
      <c r="H125" s="5"/>
      <c r="I125" s="5">
        <f t="shared" si="297"/>
        <v>0</v>
      </c>
      <c r="K125" s="11">
        <v>0</v>
      </c>
      <c r="L125" s="62">
        <f>'26-27'!L125*1.015</f>
        <v>47120.88177343749</v>
      </c>
      <c r="M125" s="11"/>
      <c r="N125" s="11"/>
      <c r="O125" s="5"/>
      <c r="P125" s="5"/>
      <c r="Q125" s="5"/>
      <c r="R125" s="5">
        <f t="shared" si="298"/>
        <v>47120.88177343749</v>
      </c>
      <c r="T125" s="11"/>
      <c r="U125" s="62">
        <f>'26-27'!U125*1.015</f>
        <v>47120.88177343749</v>
      </c>
      <c r="V125" s="11"/>
      <c r="W125" s="11"/>
      <c r="X125" s="5"/>
      <c r="Y125" s="5"/>
      <c r="Z125" s="5"/>
      <c r="AA125" s="5">
        <f t="shared" si="299"/>
        <v>47120.88177343749</v>
      </c>
      <c r="AC125" s="11">
        <v>0</v>
      </c>
      <c r="AD125" s="62">
        <f>'26-27'!AD125*1.015</f>
        <v>103396.67771999998</v>
      </c>
      <c r="AE125" s="11"/>
      <c r="AF125" s="11"/>
      <c r="AG125" s="5"/>
      <c r="AH125" s="5"/>
      <c r="AI125" s="5"/>
      <c r="AJ125" s="5">
        <f t="shared" si="300"/>
        <v>103396.67771999998</v>
      </c>
      <c r="AL125" s="11">
        <v>0</v>
      </c>
      <c r="AM125" s="62">
        <f>'26-27'!AM125*1.015</f>
        <v>96934.385362499961</v>
      </c>
      <c r="AN125" s="11"/>
      <c r="AO125" s="11"/>
      <c r="AP125" s="5"/>
      <c r="AQ125" s="5"/>
      <c r="AR125" s="5"/>
      <c r="AS125" s="5">
        <f t="shared" si="301"/>
        <v>96934.385362499961</v>
      </c>
      <c r="AU125" s="11">
        <v>0</v>
      </c>
      <c r="AV125" s="11">
        <v>0</v>
      </c>
      <c r="AW125" s="11"/>
      <c r="AX125" s="11"/>
      <c r="AY125" s="5"/>
      <c r="AZ125" s="5"/>
      <c r="BA125" s="5"/>
      <c r="BB125" s="5">
        <f t="shared" si="302"/>
        <v>0</v>
      </c>
      <c r="BD125" s="11">
        <v>0</v>
      </c>
      <c r="BE125" s="11">
        <v>0</v>
      </c>
      <c r="BF125" s="11"/>
      <c r="BG125" s="11"/>
      <c r="BH125" s="5"/>
      <c r="BI125" s="5"/>
      <c r="BJ125" s="5"/>
      <c r="BK125" s="5">
        <f t="shared" si="303"/>
        <v>0</v>
      </c>
      <c r="BM125" s="11">
        <v>0</v>
      </c>
      <c r="BN125" s="11">
        <v>0</v>
      </c>
      <c r="BO125" s="11"/>
      <c r="BP125" s="11"/>
      <c r="BQ125" s="5"/>
      <c r="BR125" s="5"/>
      <c r="BS125" s="5"/>
      <c r="BT125" s="5">
        <f t="shared" si="304"/>
        <v>0</v>
      </c>
      <c r="BV125" s="5">
        <f t="shared" si="305"/>
        <v>0</v>
      </c>
      <c r="BW125" s="5">
        <f t="shared" si="305"/>
        <v>294572.82662937493</v>
      </c>
      <c r="BX125" s="5">
        <f t="shared" si="305"/>
        <v>0</v>
      </c>
      <c r="BY125" s="5">
        <f t="shared" si="305"/>
        <v>0</v>
      </c>
      <c r="BZ125" s="5">
        <f t="shared" si="305"/>
        <v>0</v>
      </c>
      <c r="CA125" s="5">
        <f t="shared" si="305"/>
        <v>0</v>
      </c>
      <c r="CB125" s="5"/>
      <c r="CC125" s="5">
        <f t="shared" si="306"/>
        <v>294572.82662937493</v>
      </c>
    </row>
    <row r="126" spans="1:81">
      <c r="A126" s="29" t="s">
        <v>110</v>
      </c>
      <c r="B126" s="11">
        <v>0</v>
      </c>
      <c r="C126" s="11"/>
      <c r="D126" s="11"/>
      <c r="E126" s="11"/>
      <c r="F126" s="5"/>
      <c r="G126" s="5"/>
      <c r="H126" s="5"/>
      <c r="I126" s="26">
        <f t="shared" si="297"/>
        <v>0</v>
      </c>
      <c r="K126" s="11">
        <v>0</v>
      </c>
      <c r="L126" s="11"/>
      <c r="M126" s="11"/>
      <c r="N126" s="11"/>
      <c r="O126" s="5"/>
      <c r="P126" s="5"/>
      <c r="Q126" s="5"/>
      <c r="R126" s="26">
        <f t="shared" si="298"/>
        <v>0</v>
      </c>
      <c r="T126" s="11"/>
      <c r="U126" s="62">
        <f>'26-27'!U126*1.015</f>
        <v>26926.21815624999</v>
      </c>
      <c r="V126" s="11"/>
      <c r="W126" s="11"/>
      <c r="X126" s="5"/>
      <c r="Y126" s="5"/>
      <c r="Z126" s="5"/>
      <c r="AA126" s="5">
        <f t="shared" si="299"/>
        <v>26926.21815624999</v>
      </c>
      <c r="AC126" s="11">
        <v>0</v>
      </c>
      <c r="AD126" s="62">
        <f>'26-27'!AD126*1.015</f>
        <v>0</v>
      </c>
      <c r="AE126" s="11"/>
      <c r="AF126" s="11"/>
      <c r="AG126" s="5"/>
      <c r="AH126" s="5"/>
      <c r="AI126" s="5"/>
      <c r="AJ126" s="26">
        <f t="shared" si="300"/>
        <v>0</v>
      </c>
      <c r="AL126" s="11">
        <v>0</v>
      </c>
      <c r="AM126" s="62">
        <f>'26-27'!AM126*1.015</f>
        <v>51698.338859999989</v>
      </c>
      <c r="AN126" s="11"/>
      <c r="AO126" s="11"/>
      <c r="AP126" s="5"/>
      <c r="AQ126" s="5"/>
      <c r="AR126" s="5"/>
      <c r="AS126" s="5">
        <f t="shared" si="301"/>
        <v>51698.338859999989</v>
      </c>
      <c r="AU126" s="11">
        <v>0</v>
      </c>
      <c r="AV126" s="11"/>
      <c r="AW126" s="11"/>
      <c r="AX126" s="11"/>
      <c r="AY126" s="5"/>
      <c r="AZ126" s="5"/>
      <c r="BA126" s="5"/>
      <c r="BB126" s="26">
        <f t="shared" si="302"/>
        <v>0</v>
      </c>
      <c r="BD126" s="11">
        <v>0</v>
      </c>
      <c r="BE126" s="11">
        <v>0</v>
      </c>
      <c r="BF126" s="11"/>
      <c r="BG126" s="11"/>
      <c r="BH126" s="5"/>
      <c r="BI126" s="5"/>
      <c r="BJ126" s="5"/>
      <c r="BK126" s="26">
        <f t="shared" si="303"/>
        <v>0</v>
      </c>
      <c r="BM126" s="11">
        <v>0</v>
      </c>
      <c r="BN126" s="11"/>
      <c r="BO126" s="11"/>
      <c r="BP126" s="11"/>
      <c r="BQ126" s="5"/>
      <c r="BR126" s="5"/>
      <c r="BS126" s="5"/>
      <c r="BT126" s="26">
        <f t="shared" si="304"/>
        <v>0</v>
      </c>
      <c r="BV126" s="5">
        <f t="shared" si="305"/>
        <v>0</v>
      </c>
      <c r="BW126" s="5">
        <f t="shared" si="305"/>
        <v>78624.557016249979</v>
      </c>
      <c r="BX126" s="5">
        <f t="shared" si="305"/>
        <v>0</v>
      </c>
      <c r="BY126" s="5">
        <f t="shared" si="305"/>
        <v>0</v>
      </c>
      <c r="BZ126" s="5">
        <f t="shared" si="305"/>
        <v>0</v>
      </c>
      <c r="CA126" s="5">
        <f t="shared" si="305"/>
        <v>0</v>
      </c>
      <c r="CB126" s="5"/>
      <c r="CC126" s="26">
        <f t="shared" si="306"/>
        <v>78624.557016249979</v>
      </c>
    </row>
    <row r="127" spans="1:81">
      <c r="A127" s="29" t="s">
        <v>59</v>
      </c>
      <c r="B127" s="11">
        <v>0</v>
      </c>
      <c r="C127" s="11"/>
      <c r="D127" s="11"/>
      <c r="E127" s="11"/>
      <c r="F127" s="5"/>
      <c r="G127" s="5"/>
      <c r="H127" s="5"/>
      <c r="I127" s="5">
        <f t="shared" si="297"/>
        <v>0</v>
      </c>
      <c r="K127" s="11">
        <v>0</v>
      </c>
      <c r="L127" s="62">
        <f>'26-27'!L127*1.015</f>
        <v>34465.559239999988</v>
      </c>
      <c r="M127" s="11"/>
      <c r="N127" s="11"/>
      <c r="O127" s="5"/>
      <c r="P127" s="5"/>
      <c r="Q127" s="5"/>
      <c r="R127" s="5">
        <f t="shared" si="298"/>
        <v>34465.559239999988</v>
      </c>
      <c r="T127" s="11"/>
      <c r="U127" s="62">
        <f>'26-27'!U127*1.015</f>
        <v>34465.559239999988</v>
      </c>
      <c r="V127" s="11"/>
      <c r="W127" s="11"/>
      <c r="X127" s="5"/>
      <c r="Y127" s="5"/>
      <c r="Z127" s="5"/>
      <c r="AA127" s="5">
        <f t="shared" si="299"/>
        <v>34465.559239999988</v>
      </c>
      <c r="AC127" s="11">
        <v>0</v>
      </c>
      <c r="AD127" s="62">
        <f>'26-27'!AD127*1.015</f>
        <v>78839.966761499963</v>
      </c>
      <c r="AE127" s="11"/>
      <c r="AF127" s="11"/>
      <c r="AG127" s="5"/>
      <c r="AH127" s="5"/>
      <c r="AI127" s="5"/>
      <c r="AJ127" s="5">
        <f t="shared" si="300"/>
        <v>78839.966761499963</v>
      </c>
      <c r="AL127" s="11">
        <v>0</v>
      </c>
      <c r="AM127" s="62">
        <f>'26-27'!AM127*1.015</f>
        <v>87887.176061999955</v>
      </c>
      <c r="AN127" s="11"/>
      <c r="AO127" s="11"/>
      <c r="AP127" s="5"/>
      <c r="AQ127" s="5"/>
      <c r="AR127" s="5"/>
      <c r="AS127" s="5">
        <f t="shared" si="301"/>
        <v>87887.176061999955</v>
      </c>
      <c r="AU127" s="11">
        <v>0</v>
      </c>
      <c r="AV127" s="11"/>
      <c r="AW127" s="11"/>
      <c r="AX127" s="11"/>
      <c r="AY127" s="5"/>
      <c r="AZ127" s="5"/>
      <c r="BA127" s="5"/>
      <c r="BB127" s="5">
        <f t="shared" si="302"/>
        <v>0</v>
      </c>
      <c r="BD127" s="11">
        <v>0</v>
      </c>
      <c r="BE127" s="11">
        <v>0</v>
      </c>
      <c r="BF127" s="11"/>
      <c r="BG127" s="11"/>
      <c r="BH127" s="5"/>
      <c r="BI127" s="5"/>
      <c r="BJ127" s="5"/>
      <c r="BK127" s="5">
        <f t="shared" si="303"/>
        <v>0</v>
      </c>
      <c r="BM127" s="11">
        <v>0</v>
      </c>
      <c r="BN127" s="11"/>
      <c r="BO127" s="11"/>
      <c r="BP127" s="11"/>
      <c r="BQ127" s="5"/>
      <c r="BR127" s="5"/>
      <c r="BS127" s="5"/>
      <c r="BT127" s="5">
        <f t="shared" si="304"/>
        <v>0</v>
      </c>
      <c r="BV127" s="5">
        <f t="shared" si="305"/>
        <v>0</v>
      </c>
      <c r="BW127" s="5">
        <f t="shared" si="305"/>
        <v>235658.26130349989</v>
      </c>
      <c r="BX127" s="5">
        <f t="shared" si="305"/>
        <v>0</v>
      </c>
      <c r="BY127" s="5">
        <f t="shared" si="305"/>
        <v>0</v>
      </c>
      <c r="BZ127" s="5">
        <f t="shared" si="305"/>
        <v>0</v>
      </c>
      <c r="CA127" s="5">
        <f t="shared" si="305"/>
        <v>0</v>
      </c>
      <c r="CB127" s="5"/>
      <c r="CC127" s="5">
        <f t="shared" si="306"/>
        <v>235658.26130349989</v>
      </c>
    </row>
    <row r="128" spans="1:81">
      <c r="A128" s="29" t="s">
        <v>111</v>
      </c>
      <c r="B128" s="62">
        <f>'26-27'!B128*1.015</f>
        <v>31893.19043749999</v>
      </c>
      <c r="C128" s="11"/>
      <c r="D128" s="11"/>
      <c r="E128" s="11"/>
      <c r="F128" s="5"/>
      <c r="G128" s="5"/>
      <c r="H128" s="5"/>
      <c r="I128" s="5">
        <f t="shared" si="297"/>
        <v>31893.19043749999</v>
      </c>
      <c r="K128" s="62">
        <f>'26-27'!K128*1.015</f>
        <v>66777.021027499984</v>
      </c>
      <c r="L128" s="11"/>
      <c r="M128" s="11">
        <v>0</v>
      </c>
      <c r="N128" s="11"/>
      <c r="O128" s="5"/>
      <c r="P128" s="5"/>
      <c r="Q128" s="5"/>
      <c r="R128" s="5">
        <f t="shared" si="298"/>
        <v>66777.021027499984</v>
      </c>
      <c r="T128" s="62">
        <f>'26-27'!T128*1.015</f>
        <v>133846.83199999994</v>
      </c>
      <c r="U128" s="11"/>
      <c r="V128" s="11"/>
      <c r="W128" s="11"/>
      <c r="X128" s="5"/>
      <c r="Y128" s="5"/>
      <c r="Z128" s="5"/>
      <c r="AA128" s="5">
        <f t="shared" si="299"/>
        <v>133846.83199999994</v>
      </c>
      <c r="AC128" s="62">
        <f>'26-27'!AC128*1.015</f>
        <v>66777.021027499984</v>
      </c>
      <c r="AD128" s="11"/>
      <c r="AE128" s="11"/>
      <c r="AF128" s="11"/>
      <c r="AG128" s="5"/>
      <c r="AH128" s="5"/>
      <c r="AI128" s="5"/>
      <c r="AJ128" s="5">
        <f t="shared" si="300"/>
        <v>66777.021027499984</v>
      </c>
      <c r="AL128" s="62">
        <f>'26-27'!AL128*1.015</f>
        <v>133846.83199999994</v>
      </c>
      <c r="AM128" s="11"/>
      <c r="AN128" s="11"/>
      <c r="AO128" s="11"/>
      <c r="AP128" s="5"/>
      <c r="AQ128" s="5"/>
      <c r="AR128" s="5"/>
      <c r="AS128" s="5">
        <f t="shared" si="301"/>
        <v>133846.83199999994</v>
      </c>
      <c r="AU128" s="62">
        <v>0</v>
      </c>
      <c r="AV128" s="11"/>
      <c r="AW128" s="11"/>
      <c r="AX128" s="11"/>
      <c r="AY128" s="5"/>
      <c r="AZ128" s="5"/>
      <c r="BA128" s="5"/>
      <c r="BB128" s="5">
        <f t="shared" si="302"/>
        <v>0</v>
      </c>
      <c r="BD128" s="62">
        <v>0</v>
      </c>
      <c r="BE128" s="11"/>
      <c r="BF128" s="11"/>
      <c r="BG128" s="11"/>
      <c r="BH128" s="5"/>
      <c r="BI128" s="5"/>
      <c r="BJ128" s="5"/>
      <c r="BK128" s="5">
        <f t="shared" si="303"/>
        <v>0</v>
      </c>
      <c r="BM128" s="62">
        <v>0</v>
      </c>
      <c r="BN128" s="11"/>
      <c r="BO128" s="11"/>
      <c r="BP128" s="11"/>
      <c r="BQ128" s="5"/>
      <c r="BR128" s="5"/>
      <c r="BS128" s="5"/>
      <c r="BT128" s="5">
        <f t="shared" si="304"/>
        <v>0</v>
      </c>
      <c r="BV128" s="5">
        <f t="shared" si="305"/>
        <v>433140.89649249986</v>
      </c>
      <c r="BW128" s="5">
        <f t="shared" si="305"/>
        <v>0</v>
      </c>
      <c r="BX128" s="5">
        <f t="shared" si="305"/>
        <v>0</v>
      </c>
      <c r="BY128" s="5">
        <f t="shared" si="305"/>
        <v>0</v>
      </c>
      <c r="BZ128" s="5">
        <f t="shared" si="305"/>
        <v>0</v>
      </c>
      <c r="CA128" s="5">
        <f t="shared" si="305"/>
        <v>0</v>
      </c>
      <c r="CB128" s="5"/>
      <c r="CC128" s="5">
        <f t="shared" si="306"/>
        <v>433140.89649249986</v>
      </c>
    </row>
    <row r="129" spans="1:81">
      <c r="A129" s="29" t="s">
        <v>112</v>
      </c>
      <c r="B129" s="11">
        <f>(12.5*6*185)*B52</f>
        <v>0</v>
      </c>
      <c r="C129" s="11">
        <f>(12.5*6*185)*C52</f>
        <v>0</v>
      </c>
      <c r="D129" s="62">
        <v>0</v>
      </c>
      <c r="E129" s="62"/>
      <c r="F129" s="5"/>
      <c r="G129" s="5"/>
      <c r="H129" s="5"/>
      <c r="I129" s="5">
        <f>SUM(B129:H129)</f>
        <v>0</v>
      </c>
      <c r="K129" s="11">
        <f>(12.5*6*185)*K52</f>
        <v>0</v>
      </c>
      <c r="L129" s="11">
        <f>(12.5*6*185)*L52</f>
        <v>0</v>
      </c>
      <c r="M129" s="62"/>
      <c r="N129" s="62"/>
      <c r="O129" s="5"/>
      <c r="P129" s="5"/>
      <c r="Q129" s="5"/>
      <c r="R129" s="5">
        <f>SUM(K129:Q129)</f>
        <v>0</v>
      </c>
      <c r="T129" s="62">
        <f>'26-27'!T129*1.015</f>
        <v>64622.923574999979</v>
      </c>
      <c r="U129" s="11"/>
      <c r="V129" s="62"/>
      <c r="W129" s="62"/>
      <c r="X129" s="5"/>
      <c r="Y129" s="5"/>
      <c r="Z129" s="5"/>
      <c r="AA129" s="5">
        <f>SUM(T129:Z129)</f>
        <v>64622.923574999979</v>
      </c>
      <c r="AC129" s="62">
        <f>'26-27'!AC129*1.015</f>
        <v>59237.679943749987</v>
      </c>
      <c r="AD129" s="11">
        <f>(12.5*6*185)*AD52</f>
        <v>0</v>
      </c>
      <c r="AE129" s="62">
        <v>0</v>
      </c>
      <c r="AF129" s="62"/>
      <c r="AG129" s="5"/>
      <c r="AH129" s="5"/>
      <c r="AI129" s="5"/>
      <c r="AJ129" s="5">
        <f>SUM(AC129:AI129)</f>
        <v>59237.679943749987</v>
      </c>
      <c r="AL129" s="62">
        <f>'26-27'!AL129*1.015</f>
        <v>117115.97799999996</v>
      </c>
      <c r="AM129" s="11">
        <f>(12.5*6*185)*AM52</f>
        <v>0</v>
      </c>
      <c r="AN129" s="62">
        <v>0</v>
      </c>
      <c r="AO129" s="62"/>
      <c r="AP129" s="5"/>
      <c r="AQ129" s="5"/>
      <c r="AR129" s="5"/>
      <c r="AS129" s="5">
        <f>SUM(AL129:AR129)</f>
        <v>117115.97799999996</v>
      </c>
      <c r="AU129" s="11">
        <f>(12.5*6*185)*AU52</f>
        <v>0</v>
      </c>
      <c r="AV129" s="11">
        <f>(12.5*6*185)*AV52</f>
        <v>0</v>
      </c>
      <c r="AW129" s="62">
        <v>0</v>
      </c>
      <c r="AX129" s="62"/>
      <c r="AY129" s="5"/>
      <c r="AZ129" s="5"/>
      <c r="BA129" s="5"/>
      <c r="BB129" s="5">
        <f>SUM(AU129:BA129)</f>
        <v>0</v>
      </c>
      <c r="BD129" s="11">
        <f>(12.5*6*185)*BD52</f>
        <v>0</v>
      </c>
      <c r="BE129" s="11">
        <f>(12.5*6*185)*BE52</f>
        <v>0</v>
      </c>
      <c r="BF129" s="62">
        <v>0</v>
      </c>
      <c r="BG129" s="62"/>
      <c r="BH129" s="5"/>
      <c r="BI129" s="5"/>
      <c r="BJ129" s="5"/>
      <c r="BK129" s="5">
        <f>SUM(BD129:BJ129)</f>
        <v>0</v>
      </c>
      <c r="BM129" s="11">
        <f>(12.5*6*185)*BM52</f>
        <v>0</v>
      </c>
      <c r="BN129" s="11">
        <f>(12.5*6*185)*BN52</f>
        <v>0</v>
      </c>
      <c r="BO129" s="62">
        <v>0</v>
      </c>
      <c r="BP129" s="62"/>
      <c r="BQ129" s="5"/>
      <c r="BR129" s="5"/>
      <c r="BS129" s="5"/>
      <c r="BT129" s="5">
        <f>SUM(BM129:BS129)</f>
        <v>0</v>
      </c>
      <c r="BV129" s="5">
        <f t="shared" si="305"/>
        <v>240976.58151874994</v>
      </c>
      <c r="BW129" s="5">
        <f t="shared" si="305"/>
        <v>0</v>
      </c>
      <c r="BX129" s="5">
        <f t="shared" si="305"/>
        <v>0</v>
      </c>
      <c r="BY129" s="5">
        <f t="shared" si="305"/>
        <v>0</v>
      </c>
      <c r="BZ129" s="5">
        <f t="shared" si="305"/>
        <v>0</v>
      </c>
      <c r="CA129" s="5">
        <f t="shared" si="305"/>
        <v>0</v>
      </c>
      <c r="CB129" s="5"/>
      <c r="CC129" s="5">
        <f>SUM(BV129:CB129)</f>
        <v>240976.58151874994</v>
      </c>
    </row>
    <row r="130" spans="1:81">
      <c r="A130" s="29" t="s">
        <v>60</v>
      </c>
      <c r="B130" s="67">
        <f>175*180*B59</f>
        <v>31500</v>
      </c>
      <c r="C130" s="67">
        <f t="shared" ref="C130:H130" si="307">170*180*C59</f>
        <v>0</v>
      </c>
      <c r="D130" s="67">
        <f t="shared" si="307"/>
        <v>0</v>
      </c>
      <c r="E130" s="67">
        <f t="shared" si="307"/>
        <v>0</v>
      </c>
      <c r="F130" s="67">
        <f t="shared" si="307"/>
        <v>0</v>
      </c>
      <c r="G130" s="67">
        <f t="shared" si="307"/>
        <v>0</v>
      </c>
      <c r="H130" s="67">
        <f t="shared" si="307"/>
        <v>0</v>
      </c>
      <c r="I130" s="5">
        <f>SUM(B130:H130)</f>
        <v>31500</v>
      </c>
      <c r="K130" s="67">
        <f>175*180*K59</f>
        <v>31500</v>
      </c>
      <c r="L130" s="67">
        <f t="shared" ref="L130:Q130" si="308">170*180*L59</f>
        <v>0</v>
      </c>
      <c r="M130" s="67">
        <f t="shared" si="308"/>
        <v>0</v>
      </c>
      <c r="N130" s="67">
        <f t="shared" si="308"/>
        <v>0</v>
      </c>
      <c r="O130" s="67">
        <f t="shared" si="308"/>
        <v>0</v>
      </c>
      <c r="P130" s="67">
        <f t="shared" si="308"/>
        <v>0</v>
      </c>
      <c r="Q130" s="67">
        <f t="shared" si="308"/>
        <v>0</v>
      </c>
      <c r="R130" s="5">
        <f>SUM(K130:Q130)</f>
        <v>31500</v>
      </c>
      <c r="T130" s="35">
        <f>175*180*T59</f>
        <v>63000</v>
      </c>
      <c r="U130" s="35">
        <f t="shared" ref="U130:Z130" si="309">170*180*U59</f>
        <v>0</v>
      </c>
      <c r="V130" s="35">
        <f t="shared" si="309"/>
        <v>0</v>
      </c>
      <c r="W130" s="35">
        <f t="shared" si="309"/>
        <v>0</v>
      </c>
      <c r="X130" s="35">
        <f t="shared" si="309"/>
        <v>0</v>
      </c>
      <c r="Y130" s="35">
        <f t="shared" si="309"/>
        <v>0</v>
      </c>
      <c r="Z130" s="35">
        <f t="shared" si="309"/>
        <v>0</v>
      </c>
      <c r="AA130" s="5">
        <f>SUM(T130:Z130)</f>
        <v>63000</v>
      </c>
      <c r="AC130" s="67">
        <f>175*180*AC59</f>
        <v>94500</v>
      </c>
      <c r="AD130" s="67">
        <f t="shared" ref="AD130:AI130" si="310">170*180*AD59</f>
        <v>0</v>
      </c>
      <c r="AE130" s="67">
        <f t="shared" si="310"/>
        <v>0</v>
      </c>
      <c r="AF130" s="67">
        <f t="shared" si="310"/>
        <v>0</v>
      </c>
      <c r="AG130" s="67">
        <f t="shared" si="310"/>
        <v>0</v>
      </c>
      <c r="AH130" s="67">
        <f t="shared" si="310"/>
        <v>0</v>
      </c>
      <c r="AI130" s="67">
        <f t="shared" si="310"/>
        <v>0</v>
      </c>
      <c r="AJ130" s="5">
        <f>SUM(AC130:AI130)</f>
        <v>94500</v>
      </c>
      <c r="AL130" s="67">
        <f>175*180*AL59</f>
        <v>126000</v>
      </c>
      <c r="AM130" s="67">
        <f t="shared" ref="AM130:AR130" si="311">170*180*AM59</f>
        <v>0</v>
      </c>
      <c r="AN130" s="67">
        <f t="shared" si="311"/>
        <v>0</v>
      </c>
      <c r="AO130" s="67">
        <f t="shared" si="311"/>
        <v>0</v>
      </c>
      <c r="AP130" s="67">
        <f t="shared" si="311"/>
        <v>0</v>
      </c>
      <c r="AQ130" s="67">
        <f t="shared" si="311"/>
        <v>0</v>
      </c>
      <c r="AR130" s="67">
        <f t="shared" si="311"/>
        <v>0</v>
      </c>
      <c r="AS130" s="5">
        <f>SUM(AL130:AR130)</f>
        <v>126000</v>
      </c>
      <c r="AU130" s="67">
        <f>150*180*AU59</f>
        <v>0</v>
      </c>
      <c r="AV130" s="67">
        <f t="shared" ref="AV130:AX130" si="312">150*180*AV59</f>
        <v>0</v>
      </c>
      <c r="AW130" s="67">
        <f t="shared" si="312"/>
        <v>0</v>
      </c>
      <c r="AX130" s="67">
        <f t="shared" si="312"/>
        <v>0</v>
      </c>
      <c r="AY130" s="5"/>
      <c r="AZ130" s="5"/>
      <c r="BA130" s="5"/>
      <c r="BB130" s="5">
        <f>SUM(AU130:BA130)</f>
        <v>0</v>
      </c>
      <c r="BD130" s="67">
        <f>150*180*BD59</f>
        <v>0</v>
      </c>
      <c r="BE130" s="67">
        <f t="shared" ref="BE130:BG130" si="313">150*180*BE59</f>
        <v>0</v>
      </c>
      <c r="BF130" s="67">
        <f t="shared" si="313"/>
        <v>0</v>
      </c>
      <c r="BG130" s="67">
        <f t="shared" si="313"/>
        <v>0</v>
      </c>
      <c r="BH130" s="5"/>
      <c r="BI130" s="5"/>
      <c r="BJ130" s="5"/>
      <c r="BK130" s="5">
        <f>SUM(BD130:BJ130)</f>
        <v>0</v>
      </c>
      <c r="BM130" s="67">
        <f>150*180*BM59</f>
        <v>0</v>
      </c>
      <c r="BN130" s="67">
        <f t="shared" ref="BN130:BP130" si="314">150*180*BN59</f>
        <v>0</v>
      </c>
      <c r="BO130" s="67">
        <f t="shared" si="314"/>
        <v>0</v>
      </c>
      <c r="BP130" s="67">
        <f t="shared" si="314"/>
        <v>0</v>
      </c>
      <c r="BQ130" s="5"/>
      <c r="BR130" s="5"/>
      <c r="BS130" s="5"/>
      <c r="BT130" s="5">
        <f>SUM(BM130:BS130)</f>
        <v>0</v>
      </c>
      <c r="BV130" s="5">
        <f t="shared" si="305"/>
        <v>346500</v>
      </c>
      <c r="BW130" s="5">
        <f t="shared" si="305"/>
        <v>0</v>
      </c>
      <c r="BX130" s="5">
        <f t="shared" si="305"/>
        <v>0</v>
      </c>
      <c r="BY130" s="5">
        <f t="shared" si="305"/>
        <v>0</v>
      </c>
      <c r="BZ130" s="5">
        <f t="shared" si="305"/>
        <v>0</v>
      </c>
      <c r="CA130" s="5">
        <f t="shared" si="305"/>
        <v>0</v>
      </c>
      <c r="CB130" s="5"/>
      <c r="CC130" s="5">
        <f>SUM(BV130:CB130)</f>
        <v>346500</v>
      </c>
    </row>
    <row r="131" spans="1:81" ht="15">
      <c r="A131" s="68" t="s">
        <v>113</v>
      </c>
      <c r="B131" s="69">
        <f>SUM(B123:B130)</f>
        <v>63393.190437499987</v>
      </c>
      <c r="C131" s="69">
        <f t="shared" ref="C131:I131" si="315">SUM(C123:C130)</f>
        <v>80778.65446874997</v>
      </c>
      <c r="D131" s="69">
        <f t="shared" si="315"/>
        <v>0</v>
      </c>
      <c r="E131" s="69">
        <f t="shared" si="315"/>
        <v>0</v>
      </c>
      <c r="F131" s="69">
        <f t="shared" si="315"/>
        <v>0</v>
      </c>
      <c r="G131" s="69">
        <f t="shared" si="315"/>
        <v>0</v>
      </c>
      <c r="H131" s="69">
        <f t="shared" si="315"/>
        <v>0</v>
      </c>
      <c r="I131" s="69">
        <f t="shared" si="315"/>
        <v>144171.84490624996</v>
      </c>
      <c r="J131" s="7"/>
      <c r="K131" s="69">
        <f>SUM(K123:K130)</f>
        <v>98277.021027499984</v>
      </c>
      <c r="L131" s="69">
        <f t="shared" ref="L131:R131" si="316">SUM(L123:L130)</f>
        <v>167750.33911343745</v>
      </c>
      <c r="M131" s="69">
        <f t="shared" si="316"/>
        <v>0</v>
      </c>
      <c r="N131" s="69"/>
      <c r="O131" s="69">
        <f t="shared" si="316"/>
        <v>0</v>
      </c>
      <c r="P131" s="69">
        <f t="shared" si="316"/>
        <v>0</v>
      </c>
      <c r="Q131" s="69">
        <f t="shared" si="316"/>
        <v>0</v>
      </c>
      <c r="R131" s="69">
        <f t="shared" si="316"/>
        <v>266027.36014093744</v>
      </c>
      <c r="T131" s="69">
        <f>SUM(T123:T130)</f>
        <v>261469.7555749999</v>
      </c>
      <c r="U131" s="69">
        <f t="shared" ref="U131:AA131" si="317">SUM(U123:U130)</f>
        <v>227795.80560187495</v>
      </c>
      <c r="V131" s="69">
        <f t="shared" si="317"/>
        <v>0</v>
      </c>
      <c r="W131" s="69"/>
      <c r="X131" s="69">
        <f t="shared" si="317"/>
        <v>0</v>
      </c>
      <c r="Y131" s="69">
        <f t="shared" si="317"/>
        <v>0</v>
      </c>
      <c r="Z131" s="69">
        <f t="shared" si="317"/>
        <v>0</v>
      </c>
      <c r="AA131" s="69">
        <f t="shared" si="317"/>
        <v>489265.56117687485</v>
      </c>
      <c r="AC131" s="69">
        <f>SUM(AC123:AC130)</f>
        <v>220514.70097124996</v>
      </c>
      <c r="AD131" s="69">
        <f t="shared" ref="AD131:AJ131" si="318">SUM(AD123:AD130)</f>
        <v>345948.05087149993</v>
      </c>
      <c r="AE131" s="69">
        <f t="shared" si="318"/>
        <v>0</v>
      </c>
      <c r="AF131" s="69">
        <f t="shared" si="318"/>
        <v>0</v>
      </c>
      <c r="AG131" s="69">
        <f t="shared" si="318"/>
        <v>0</v>
      </c>
      <c r="AH131" s="69">
        <f t="shared" si="318"/>
        <v>0</v>
      </c>
      <c r="AI131" s="69">
        <f t="shared" si="318"/>
        <v>0</v>
      </c>
      <c r="AJ131" s="69">
        <f t="shared" si="318"/>
        <v>566462.75184274989</v>
      </c>
      <c r="AL131" s="69">
        <f>SUM(AL123:AL130)</f>
        <v>376962.80999999988</v>
      </c>
      <c r="AM131" s="69">
        <f t="shared" ref="AM131:AS131" si="319">SUM(AM123:AM130)</f>
        <v>236519.90028449989</v>
      </c>
      <c r="AN131" s="69">
        <f t="shared" si="319"/>
        <v>0</v>
      </c>
      <c r="AO131" s="69">
        <f t="shared" si="319"/>
        <v>0</v>
      </c>
      <c r="AP131" s="69">
        <f t="shared" si="319"/>
        <v>0</v>
      </c>
      <c r="AQ131" s="69">
        <f t="shared" si="319"/>
        <v>0</v>
      </c>
      <c r="AR131" s="69">
        <f t="shared" si="319"/>
        <v>0</v>
      </c>
      <c r="AS131" s="69">
        <f t="shared" si="319"/>
        <v>613482.71028449968</v>
      </c>
      <c r="AU131" s="69">
        <f>SUM(AU123:AU130)</f>
        <v>0</v>
      </c>
      <c r="AV131" s="69">
        <f t="shared" ref="AV131:BB131" si="320">SUM(AV123:AV130)</f>
        <v>0</v>
      </c>
      <c r="AW131" s="69">
        <f t="shared" si="320"/>
        <v>0</v>
      </c>
      <c r="AX131" s="69">
        <f t="shared" si="320"/>
        <v>0</v>
      </c>
      <c r="AY131" s="69">
        <f t="shared" si="320"/>
        <v>0</v>
      </c>
      <c r="AZ131" s="69">
        <f t="shared" si="320"/>
        <v>0</v>
      </c>
      <c r="BA131" s="69">
        <f t="shared" si="320"/>
        <v>0</v>
      </c>
      <c r="BB131" s="69">
        <f t="shared" si="320"/>
        <v>0</v>
      </c>
      <c r="BD131" s="69">
        <f>SUM(BD123:BD130)</f>
        <v>0</v>
      </c>
      <c r="BE131" s="69">
        <f t="shared" ref="BE131:BK131" si="321">SUM(BE123:BE130)</f>
        <v>0</v>
      </c>
      <c r="BF131" s="69">
        <f t="shared" si="321"/>
        <v>0</v>
      </c>
      <c r="BG131" s="69">
        <f t="shared" si="321"/>
        <v>0</v>
      </c>
      <c r="BH131" s="69">
        <f t="shared" si="321"/>
        <v>0</v>
      </c>
      <c r="BI131" s="69">
        <f t="shared" si="321"/>
        <v>0</v>
      </c>
      <c r="BJ131" s="69">
        <f t="shared" si="321"/>
        <v>0</v>
      </c>
      <c r="BK131" s="69">
        <f t="shared" si="321"/>
        <v>0</v>
      </c>
      <c r="BM131" s="69">
        <f>SUM(BM123:BM130)</f>
        <v>0</v>
      </c>
      <c r="BN131" s="69">
        <f t="shared" ref="BN131:BT131" si="322">SUM(BN123:BN130)</f>
        <v>0</v>
      </c>
      <c r="BO131" s="69">
        <f t="shared" si="322"/>
        <v>0</v>
      </c>
      <c r="BP131" s="69">
        <f t="shared" si="322"/>
        <v>0</v>
      </c>
      <c r="BQ131" s="69">
        <f t="shared" si="322"/>
        <v>0</v>
      </c>
      <c r="BR131" s="69">
        <f t="shared" si="322"/>
        <v>0</v>
      </c>
      <c r="BS131" s="69">
        <f t="shared" si="322"/>
        <v>0</v>
      </c>
      <c r="BT131" s="69">
        <f t="shared" si="322"/>
        <v>0</v>
      </c>
      <c r="BV131" s="69">
        <f>SUM(BV123:BV130)</f>
        <v>1020617.4780112498</v>
      </c>
      <c r="BW131" s="69">
        <f t="shared" ref="BW131:CC131" si="323">SUM(BW123:BW130)</f>
        <v>1058792.7503400622</v>
      </c>
      <c r="BX131" s="69">
        <f t="shared" si="323"/>
        <v>0</v>
      </c>
      <c r="BY131" s="69">
        <f t="shared" si="323"/>
        <v>0</v>
      </c>
      <c r="BZ131" s="69">
        <f t="shared" si="323"/>
        <v>0</v>
      </c>
      <c r="CA131" s="69">
        <f t="shared" si="323"/>
        <v>0</v>
      </c>
      <c r="CB131" s="69">
        <f t="shared" si="323"/>
        <v>0</v>
      </c>
      <c r="CC131" s="69">
        <f t="shared" si="323"/>
        <v>2079410.228351312</v>
      </c>
    </row>
    <row r="132" spans="1:81" ht="15">
      <c r="A132" s="70" t="s">
        <v>114</v>
      </c>
      <c r="B132" s="71">
        <f t="shared" ref="B132:H132" si="324">B121+B131</f>
        <v>3750672.5559849944</v>
      </c>
      <c r="C132" s="71">
        <f t="shared" si="324"/>
        <v>515298.65446875</v>
      </c>
      <c r="D132" s="71">
        <f t="shared" si="324"/>
        <v>64440</v>
      </c>
      <c r="E132" s="71">
        <f t="shared" si="324"/>
        <v>0</v>
      </c>
      <c r="F132" s="71">
        <f t="shared" si="324"/>
        <v>0</v>
      </c>
      <c r="G132" s="71">
        <f t="shared" si="324"/>
        <v>0</v>
      </c>
      <c r="H132" s="71">
        <f t="shared" si="324"/>
        <v>0</v>
      </c>
      <c r="I132" s="71">
        <f>I121+I131</f>
        <v>4330411.210453744</v>
      </c>
      <c r="J132" s="7"/>
      <c r="K132" s="71">
        <f t="shared" ref="K132:Q132" si="325">K121+K131</f>
        <v>4043769.8775353013</v>
      </c>
      <c r="L132" s="71">
        <f t="shared" si="325"/>
        <v>531800.33911343745</v>
      </c>
      <c r="M132" s="71">
        <f t="shared" si="325"/>
        <v>71094.449049999996</v>
      </c>
      <c r="N132" s="71"/>
      <c r="O132" s="71">
        <f t="shared" si="325"/>
        <v>0</v>
      </c>
      <c r="P132" s="71">
        <f t="shared" si="325"/>
        <v>0</v>
      </c>
      <c r="Q132" s="71">
        <f t="shared" si="325"/>
        <v>0</v>
      </c>
      <c r="R132" s="71">
        <f>R121+R131</f>
        <v>4646664.6656987388</v>
      </c>
      <c r="T132" s="71">
        <f t="shared" ref="T132:Z132" si="326">T121+T131</f>
        <v>4925401.9142006906</v>
      </c>
      <c r="U132" s="71">
        <f t="shared" si="326"/>
        <v>692195.80560187495</v>
      </c>
      <c r="V132" s="71">
        <f t="shared" si="326"/>
        <v>64080</v>
      </c>
      <c r="W132" s="71"/>
      <c r="X132" s="71">
        <f t="shared" si="326"/>
        <v>0</v>
      </c>
      <c r="Y132" s="71">
        <f t="shared" si="326"/>
        <v>0</v>
      </c>
      <c r="Z132" s="71">
        <f t="shared" si="326"/>
        <v>0</v>
      </c>
      <c r="AA132" s="71">
        <f>AA121+AA131</f>
        <v>5681677.7198025649</v>
      </c>
      <c r="AC132" s="71">
        <f t="shared" ref="AC132:AI132" si="327">AC121+AC131</f>
        <v>9769568.0188560002</v>
      </c>
      <c r="AD132" s="71">
        <f t="shared" si="327"/>
        <v>1617608.0508714998</v>
      </c>
      <c r="AE132" s="71">
        <f t="shared" si="327"/>
        <v>168750</v>
      </c>
      <c r="AF132" s="71">
        <f t="shared" si="327"/>
        <v>0</v>
      </c>
      <c r="AG132" s="71">
        <f t="shared" si="327"/>
        <v>0</v>
      </c>
      <c r="AH132" s="71">
        <f t="shared" si="327"/>
        <v>0</v>
      </c>
      <c r="AI132" s="71">
        <f t="shared" si="327"/>
        <v>0</v>
      </c>
      <c r="AJ132" s="71">
        <f>AJ121+AJ131</f>
        <v>11555926.069727501</v>
      </c>
      <c r="AL132" s="71">
        <f t="shared" ref="AL132:AR132" si="328">AL121+AL131</f>
        <v>8850337.5926380791</v>
      </c>
      <c r="AM132" s="71">
        <f t="shared" si="328"/>
        <v>1375079.9002844999</v>
      </c>
      <c r="AN132" s="71">
        <f t="shared" si="328"/>
        <v>98550</v>
      </c>
      <c r="AO132" s="71">
        <f t="shared" si="328"/>
        <v>0</v>
      </c>
      <c r="AP132" s="71">
        <f t="shared" si="328"/>
        <v>0</v>
      </c>
      <c r="AQ132" s="71">
        <f t="shared" si="328"/>
        <v>0</v>
      </c>
      <c r="AR132" s="71">
        <f t="shared" si="328"/>
        <v>0</v>
      </c>
      <c r="AS132" s="71">
        <f>AS121+AS131</f>
        <v>10323967.492922578</v>
      </c>
      <c r="AU132" s="71">
        <f t="shared" ref="AU132:BA132" si="329">AU121+AU131</f>
        <v>150274.14173124998</v>
      </c>
      <c r="AV132" s="71">
        <f t="shared" si="329"/>
        <v>113830.04635615624</v>
      </c>
      <c r="AW132" s="71">
        <f t="shared" si="329"/>
        <v>0</v>
      </c>
      <c r="AX132" s="71">
        <f t="shared" si="329"/>
        <v>0</v>
      </c>
      <c r="AY132" s="71">
        <f t="shared" si="329"/>
        <v>0</v>
      </c>
      <c r="AZ132" s="71">
        <f t="shared" si="329"/>
        <v>0</v>
      </c>
      <c r="BA132" s="71">
        <f t="shared" si="329"/>
        <v>0</v>
      </c>
      <c r="BB132" s="71">
        <f>BB121+BB131</f>
        <v>264104.18808740622</v>
      </c>
      <c r="BD132" s="71">
        <f t="shared" ref="BD132:BJ132" si="330">BD121+BD131</f>
        <v>1934364.1306124998</v>
      </c>
      <c r="BE132" s="71">
        <f t="shared" si="330"/>
        <v>93800</v>
      </c>
      <c r="BF132" s="71">
        <f t="shared" si="330"/>
        <v>29880</v>
      </c>
      <c r="BG132" s="71">
        <f t="shared" si="330"/>
        <v>0</v>
      </c>
      <c r="BH132" s="71">
        <f t="shared" si="330"/>
        <v>0</v>
      </c>
      <c r="BI132" s="71">
        <f t="shared" si="330"/>
        <v>0</v>
      </c>
      <c r="BJ132" s="71">
        <f t="shared" si="330"/>
        <v>0</v>
      </c>
      <c r="BK132" s="71">
        <f>BK121+BK131</f>
        <v>2058044.1306124998</v>
      </c>
      <c r="BM132" s="71">
        <f t="shared" ref="BM132:BS132" si="331">BM121+BM131</f>
        <v>293030.87991249992</v>
      </c>
      <c r="BN132" s="71">
        <f t="shared" si="331"/>
        <v>0</v>
      </c>
      <c r="BO132" s="71">
        <f t="shared" si="331"/>
        <v>18900</v>
      </c>
      <c r="BP132" s="71">
        <f t="shared" si="331"/>
        <v>0</v>
      </c>
      <c r="BQ132" s="71">
        <f t="shared" si="331"/>
        <v>0</v>
      </c>
      <c r="BR132" s="71">
        <f t="shared" si="331"/>
        <v>0</v>
      </c>
      <c r="BS132" s="71">
        <f t="shared" si="331"/>
        <v>0</v>
      </c>
      <c r="BT132" s="71">
        <f>BT121+BT131</f>
        <v>311930.87991249992</v>
      </c>
      <c r="BV132" s="71">
        <f t="shared" ref="BV132:CB132" si="332">BV121+BV131</f>
        <v>33717419.11147131</v>
      </c>
      <c r="BW132" s="71">
        <f t="shared" si="332"/>
        <v>4939612.7966962187</v>
      </c>
      <c r="BX132" s="71">
        <f t="shared" si="332"/>
        <v>515694.44905</v>
      </c>
      <c r="BY132" s="71">
        <f t="shared" si="332"/>
        <v>0</v>
      </c>
      <c r="BZ132" s="71">
        <f t="shared" si="332"/>
        <v>0</v>
      </c>
      <c r="CA132" s="71">
        <f t="shared" si="332"/>
        <v>0</v>
      </c>
      <c r="CB132" s="71">
        <f t="shared" si="332"/>
        <v>0</v>
      </c>
      <c r="CC132" s="71">
        <f>CC121+CC131</f>
        <v>39172726.357217528</v>
      </c>
    </row>
    <row r="133" spans="1:81">
      <c r="A133" s="29" t="s">
        <v>115</v>
      </c>
      <c r="B133" s="52">
        <f>B132*0.335</f>
        <v>1256475.3062549732</v>
      </c>
      <c r="C133" s="52">
        <f t="shared" ref="C133:H133" si="333">C132*0.335</f>
        <v>172625.04924703125</v>
      </c>
      <c r="D133" s="52">
        <f t="shared" si="333"/>
        <v>21587.4</v>
      </c>
      <c r="E133" s="52">
        <f t="shared" si="333"/>
        <v>0</v>
      </c>
      <c r="F133" s="52">
        <f t="shared" si="333"/>
        <v>0</v>
      </c>
      <c r="G133" s="52">
        <f t="shared" si="333"/>
        <v>0</v>
      </c>
      <c r="H133" s="52">
        <f t="shared" si="333"/>
        <v>0</v>
      </c>
      <c r="I133" s="11">
        <f>SUM(B133:H133)</f>
        <v>1450687.7555020044</v>
      </c>
      <c r="J133" s="72"/>
      <c r="K133" s="52">
        <f>K132*0.335</f>
        <v>1354662.908974326</v>
      </c>
      <c r="L133" s="52">
        <f t="shared" ref="L133:Q133" si="334">L132*0.335</f>
        <v>178153.11360300155</v>
      </c>
      <c r="M133" s="52">
        <f t="shared" si="334"/>
        <v>23816.640431749998</v>
      </c>
      <c r="N133" s="52"/>
      <c r="O133" s="52">
        <f t="shared" si="334"/>
        <v>0</v>
      </c>
      <c r="P133" s="52">
        <f t="shared" si="334"/>
        <v>0</v>
      </c>
      <c r="Q133" s="52">
        <f t="shared" si="334"/>
        <v>0</v>
      </c>
      <c r="R133" s="11">
        <f>SUM(K133:Q133)</f>
        <v>1556632.6630090775</v>
      </c>
      <c r="T133" s="52">
        <f>T132*0.335-(T107*0.335)+(T107*0.125)</f>
        <v>1603212.9511503952</v>
      </c>
      <c r="U133" s="52">
        <f t="shared" ref="U133:Z133" si="335">U132*0.335</f>
        <v>231885.59487662811</v>
      </c>
      <c r="V133" s="52">
        <f t="shared" si="335"/>
        <v>21466.800000000003</v>
      </c>
      <c r="W133" s="52">
        <f t="shared" si="335"/>
        <v>0</v>
      </c>
      <c r="X133" s="52">
        <f t="shared" si="335"/>
        <v>0</v>
      </c>
      <c r="Y133" s="52">
        <f t="shared" si="335"/>
        <v>0</v>
      </c>
      <c r="Z133" s="52">
        <f t="shared" si="335"/>
        <v>0</v>
      </c>
      <c r="AA133" s="11">
        <f>SUM(T133:Z133)</f>
        <v>1856565.3460270234</v>
      </c>
      <c r="AC133" s="52">
        <f>AC132*0.335</f>
        <v>3272805.2863167604</v>
      </c>
      <c r="AD133" s="52">
        <f t="shared" ref="AD133:AI133" si="336">AD132*0.335</f>
        <v>541898.69704195252</v>
      </c>
      <c r="AE133" s="52">
        <f t="shared" si="336"/>
        <v>56531.25</v>
      </c>
      <c r="AF133" s="52"/>
      <c r="AG133" s="52">
        <f t="shared" si="336"/>
        <v>0</v>
      </c>
      <c r="AH133" s="52">
        <f t="shared" si="336"/>
        <v>0</v>
      </c>
      <c r="AI133" s="52">
        <f t="shared" si="336"/>
        <v>0</v>
      </c>
      <c r="AJ133" s="11">
        <f>SUM(AC133:AI133)</f>
        <v>3871235.2333587129</v>
      </c>
      <c r="AL133" s="52">
        <f>AL132*0.335</f>
        <v>2964863.0935337567</v>
      </c>
      <c r="AM133" s="52">
        <f t="shared" ref="AM133:AR133" si="337">AM132*0.335</f>
        <v>460651.7665953075</v>
      </c>
      <c r="AN133" s="52">
        <f t="shared" si="337"/>
        <v>33014.25</v>
      </c>
      <c r="AO133" s="52"/>
      <c r="AP133" s="52">
        <f t="shared" si="337"/>
        <v>0</v>
      </c>
      <c r="AQ133" s="52">
        <f t="shared" si="337"/>
        <v>0</v>
      </c>
      <c r="AR133" s="52">
        <f t="shared" si="337"/>
        <v>0</v>
      </c>
      <c r="AS133" s="11">
        <f>SUM(AL133:AR133)</f>
        <v>3458529.1101290639</v>
      </c>
      <c r="AU133" s="52">
        <f>AU132*0.335</f>
        <v>50341.837479968744</v>
      </c>
      <c r="AV133" s="52">
        <f t="shared" ref="AV133:BA133" si="338">AV132*0.335</f>
        <v>38133.065529312342</v>
      </c>
      <c r="AW133" s="52">
        <f t="shared" si="338"/>
        <v>0</v>
      </c>
      <c r="AX133" s="52"/>
      <c r="AY133" s="52">
        <f t="shared" si="338"/>
        <v>0</v>
      </c>
      <c r="AZ133" s="52">
        <f t="shared" si="338"/>
        <v>0</v>
      </c>
      <c r="BA133" s="52">
        <f t="shared" si="338"/>
        <v>0</v>
      </c>
      <c r="BB133" s="11">
        <f>SUM(AU133:BA133)</f>
        <v>88474.903009281086</v>
      </c>
      <c r="BD133" s="52">
        <f>BD132*0.335</f>
        <v>648011.98375518748</v>
      </c>
      <c r="BE133" s="52">
        <f t="shared" ref="BE133:BJ133" si="339">BE132*0.335</f>
        <v>31423.000000000004</v>
      </c>
      <c r="BF133" s="52">
        <f t="shared" si="339"/>
        <v>10009.800000000001</v>
      </c>
      <c r="BG133" s="52">
        <f t="shared" si="339"/>
        <v>0</v>
      </c>
      <c r="BH133" s="52">
        <f>BH132*0.335</f>
        <v>0</v>
      </c>
      <c r="BI133" s="52">
        <f t="shared" si="339"/>
        <v>0</v>
      </c>
      <c r="BJ133" s="52">
        <f t="shared" si="339"/>
        <v>0</v>
      </c>
      <c r="BK133" s="11">
        <f>SUM(BD133:BJ133)</f>
        <v>689444.78375518753</v>
      </c>
      <c r="BM133" s="52">
        <f>BM132*0.335</f>
        <v>98165.344770687472</v>
      </c>
      <c r="BN133" s="52">
        <f t="shared" ref="BN133:BO133" si="340">BN132*0.335</f>
        <v>0</v>
      </c>
      <c r="BO133" s="52">
        <f t="shared" si="340"/>
        <v>6331.5</v>
      </c>
      <c r="BP133" s="52"/>
      <c r="BQ133" s="52">
        <f t="shared" ref="BQ133:BS133" si="341">BQ132*0.335</f>
        <v>0</v>
      </c>
      <c r="BR133" s="52">
        <f t="shared" si="341"/>
        <v>0</v>
      </c>
      <c r="BS133" s="52">
        <f t="shared" si="341"/>
        <v>0</v>
      </c>
      <c r="BT133" s="11">
        <f>SUM(BM133:BS133)</f>
        <v>104496.84477068747</v>
      </c>
      <c r="BV133" s="5">
        <f t="shared" ref="BV133:CA140" si="342">B133+K133+T133+AC133+AL133+AU133+BD133+BM133</f>
        <v>11248538.712236054</v>
      </c>
      <c r="BW133" s="5">
        <f t="shared" si="342"/>
        <v>1654770.2868932332</v>
      </c>
      <c r="BX133" s="5">
        <f t="shared" si="342"/>
        <v>172757.64043174998</v>
      </c>
      <c r="BY133" s="5">
        <f t="shared" si="342"/>
        <v>0</v>
      </c>
      <c r="BZ133" s="5">
        <f t="shared" si="342"/>
        <v>0</v>
      </c>
      <c r="CA133" s="5">
        <f t="shared" si="342"/>
        <v>0</v>
      </c>
      <c r="CB133" s="52">
        <f t="shared" ref="CB133" si="343">CB132*0.335</f>
        <v>0</v>
      </c>
      <c r="CC133" s="11">
        <f>SUM(BV133:CB133)</f>
        <v>13076066.639561038</v>
      </c>
    </row>
    <row r="134" spans="1:81">
      <c r="A134" s="29" t="s">
        <v>116</v>
      </c>
      <c r="B134" s="11">
        <f>B132*0.155</f>
        <v>581354.24617767415</v>
      </c>
      <c r="C134" s="11">
        <f t="shared" ref="C134:H134" si="344">C132*0.155</f>
        <v>79871.291442656249</v>
      </c>
      <c r="D134" s="11">
        <f t="shared" si="344"/>
        <v>9988.2000000000007</v>
      </c>
      <c r="E134" s="11">
        <f t="shared" si="344"/>
        <v>0</v>
      </c>
      <c r="F134" s="11">
        <f t="shared" si="344"/>
        <v>0</v>
      </c>
      <c r="G134" s="11">
        <f t="shared" si="344"/>
        <v>0</v>
      </c>
      <c r="H134" s="11">
        <f t="shared" si="344"/>
        <v>0</v>
      </c>
      <c r="I134" s="11">
        <f>SUM(B134:H134)</f>
        <v>671213.73762033042</v>
      </c>
      <c r="J134" s="72"/>
      <c r="K134" s="11">
        <f>K132*0.155</f>
        <v>626784.33101797174</v>
      </c>
      <c r="L134" s="11">
        <f t="shared" ref="L134:Q134" si="345">L132*0.155</f>
        <v>82429.052562582801</v>
      </c>
      <c r="M134" s="11">
        <f t="shared" si="345"/>
        <v>11019.63960275</v>
      </c>
      <c r="N134" s="11">
        <f t="shared" si="345"/>
        <v>0</v>
      </c>
      <c r="O134" s="11">
        <f t="shared" si="345"/>
        <v>0</v>
      </c>
      <c r="P134" s="11">
        <f t="shared" si="345"/>
        <v>0</v>
      </c>
      <c r="Q134" s="11">
        <f t="shared" si="345"/>
        <v>0</v>
      </c>
      <c r="R134" s="11">
        <f>SUM(K134:Q134)</f>
        <v>720233.02318330447</v>
      </c>
      <c r="T134" s="11">
        <f>T132*0.155</f>
        <v>763437.29670110706</v>
      </c>
      <c r="U134" s="11">
        <f t="shared" ref="U134:Z134" si="346">U132*0.155</f>
        <v>107290.34986829062</v>
      </c>
      <c r="V134" s="11">
        <f t="shared" si="346"/>
        <v>9932.4</v>
      </c>
      <c r="W134" s="11">
        <f t="shared" si="346"/>
        <v>0</v>
      </c>
      <c r="X134" s="11">
        <f t="shared" si="346"/>
        <v>0</v>
      </c>
      <c r="Y134" s="11">
        <f t="shared" si="346"/>
        <v>0</v>
      </c>
      <c r="Z134" s="11">
        <f t="shared" si="346"/>
        <v>0</v>
      </c>
      <c r="AA134" s="11">
        <f>SUM(T134:Z134)</f>
        <v>880660.04656939767</v>
      </c>
      <c r="AC134" s="11">
        <f>AC132*0.155</f>
        <v>1514283.04292268</v>
      </c>
      <c r="AD134" s="11">
        <f t="shared" ref="AD134:AI134" si="347">AD132*0.155</f>
        <v>250729.24788508247</v>
      </c>
      <c r="AE134" s="11">
        <f t="shared" si="347"/>
        <v>26156.25</v>
      </c>
      <c r="AF134" s="11">
        <f t="shared" si="347"/>
        <v>0</v>
      </c>
      <c r="AG134" s="11">
        <f t="shared" si="347"/>
        <v>0</v>
      </c>
      <c r="AH134" s="11">
        <f t="shared" si="347"/>
        <v>0</v>
      </c>
      <c r="AI134" s="11">
        <f t="shared" si="347"/>
        <v>0</v>
      </c>
      <c r="AJ134" s="11">
        <f>SUM(AC134:AI134)</f>
        <v>1791168.5408077624</v>
      </c>
      <c r="AL134" s="11">
        <f>AL132*0.155</f>
        <v>1371802.3268589024</v>
      </c>
      <c r="AM134" s="11">
        <f t="shared" ref="AM134:AR134" si="348">AM132*0.155</f>
        <v>213137.38454409747</v>
      </c>
      <c r="AN134" s="11">
        <f t="shared" si="348"/>
        <v>15275.25</v>
      </c>
      <c r="AO134" s="11">
        <f t="shared" si="348"/>
        <v>0</v>
      </c>
      <c r="AP134" s="11">
        <f t="shared" si="348"/>
        <v>0</v>
      </c>
      <c r="AQ134" s="11">
        <f t="shared" si="348"/>
        <v>0</v>
      </c>
      <c r="AR134" s="11">
        <f t="shared" si="348"/>
        <v>0</v>
      </c>
      <c r="AS134" s="11">
        <f>SUM(AL134:AR134)</f>
        <v>1600214.9614029997</v>
      </c>
      <c r="AU134" s="11">
        <f>AU132*0.155</f>
        <v>23292.491968343747</v>
      </c>
      <c r="AV134" s="11">
        <f t="shared" ref="AV134:BA134" si="349">AV132*0.155</f>
        <v>17643.657185204218</v>
      </c>
      <c r="AW134" s="11">
        <f t="shared" si="349"/>
        <v>0</v>
      </c>
      <c r="AX134" s="11">
        <f t="shared" si="349"/>
        <v>0</v>
      </c>
      <c r="AY134" s="11">
        <f t="shared" si="349"/>
        <v>0</v>
      </c>
      <c r="AZ134" s="11">
        <f t="shared" si="349"/>
        <v>0</v>
      </c>
      <c r="BA134" s="11">
        <f t="shared" si="349"/>
        <v>0</v>
      </c>
      <c r="BB134" s="11">
        <f>SUM(AU134:BA134)</f>
        <v>40936.149153547965</v>
      </c>
      <c r="BD134" s="11">
        <f>BD132*0.155</f>
        <v>299826.44024493749</v>
      </c>
      <c r="BE134" s="11">
        <f t="shared" ref="BE134:BJ134" si="350">BE132*0.155</f>
        <v>14539</v>
      </c>
      <c r="BF134" s="11">
        <f t="shared" si="350"/>
        <v>4631.3999999999996</v>
      </c>
      <c r="BG134" s="11">
        <f t="shared" si="350"/>
        <v>0</v>
      </c>
      <c r="BH134" s="11">
        <f t="shared" si="350"/>
        <v>0</v>
      </c>
      <c r="BI134" s="11">
        <f t="shared" si="350"/>
        <v>0</v>
      </c>
      <c r="BJ134" s="11">
        <f t="shared" si="350"/>
        <v>0</v>
      </c>
      <c r="BK134" s="11">
        <f>SUM(BD134:BJ134)</f>
        <v>318996.84024493751</v>
      </c>
      <c r="BM134" s="11">
        <f>BM132*0.155</f>
        <v>45419.786386437489</v>
      </c>
      <c r="BN134" s="11">
        <f t="shared" ref="BN134:BR134" si="351">BN132*0.155</f>
        <v>0</v>
      </c>
      <c r="BO134" s="11">
        <f t="shared" si="351"/>
        <v>2929.5</v>
      </c>
      <c r="BP134" s="11">
        <f t="shared" si="351"/>
        <v>0</v>
      </c>
      <c r="BQ134" s="11">
        <f t="shared" si="351"/>
        <v>0</v>
      </c>
      <c r="BR134" s="11">
        <f t="shared" si="351"/>
        <v>0</v>
      </c>
      <c r="BS134" s="11">
        <f t="shared" ref="BS134" si="352">((6850*BS65)*0.85)+((175*BS65)*0.85)+((70*BS65)*0.85)+(BS132*0.015)+(BS132*0.031)</f>
        <v>0</v>
      </c>
      <c r="BT134" s="11">
        <f>SUM(BM134:BS134)</f>
        <v>48349.286386437489</v>
      </c>
      <c r="BV134" s="5">
        <f t="shared" si="342"/>
        <v>5226199.9622780541</v>
      </c>
      <c r="BW134" s="5">
        <f t="shared" si="342"/>
        <v>765639.98348791385</v>
      </c>
      <c r="BX134" s="5">
        <f t="shared" si="342"/>
        <v>79932.639602749987</v>
      </c>
      <c r="BY134" s="5">
        <f t="shared" si="342"/>
        <v>0</v>
      </c>
      <c r="BZ134" s="5">
        <f t="shared" si="342"/>
        <v>0</v>
      </c>
      <c r="CA134" s="5">
        <f t="shared" si="342"/>
        <v>0</v>
      </c>
      <c r="CB134" s="11">
        <f t="shared" ref="CB134" si="353">((6850*CB65)*0.85)+((175*CB65)*0.85)+((70*CB65)*0.85)+(CB132*0.015)+(CB132*0.031)</f>
        <v>0</v>
      </c>
      <c r="CC134" s="11">
        <f>SUM(BV134:CB134)</f>
        <v>6071772.585368718</v>
      </c>
    </row>
    <row r="135" spans="1:81">
      <c r="A135" s="29" t="s">
        <v>117</v>
      </c>
      <c r="B135" s="11">
        <f>((2500*B39)+(2000*B40)+(1750*B41)+(1750*B42)+(1750*B43)+(1750*B44)+(1750*B45)+(1100*B46)+(1000*B47)+(500*B48)+(500*B49)+(500*B50)+(500*B51)+(500*B52)+(500*B53)+(1100*B54)+(1000*B55)+(1100*B56)+(1100*B57)+(1100*B58)+(500*B59)+(500*B60)+(1100*B36))*0.99+5000</f>
        <v>69548</v>
      </c>
      <c r="C135" s="11">
        <f t="shared" ref="C135:D135" si="354">((2500*C39)+(2000*C40)+(1750*C41)+(1750*C42)+(1750*C43)+(1750*C44)+(1750*C45)+(1100*C46)+(1000*C47)+(500*C48)+(500*C49)+(500*C50)+(500*C51)+(500*C52)+(500*C53)+(1100*C54)+(1000*C55)+(1100*C56)+(1100*C57)+(1100*C58)+(500*C59)+(500*C60)+(1100*C36))*0.99</f>
        <v>8514</v>
      </c>
      <c r="D135" s="11">
        <f t="shared" si="354"/>
        <v>990</v>
      </c>
      <c r="E135" s="11">
        <f t="shared" ref="E135:H135" si="355">((2000*E39)+(1750*E40)+(1500*E41)+(1500*E42)+(1500*E43)+(1500*E44)+(1500*E45)+(1000*E46)+(1000*E47)+(500*E48)+(500*E49)+(500*E50)+(500*E51)+(500*E52)+(500*E53)+(1000*E54)+(1000*E55)+(1000*E56)+(1000*E57)+(1000*E58)+(500*E59)+(500*E60)+(1000*E36))*0.99</f>
        <v>0</v>
      </c>
      <c r="F135" s="11">
        <f t="shared" si="355"/>
        <v>0</v>
      </c>
      <c r="G135" s="11">
        <f t="shared" si="355"/>
        <v>0</v>
      </c>
      <c r="H135" s="11">
        <f t="shared" si="355"/>
        <v>0</v>
      </c>
      <c r="I135" s="11">
        <f t="shared" ref="I135:I140" si="356">SUM(B135:H135)</f>
        <v>79052</v>
      </c>
      <c r="K135" s="11">
        <f>((2500*K39)+(2000*K40)+(1750*K41)+(1750*K42)+(1750*K43)+(1750*K44)+(1750*K45)+(1100*K46)+(1000*K47)+(500*K48)+(500*K49)+(500*K50)+(500*K51)+(500*K52)+(500*K53)+(1100*K54)+(1000*K55)+(1100*K56)+(1100*K57)+(1100*K58)+(500*K59)+(500*K60)+(1100*K36))*0.99+5000</f>
        <v>73805</v>
      </c>
      <c r="L135" s="11">
        <f t="shared" ref="L135:M135" si="357">((2500*L39)+(2000*L40)+(1750*L41)+(1750*L42)+(1750*L43)+(1750*L44)+(1750*L45)+(1100*L46)+(1000*L47)+(500*L48)+(500*L49)+(500*L50)+(500*L51)+(500*L52)+(500*L53)+(1100*L54)+(1000*L55)+(1100*L56)+(1100*L57)+(1100*L58)+(500*L59)+(500*L60)+(1100*L36))*0.99</f>
        <v>8514</v>
      </c>
      <c r="M135" s="11">
        <f t="shared" si="357"/>
        <v>990</v>
      </c>
      <c r="N135" s="11">
        <f t="shared" ref="N135:Q135" si="358">((2000*N39)+(1750*N40)+(1500*N41)+(1500*N42)+(1500*N43)+(1500*N44)+(1500*N45)+(1000*N46)+(1000*N47)+(500*N48)+(500*N49)+(500*N50)+(500*N51)+(500*N52)+(500*N53)+(1000*N54)+(1000*N55)+(1000*N56)+(1000*N57)+(1000*N58)+(500*N59)+(500*N60)+(1000*N36))*0.99</f>
        <v>0</v>
      </c>
      <c r="O135" s="11">
        <f t="shared" si="358"/>
        <v>0</v>
      </c>
      <c r="P135" s="11">
        <f t="shared" si="358"/>
        <v>0</v>
      </c>
      <c r="Q135" s="11">
        <f t="shared" si="358"/>
        <v>0</v>
      </c>
      <c r="R135" s="11">
        <f t="shared" ref="R135:R140" si="359">SUM(K135:Q135)</f>
        <v>83309</v>
      </c>
      <c r="T135" s="11">
        <f>((2500*T39)+(2000*T40)+(1750*T41)+(1750*T42)+(1750*T43)+(1750*T44)+(1750*T45)+(1100*T46)+(1000*T47)+(500*T48)+(500*T49)+(500*T50)+(500*T51)+(500*T52)+(500*T53)+(1100*T54)+(1000*T55)+(1100*T56)+(1100*T57)+(1100*T58)+(500*T59)+(500*T60)+(1100*T36))*0.99+5000</f>
        <v>86873</v>
      </c>
      <c r="U135" s="11">
        <f t="shared" ref="U135:V135" si="360">((2500*U39)+(2000*U40)+(1750*U41)+(1750*U42)+(1750*U43)+(1750*U44)+(1750*U45)+(1100*U46)+(1000*U47)+(500*U48)+(500*U49)+(500*U50)+(500*U51)+(500*U52)+(500*U53)+(1100*U54)+(1000*U55)+(1100*U56)+(1100*U57)+(1100*U58)+(500*U59)+(500*U60)+(1100*U36))*0.99</f>
        <v>11447.37</v>
      </c>
      <c r="V135" s="11">
        <f t="shared" si="360"/>
        <v>990</v>
      </c>
      <c r="W135" s="11">
        <f t="shared" ref="W135:Z135" si="361">((2000*W39)+(1750*W40)+(1500*W41)+(1500*W42)+(1500*W43)+(1500*W44)+(1500*W45)+(1000*W46)+(1000*W47)+(500*W48)+(500*W49)+(500*W50)+(500*W51)+(500*W52)+(500*W53)+(1000*W54)+(1000*W55)+(1000*W56)+(1000*W57)+(1000*W58)+(500*W59)+(500*W60)+(1000*W36))</f>
        <v>0</v>
      </c>
      <c r="X135" s="11">
        <f t="shared" si="361"/>
        <v>0</v>
      </c>
      <c r="Y135" s="11">
        <f t="shared" si="361"/>
        <v>0</v>
      </c>
      <c r="Z135" s="11">
        <f t="shared" si="361"/>
        <v>0</v>
      </c>
      <c r="AA135" s="11">
        <f t="shared" ref="AA135:AA140" si="362">SUM(T135:Z135)</f>
        <v>99310.37</v>
      </c>
      <c r="AC135" s="11">
        <f>((2500*AC39)+(2000*AC40)+(1750*AC41)+(1750*AC42)+(1750*AC43)+(1750*AC44)+(1750*AC45)+(1100*AC46)+(1000*AC47)+(500*AC48)+(500*AC49)+(500*AC50)+(500*AC51)+(500*AC52)+(500*AC53)+(1100*AC54)+(1000*AC55)+(1100*AC56)+(1100*AC57)+(1100*AC58)+(500*AC59)+(500*AC60)+(1100*AC36))*0.99+10000</f>
        <v>168053.5</v>
      </c>
      <c r="AD135" s="11">
        <f t="shared" ref="AD135:AE135" si="363">((2500*AD39)+(2000*AD40)+(1750*AD41)+(1750*AD42)+(1750*AD43)+(1750*AD44)+(1750*AD45)+(1100*AD46)+(1000*AD47)+(500*AD48)+(500*AD49)+(500*AD50)+(500*AD51)+(500*AD52)+(500*AD53)+(1100*AD54)+(1000*AD55)+(1100*AD56)+(1100*AD57)+(1100*AD58)+(500*AD59)+(500*AD60)+(1100*AD36))*0.99</f>
        <v>24849</v>
      </c>
      <c r="AE135" s="11">
        <f t="shared" si="363"/>
        <v>2970</v>
      </c>
      <c r="AF135" s="11">
        <f t="shared" ref="AF135:AI135" si="364">((2000*AF39)+(1750*AF40)+(1500*AF41)+(1500*AF42)+(1500*AF43)+(1500*AF44)+(1500*AF45)+(1000*AF46)+(1000*AF47)+(500*AF48)+(500*AF49)+(500*AF50)+(500*AF51)+(500*AF52)+(500*AF53)+(1000*AF54)+(1000*AF55)+(1000*AF56)+(1000*AF57)+(1000*AF58)+(500*AF59)+(500*AF60)+(1000*AF36))*0.99</f>
        <v>0</v>
      </c>
      <c r="AG135" s="11">
        <f t="shared" si="364"/>
        <v>0</v>
      </c>
      <c r="AH135" s="11">
        <f t="shared" si="364"/>
        <v>0</v>
      </c>
      <c r="AI135" s="11">
        <f t="shared" si="364"/>
        <v>0</v>
      </c>
      <c r="AJ135" s="11">
        <f t="shared" ref="AJ135:AJ140" si="365">SUM(AC135:AI135)</f>
        <v>195872.5</v>
      </c>
      <c r="AL135" s="11">
        <f>((2500*AL39)+(2000*AL40)+(1750*AL41)+(1750*AL42)+(1750*AL43)+(1750*AL44)+(1750*AL45)+(1100*AL46)+(1000*AL47)+(500*AL48)+(500*AL49)+(500*AL50)+(500*AL51)+(500*AL52)+(500*AL53)+(1100*AL54)+(1000*AL55)+(1100*AL56)+(1100*AL57)+(1100*AL58)+(500*AL59)+(500*AL60)+(1100*AL36))*0.99</f>
        <v>147510</v>
      </c>
      <c r="AM135" s="11">
        <f t="shared" ref="AM135:AN135" si="366">((2500*AM39)+(2000*AM40)+(1750*AM41)+(1750*AM42)+(1750*AM43)+(1750*AM44)+(1750*AM45)+(1100*AM46)+(1000*AM47)+(500*AM48)+(500*AM49)+(500*AM50)+(500*AM51)+(500*AM52)+(500*AM53)+(1100*AM54)+(1000*AM55)+(1100*AM56)+(1100*AM57)+(1100*AM58)+(500*AM59)+(500*AM60)+(1100*AM36))*0.99</f>
        <v>21730.5</v>
      </c>
      <c r="AN135" s="11">
        <f t="shared" si="366"/>
        <v>1980</v>
      </c>
      <c r="AO135" s="11">
        <f t="shared" ref="AO135:AR135" si="367">((2000*AO39)+(1750*AO40)+(1500*AO41)+(1500*AO42)+(1500*AO43)+(1500*AO44)+(1500*AO45)+(1000*AO46)+(1000*AO47)+(500*AO48)+(500*AO49)+(500*AO50)+(500*AO51)+(500*AO52)+(500*AO53)+(1000*AO54)+(1000*AO55)+(1000*AO56)+(1000*AO57)+(1000*AO58)+(500*AO59)+(500*AO60)+(1000*AO36))*0.99</f>
        <v>0</v>
      </c>
      <c r="AP135" s="11">
        <f t="shared" si="367"/>
        <v>0</v>
      </c>
      <c r="AQ135" s="11">
        <f t="shared" si="367"/>
        <v>0</v>
      </c>
      <c r="AR135" s="11">
        <f t="shared" si="367"/>
        <v>0</v>
      </c>
      <c r="AS135" s="11">
        <f t="shared" ref="AS135:AS140" si="368">SUM(AL135:AR135)</f>
        <v>171220.5</v>
      </c>
      <c r="AU135" s="11">
        <f>((2500*AU39)+(2000*AU40)+(1750*AU41)+(1750*AU42)+(1750*AU43)+(1750*AU44)+(1750*AU45)+(1100*AU46)+(1000*AU47)+(500*AU48)+(500*AU49)+(500*AU50)+(500*AU51)+(500*AU52)+(500*AU53)+(1100*AU54)+(1000*AU55)+(1100*AU56)+(1100*AU57)+(1100*AU58)+(500*AU59)+(500*AU60)+(1100*AU36))*0.99</f>
        <v>2722.5</v>
      </c>
      <c r="AV135" s="11">
        <f t="shared" ref="AV135:AW135" si="369">((2500*AV39)+(2000*AV40)+(1750*AV41)+(1750*AV42)+(1750*AV43)+(1750*AV44)+(1750*AV45)+(1100*AV46)+(1000*AV47)+(500*AV48)+(500*AV49)+(500*AV50)+(500*AV51)+(500*AV52)+(500*AV53)+(1100*AV54)+(1000*AV55)+(1100*AV56)+(1100*AV57)+(1100*AV58)+(500*AV59)+(500*AV60)+(1100*AV36))*0.99</f>
        <v>1584</v>
      </c>
      <c r="AW135" s="11">
        <f t="shared" si="369"/>
        <v>0</v>
      </c>
      <c r="AX135" s="11">
        <f t="shared" ref="AX135:AY135" si="370">((2000*AX39)+(1750*AX40)+(1500*AX41)+(1500*AX42)+(1500*AX43)+(1500*AX44)+(1500*AX45)+(1000*AX46)+(1000*AX47)+(500*AX48)+(500*AX49)+(500*AX50)+(500*AX51)+(500*AX52)+(500*AX53)+(1000*AX54)+(1000*AX55)+(1000*AX56)+(1000*AX57)+(1000*AX58)+(500*AX59)+(500*AX60)+(1000*AX36))</f>
        <v>0</v>
      </c>
      <c r="AY135" s="11">
        <f t="shared" si="370"/>
        <v>0</v>
      </c>
      <c r="AZ135" s="11">
        <f t="shared" ref="AZ135:BA135" si="371">((2000*AZ39)+(1750*AZ40)+(1500*AZ41)+(1500*AZ42)+(1500*AZ43)+(1500*AZ44)+(1500*AZ45)+(1000*AZ46)+(1000*AZ47)+(500*AZ48)+(500*AZ49)+(500*AZ50)+(500*AZ51)+(500*AZ52)+(500*AZ53)+(1000*AZ54)+(1000*AZ55)+(1000*AZ56)+(1000*AZ57)+(1000*AZ58)+(500*AZ59)+(500*AZ60)+(1000*AZ36))*0.99</f>
        <v>0</v>
      </c>
      <c r="BA135" s="11">
        <f t="shared" si="371"/>
        <v>0</v>
      </c>
      <c r="BB135" s="11">
        <f t="shared" ref="BB135:BB140" si="372">SUM(AU135:BA135)</f>
        <v>4306.5</v>
      </c>
      <c r="BD135" s="11">
        <f>((2500*BD39)+(2000*BD40)+(1750*BD41)+(1750*BD42)+(1750*BD43)+(1750*BD44)+(1750*BD45)+(1100*BD46)+(1000*BD47)+(500*BD48)+(500*BD49)+(500*BD50)+(500*BD51)+(500*BD52)+(500*BD53)+(1100*BD54)+(1000*BD55)+(1100*BD56)+(1100*BD57)+(1100*BD58)+(500*BD59)+(500*BD60)+(1100*BD36))*0.8</f>
        <v>28120</v>
      </c>
      <c r="BE135" s="11">
        <f>((2500*BE39)+(2000*BE40)+(1750*BE41)+(1750*BE42)+(1750*BE43)+(1750*BE44)+(1750*BE45)+(1100*BE46)+(1000*BE47)+(500*BE48)+(500*BE49)+(500*BE50)+(500*BE51)+(500*BE52)+(500*BE53)+(1100*BE54)+(1000*BE55)+(1100*BE56)+(1100*BE57)+(1100*BE58)+(500*BE59)+(500*BE60)+(1100*BE36))</f>
        <v>1600</v>
      </c>
      <c r="BF135" s="11">
        <f t="shared" ref="BF135" si="373">((2500*BF39)+(2000*BF40)+(1750*BF41)+(1750*BF42)+(1750*BF43)+(1750*BF44)+(1750*BF45)+(1100*BF46)+(1000*BF47)+(500*BF48)+(500*BF49)+(500*BF50)+(500*BF51)+(500*BF52)+(500*BF53)+(1100*BF54)+(1000*BF55)+(1100*BF56)+(1100*BF57)+(1100*BF58)+(500*BF59)+(500*BF60)+(1100*BF36))*0.99</f>
        <v>495</v>
      </c>
      <c r="BG135" s="11">
        <v>0</v>
      </c>
      <c r="BH135" s="11"/>
      <c r="BI135" s="11">
        <f t="shared" ref="BI135" si="374">((2000*BI39)+(1750*BI40)+(1500*BI41)+(1500*BI42)+(1500*BI43)+(1500*BI44)+(1500*BI45)+(1000*BI46)+(1000*BI47)+(500*BI48)+(500*BI49)+(500*BI50)+(500*BI51)+(500*BI52)+(500*BI53)+(1000*BI54)+(1000*BI55)+(1000*BI56)+(1000*BI57)+(1000*BI58)+(500*BI59)+(500*BI60)+(1000*BI36))*0.33</f>
        <v>0</v>
      </c>
      <c r="BJ135" s="11">
        <f t="shared" ref="BJ135" si="375">((2000*BJ39)+(1750*BJ40)+(1500*BJ41)+(1500*BJ42)+(1500*BJ43)+(1500*BJ44)+(1500*BJ45)+(1000*BJ46)+(1000*BJ47)+(500*BJ48)+(500*BJ49)+(500*BJ50)+(500*BJ51)+(500*BJ52)+(500*BJ53)+(1000*BJ54)+(1000*BJ55)+(1000*BJ56)+(1000*BJ57)+(1000*BJ58)+(500*BJ59)+(500*BJ60)+(1000*BJ36))*0.99</f>
        <v>0</v>
      </c>
      <c r="BK135" s="11">
        <f t="shared" ref="BK135:BK140" si="376">SUM(BD135:BJ135)</f>
        <v>30215</v>
      </c>
      <c r="BM135" s="11">
        <f>((2000*BM39)+(1750*BM40)+(1500*BM41)+(1500*BM42)+(1500*BM43)+(1500*BM44)+(1500*BM45)+(1000*BM46)+(1000*BM47)+(500*BM48)+(500*BM49)+(500*BM50)+(500*BM51)+(500*BM52)+(500*BM53)+(1000*BM54)+(1000*BM55)+(1000*BM56)+(1000*BM57)+(1000*BM58)+(500*BM59)+(500*BM60)+(1000*BM36))</f>
        <v>3750</v>
      </c>
      <c r="BN135" s="11">
        <f t="shared" ref="BN135:BS135" si="377">((2000*BN39)+(1750*BN40)+(1500*BN41)+(1500*BN42)+(1500*BN43)+(1500*BN44)+(1500*BN45)+(1000*BN46)+(1000*BN47)+(500*BN48)+(500*BN49)+(500*BN50)+(500*BN51)+(500*BN52)+(500*BN53)+(1000*BN54)+(1000*BN55)+(1000*BN56)+(1000*BN57)+(1000*BN58)+(500*BN59)+(500*BN60)+(1000*BN36))*0.99</f>
        <v>0</v>
      </c>
      <c r="BO135" s="11">
        <f>((2000*BO39)+(1750*BO40)+(1500*BO41)+(1500*BO42)+(1500*BO43)+(1500*BO44)+(1500*BO45)+(1000*BO46)+(1000*BO47)+(500*BO48)+(500*BO49)+(500*BO50)+(500*BO51)+(500*BO52)+(500*BO53)+(1000*BO54)+(1000*BO55)+(1000*BO56)+(1000*BO57)+(1000*BO58)+(500*BO59)+(500*BO60)+(1000*BO36))</f>
        <v>250</v>
      </c>
      <c r="BP135" s="11">
        <f t="shared" si="377"/>
        <v>0</v>
      </c>
      <c r="BQ135" s="11">
        <f t="shared" si="377"/>
        <v>0</v>
      </c>
      <c r="BR135" s="11">
        <f t="shared" si="377"/>
        <v>0</v>
      </c>
      <c r="BS135" s="11">
        <f t="shared" si="377"/>
        <v>0</v>
      </c>
      <c r="BT135" s="11">
        <f t="shared" ref="BT135:BT140" si="378">SUM(BM135:BS135)</f>
        <v>4000</v>
      </c>
      <c r="BV135" s="5">
        <f t="shared" si="342"/>
        <v>580382</v>
      </c>
      <c r="BW135" s="5">
        <f t="shared" si="342"/>
        <v>78238.87</v>
      </c>
      <c r="BX135" s="5">
        <f t="shared" si="342"/>
        <v>8665</v>
      </c>
      <c r="BY135" s="5">
        <f t="shared" si="342"/>
        <v>0</v>
      </c>
      <c r="BZ135" s="5">
        <f t="shared" si="342"/>
        <v>0</v>
      </c>
      <c r="CA135" s="5">
        <f t="shared" si="342"/>
        <v>0</v>
      </c>
      <c r="CB135" s="11">
        <f t="shared" ref="CB135" si="379">((2000*CB39)+(1750*CB40)+(1500*CB41)+(1500*CB42)+(1500*CB43)+(1500*CB44)+(1500*CB45)+(1000*CB46)+(1000*CB47)+(500*CB48)+(500*CB49)+(500*CB50)+(500*CB51)+(500*CB52)+(500*CB53)+(1000*CB54)+(1000*CB55)+(1000*CB56)+(1000*CB57)+(1000*CB58)+(500*CB59)+(500*CB60)+(1000*CB36))*0.99</f>
        <v>0</v>
      </c>
      <c r="CC135" s="11">
        <f t="shared" ref="CC135:CC140" si="380">SUM(BV135:CB135)</f>
        <v>667285.87</v>
      </c>
    </row>
    <row r="136" spans="1:81">
      <c r="A136" s="29" t="s">
        <v>118</v>
      </c>
      <c r="B136" s="11">
        <f>150*B65+(150*25)</f>
        <v>12825</v>
      </c>
      <c r="C136" s="11">
        <f>150*C65</f>
        <v>1500</v>
      </c>
      <c r="D136" s="11">
        <f>150*D65</f>
        <v>300</v>
      </c>
      <c r="E136" s="11"/>
      <c r="F136" s="11"/>
      <c r="G136" s="11">
        <f>125*G65</f>
        <v>0</v>
      </c>
      <c r="H136" s="11">
        <f>125*H65</f>
        <v>0</v>
      </c>
      <c r="I136" s="11">
        <f t="shared" si="356"/>
        <v>14625</v>
      </c>
      <c r="K136" s="11">
        <f>150*K65+(150*25)</f>
        <v>13650</v>
      </c>
      <c r="L136" s="11">
        <f>150*L65</f>
        <v>1500</v>
      </c>
      <c r="M136" s="11">
        <f>150*M65</f>
        <v>300</v>
      </c>
      <c r="N136" s="11"/>
      <c r="O136" s="11">
        <f>125*O65</f>
        <v>0</v>
      </c>
      <c r="P136" s="11">
        <f>125*P65</f>
        <v>0</v>
      </c>
      <c r="Q136" s="11">
        <f>125*Q65</f>
        <v>0</v>
      </c>
      <c r="R136" s="11">
        <f t="shared" si="359"/>
        <v>15450</v>
      </c>
      <c r="T136" s="11">
        <f>150*T65+(150*25)</f>
        <v>15450</v>
      </c>
      <c r="U136" s="11">
        <f>150*U65</f>
        <v>1999.5</v>
      </c>
      <c r="V136" s="11">
        <f>150*V65</f>
        <v>300</v>
      </c>
      <c r="W136" s="11">
        <f t="shared" ref="W136:Z136" si="381">125*W65</f>
        <v>0</v>
      </c>
      <c r="X136" s="11">
        <f t="shared" si="381"/>
        <v>0</v>
      </c>
      <c r="Y136" s="11">
        <f t="shared" si="381"/>
        <v>0</v>
      </c>
      <c r="Z136" s="11">
        <f t="shared" si="381"/>
        <v>0</v>
      </c>
      <c r="AA136" s="11">
        <f t="shared" si="362"/>
        <v>17749.5</v>
      </c>
      <c r="AC136" s="11">
        <f>150*AC65+(150*35)</f>
        <v>27900</v>
      </c>
      <c r="AD136" s="11">
        <f>150*AD65</f>
        <v>4500</v>
      </c>
      <c r="AE136" s="11">
        <f>150*AE65</f>
        <v>900</v>
      </c>
      <c r="AF136" s="11"/>
      <c r="AG136" s="11">
        <f>125*AG65</f>
        <v>0</v>
      </c>
      <c r="AH136" s="11">
        <f>125*AH65</f>
        <v>0</v>
      </c>
      <c r="AI136" s="11">
        <f>125*AI65</f>
        <v>0</v>
      </c>
      <c r="AJ136" s="11">
        <f t="shared" si="365"/>
        <v>33300</v>
      </c>
      <c r="AL136" s="11">
        <f>150*AL65+(150*25)</f>
        <v>24750</v>
      </c>
      <c r="AM136" s="11">
        <f>150*AM65</f>
        <v>3975</v>
      </c>
      <c r="AN136" s="11">
        <f>150*AN65</f>
        <v>600</v>
      </c>
      <c r="AO136" s="11"/>
      <c r="AP136" s="11">
        <f>125*AP65</f>
        <v>0</v>
      </c>
      <c r="AQ136" s="11">
        <f>125*AQ65</f>
        <v>0</v>
      </c>
      <c r="AR136" s="11">
        <f>125*AR65</f>
        <v>0</v>
      </c>
      <c r="AS136" s="11">
        <f t="shared" si="368"/>
        <v>29325</v>
      </c>
      <c r="AU136" s="11">
        <f>150*AU65+(150*5)</f>
        <v>1200</v>
      </c>
      <c r="AV136" s="11">
        <f>150*AV65</f>
        <v>300</v>
      </c>
      <c r="AW136" s="11">
        <f>150*AW65</f>
        <v>0</v>
      </c>
      <c r="AX136" s="11"/>
      <c r="AY136" s="11">
        <f>125*AY65</f>
        <v>0</v>
      </c>
      <c r="AZ136" s="11">
        <f>125*AZ65</f>
        <v>0</v>
      </c>
      <c r="BA136" s="11">
        <f>125*BA65</f>
        <v>0</v>
      </c>
      <c r="BB136" s="11">
        <f t="shared" si="372"/>
        <v>1500</v>
      </c>
      <c r="BD136" s="11">
        <f>150*BD65+(150*8)</f>
        <v>6000</v>
      </c>
      <c r="BE136" s="11">
        <f>150*BE65</f>
        <v>300</v>
      </c>
      <c r="BF136" s="11">
        <f>150*BF65</f>
        <v>150</v>
      </c>
      <c r="BG136" s="11"/>
      <c r="BH136" s="11"/>
      <c r="BI136" s="11">
        <f>125*BI65</f>
        <v>0</v>
      </c>
      <c r="BJ136" s="11">
        <f>125*BJ65</f>
        <v>0</v>
      </c>
      <c r="BK136" s="11">
        <f t="shared" si="376"/>
        <v>6450</v>
      </c>
      <c r="BM136" s="11">
        <f>150*BM65+(150*25)</f>
        <v>4275</v>
      </c>
      <c r="BN136" s="11">
        <f>125*BN65</f>
        <v>0</v>
      </c>
      <c r="BO136" s="11">
        <f>150*BO65</f>
        <v>75</v>
      </c>
      <c r="BP136" s="11"/>
      <c r="BQ136" s="11">
        <f>125*BQ65</f>
        <v>0</v>
      </c>
      <c r="BR136" s="11">
        <f>125*BR65</f>
        <v>0</v>
      </c>
      <c r="BS136" s="11">
        <f>125*BS65</f>
        <v>0</v>
      </c>
      <c r="BT136" s="11">
        <f t="shared" si="378"/>
        <v>4350</v>
      </c>
      <c r="BV136" s="5">
        <f t="shared" si="342"/>
        <v>106050</v>
      </c>
      <c r="BW136" s="5">
        <f t="shared" si="342"/>
        <v>14074.5</v>
      </c>
      <c r="BX136" s="5">
        <f t="shared" si="342"/>
        <v>2625</v>
      </c>
      <c r="BY136" s="5">
        <f t="shared" si="342"/>
        <v>0</v>
      </c>
      <c r="BZ136" s="5">
        <f t="shared" si="342"/>
        <v>0</v>
      </c>
      <c r="CA136" s="5">
        <f t="shared" si="342"/>
        <v>0</v>
      </c>
      <c r="CB136" s="11">
        <f>125*CB65</f>
        <v>0</v>
      </c>
      <c r="CC136" s="11">
        <f t="shared" si="380"/>
        <v>122749.5</v>
      </c>
    </row>
    <row r="137" spans="1:81">
      <c r="A137" s="29" t="s">
        <v>119</v>
      </c>
      <c r="B137" s="11">
        <v>2500</v>
      </c>
      <c r="C137" s="11"/>
      <c r="D137" s="11"/>
      <c r="E137" s="11"/>
      <c r="F137" s="11"/>
      <c r="G137" s="11"/>
      <c r="H137" s="11"/>
      <c r="I137" s="11">
        <f t="shared" si="356"/>
        <v>2500</v>
      </c>
      <c r="K137" s="11">
        <v>2500</v>
      </c>
      <c r="L137" s="11"/>
      <c r="M137" s="11"/>
      <c r="N137" s="11"/>
      <c r="O137" s="11">
        <v>0</v>
      </c>
      <c r="P137" s="11"/>
      <c r="Q137" s="11"/>
      <c r="R137" s="11">
        <f t="shared" si="359"/>
        <v>2500</v>
      </c>
      <c r="T137" s="11">
        <v>10000</v>
      </c>
      <c r="U137" s="11"/>
      <c r="V137" s="11"/>
      <c r="W137" s="11"/>
      <c r="X137" s="11">
        <v>0</v>
      </c>
      <c r="Y137" s="11"/>
      <c r="Z137" s="11"/>
      <c r="AA137" s="11">
        <f t="shared" si="362"/>
        <v>10000</v>
      </c>
      <c r="AC137" s="11">
        <v>2500</v>
      </c>
      <c r="AD137" s="11"/>
      <c r="AE137" s="11"/>
      <c r="AF137" s="11"/>
      <c r="AG137" s="11">
        <v>0</v>
      </c>
      <c r="AH137" s="11"/>
      <c r="AI137" s="11"/>
      <c r="AJ137" s="11">
        <f t="shared" si="365"/>
        <v>2500</v>
      </c>
      <c r="AL137" s="11">
        <v>2500</v>
      </c>
      <c r="AM137" s="11"/>
      <c r="AN137" s="11"/>
      <c r="AO137" s="11"/>
      <c r="AP137" s="11">
        <v>0</v>
      </c>
      <c r="AQ137" s="11"/>
      <c r="AR137" s="11"/>
      <c r="AS137" s="11">
        <f t="shared" si="368"/>
        <v>2500</v>
      </c>
      <c r="AU137" s="11">
        <f>(115*(AU17+10)*12)+6000+15000+7000</f>
        <v>235000</v>
      </c>
      <c r="AV137" s="11">
        <v>17500</v>
      </c>
      <c r="AW137" s="11"/>
      <c r="AX137" s="11"/>
      <c r="AY137" s="11">
        <v>0</v>
      </c>
      <c r="AZ137" s="11"/>
      <c r="BA137" s="11"/>
      <c r="BB137" s="11">
        <f t="shared" si="372"/>
        <v>252500</v>
      </c>
      <c r="BD137" s="11">
        <v>0</v>
      </c>
      <c r="BE137" s="11"/>
      <c r="BF137" s="11"/>
      <c r="BG137" s="11"/>
      <c r="BH137" s="11">
        <v>0</v>
      </c>
      <c r="BI137" s="11"/>
      <c r="BJ137" s="11"/>
      <c r="BK137" s="11">
        <f t="shared" si="376"/>
        <v>0</v>
      </c>
      <c r="BM137" s="11">
        <v>0</v>
      </c>
      <c r="BN137" s="11"/>
      <c r="BO137" s="11"/>
      <c r="BP137" s="11"/>
      <c r="BQ137" s="11">
        <v>0</v>
      </c>
      <c r="BR137" s="11"/>
      <c r="BS137" s="11"/>
      <c r="BT137" s="11">
        <f t="shared" si="378"/>
        <v>0</v>
      </c>
      <c r="BV137" s="5">
        <f t="shared" si="342"/>
        <v>255000</v>
      </c>
      <c r="BW137" s="5">
        <f t="shared" si="342"/>
        <v>17500</v>
      </c>
      <c r="BX137" s="5">
        <f t="shared" si="342"/>
        <v>0</v>
      </c>
      <c r="BY137" s="5">
        <f t="shared" si="342"/>
        <v>0</v>
      </c>
      <c r="BZ137" s="5">
        <f t="shared" si="342"/>
        <v>0</v>
      </c>
      <c r="CA137" s="5">
        <f t="shared" si="342"/>
        <v>0</v>
      </c>
      <c r="CB137" s="11"/>
      <c r="CC137" s="11">
        <f t="shared" si="380"/>
        <v>272500</v>
      </c>
    </row>
    <row r="138" spans="1:81">
      <c r="A138" s="29" t="s">
        <v>120</v>
      </c>
      <c r="B138" s="11">
        <v>0</v>
      </c>
      <c r="C138" s="11">
        <v>0</v>
      </c>
      <c r="D138" s="11">
        <v>0</v>
      </c>
      <c r="E138" s="11"/>
      <c r="F138" s="11"/>
      <c r="G138" s="11"/>
      <c r="H138" s="11"/>
      <c r="I138" s="11">
        <f t="shared" si="356"/>
        <v>0</v>
      </c>
      <c r="K138" s="11">
        <v>0</v>
      </c>
      <c r="L138" s="11">
        <v>0</v>
      </c>
      <c r="M138" s="11">
        <v>0</v>
      </c>
      <c r="N138" s="11"/>
      <c r="O138" s="11"/>
      <c r="P138" s="11"/>
      <c r="Q138" s="11"/>
      <c r="R138" s="11">
        <f t="shared" si="359"/>
        <v>0</v>
      </c>
      <c r="T138" s="11">
        <v>0</v>
      </c>
      <c r="U138" s="11">
        <v>0</v>
      </c>
      <c r="V138" s="11">
        <v>0</v>
      </c>
      <c r="W138" s="11"/>
      <c r="X138" s="11"/>
      <c r="Y138" s="11"/>
      <c r="Z138" s="11"/>
      <c r="AA138" s="11">
        <f t="shared" si="362"/>
        <v>0</v>
      </c>
      <c r="AC138" s="11">
        <v>0</v>
      </c>
      <c r="AD138" s="11">
        <v>0</v>
      </c>
      <c r="AE138" s="11">
        <v>0</v>
      </c>
      <c r="AF138" s="11"/>
      <c r="AG138" s="11"/>
      <c r="AH138" s="11"/>
      <c r="AI138" s="11"/>
      <c r="AJ138" s="11">
        <f t="shared" si="365"/>
        <v>0</v>
      </c>
      <c r="AL138" s="11">
        <v>0</v>
      </c>
      <c r="AM138" s="11">
        <v>0</v>
      </c>
      <c r="AN138" s="11">
        <v>0</v>
      </c>
      <c r="AO138" s="11"/>
      <c r="AP138" s="11"/>
      <c r="AQ138" s="11"/>
      <c r="AR138" s="11"/>
      <c r="AS138" s="11">
        <f t="shared" si="368"/>
        <v>0</v>
      </c>
      <c r="AU138" s="11">
        <v>0</v>
      </c>
      <c r="AV138" s="11">
        <v>0</v>
      </c>
      <c r="AW138" s="11">
        <v>0</v>
      </c>
      <c r="AX138" s="11"/>
      <c r="AY138" s="11"/>
      <c r="AZ138" s="11"/>
      <c r="BA138" s="11"/>
      <c r="BB138" s="11">
        <f t="shared" si="372"/>
        <v>0</v>
      </c>
      <c r="BD138" s="11">
        <v>0</v>
      </c>
      <c r="BE138" s="11">
        <v>0</v>
      </c>
      <c r="BF138" s="11">
        <v>0</v>
      </c>
      <c r="BG138" s="11"/>
      <c r="BH138" s="11"/>
      <c r="BI138" s="11"/>
      <c r="BJ138" s="11"/>
      <c r="BK138" s="11">
        <f t="shared" si="376"/>
        <v>0</v>
      </c>
      <c r="BM138" s="11">
        <v>0</v>
      </c>
      <c r="BN138" s="11">
        <v>0</v>
      </c>
      <c r="BO138" s="11">
        <v>0</v>
      </c>
      <c r="BP138" s="11"/>
      <c r="BQ138" s="11"/>
      <c r="BR138" s="11"/>
      <c r="BS138" s="11"/>
      <c r="BT138" s="11">
        <f t="shared" si="378"/>
        <v>0</v>
      </c>
      <c r="BV138" s="5">
        <f t="shared" si="342"/>
        <v>0</v>
      </c>
      <c r="BW138" s="5">
        <f t="shared" si="342"/>
        <v>0</v>
      </c>
      <c r="BX138" s="5">
        <f t="shared" si="342"/>
        <v>0</v>
      </c>
      <c r="BY138" s="5">
        <f t="shared" si="342"/>
        <v>0</v>
      </c>
      <c r="BZ138" s="5">
        <f t="shared" si="342"/>
        <v>0</v>
      </c>
      <c r="CA138" s="5">
        <f t="shared" si="342"/>
        <v>0</v>
      </c>
      <c r="CB138" s="11"/>
      <c r="CC138" s="11">
        <f t="shared" si="380"/>
        <v>0</v>
      </c>
    </row>
    <row r="139" spans="1:81">
      <c r="A139" s="29" t="s">
        <v>121</v>
      </c>
      <c r="B139" s="11">
        <v>10000</v>
      </c>
      <c r="C139" s="11"/>
      <c r="D139" s="11"/>
      <c r="E139" s="11"/>
      <c r="F139" s="11"/>
      <c r="G139" s="11"/>
      <c r="H139" s="11"/>
      <c r="I139" s="5">
        <f t="shared" si="356"/>
        <v>10000</v>
      </c>
      <c r="K139" s="11">
        <v>10000</v>
      </c>
      <c r="L139" s="11"/>
      <c r="M139" s="11"/>
      <c r="N139" s="11"/>
      <c r="O139" s="11"/>
      <c r="P139" s="11"/>
      <c r="Q139" s="11"/>
      <c r="R139" s="5">
        <f t="shared" si="359"/>
        <v>10000</v>
      </c>
      <c r="T139" s="11">
        <v>12000</v>
      </c>
      <c r="U139" s="11"/>
      <c r="V139" s="11"/>
      <c r="W139" s="11"/>
      <c r="X139" s="11"/>
      <c r="Y139" s="11"/>
      <c r="Z139" s="11"/>
      <c r="AA139" s="5">
        <f t="shared" si="362"/>
        <v>12000</v>
      </c>
      <c r="AC139" s="11">
        <v>15000</v>
      </c>
      <c r="AD139" s="11"/>
      <c r="AE139" s="11"/>
      <c r="AF139" s="11"/>
      <c r="AG139" s="11"/>
      <c r="AH139" s="11"/>
      <c r="AI139" s="11"/>
      <c r="AJ139" s="5">
        <f t="shared" si="365"/>
        <v>15000</v>
      </c>
      <c r="AL139" s="11">
        <v>15000</v>
      </c>
      <c r="AM139" s="11"/>
      <c r="AN139" s="11"/>
      <c r="AO139" s="11"/>
      <c r="AP139" s="11"/>
      <c r="AQ139" s="11"/>
      <c r="AR139" s="11"/>
      <c r="AS139" s="5">
        <f t="shared" si="368"/>
        <v>15000</v>
      </c>
      <c r="AU139" s="11">
        <v>2500</v>
      </c>
      <c r="AV139" s="11"/>
      <c r="AW139" s="11"/>
      <c r="AX139" s="11"/>
      <c r="AY139" s="11"/>
      <c r="AZ139" s="11"/>
      <c r="BA139" s="11"/>
      <c r="BB139" s="5">
        <f t="shared" si="372"/>
        <v>2500</v>
      </c>
      <c r="BD139" s="11">
        <v>2500</v>
      </c>
      <c r="BE139" s="11"/>
      <c r="BF139" s="11"/>
      <c r="BG139" s="11"/>
      <c r="BH139" s="11"/>
      <c r="BI139" s="11"/>
      <c r="BJ139" s="11"/>
      <c r="BK139" s="5">
        <f t="shared" si="376"/>
        <v>2500</v>
      </c>
      <c r="BM139" s="11">
        <v>0</v>
      </c>
      <c r="BN139" s="11"/>
      <c r="BO139" s="11"/>
      <c r="BP139" s="11"/>
      <c r="BQ139" s="11"/>
      <c r="BR139" s="11"/>
      <c r="BS139" s="11"/>
      <c r="BT139" s="5">
        <f t="shared" si="378"/>
        <v>0</v>
      </c>
      <c r="BV139" s="5">
        <f t="shared" si="342"/>
        <v>67000</v>
      </c>
      <c r="BW139" s="5">
        <f t="shared" si="342"/>
        <v>0</v>
      </c>
      <c r="BX139" s="5">
        <f t="shared" si="342"/>
        <v>0</v>
      </c>
      <c r="BY139" s="5">
        <f t="shared" si="342"/>
        <v>0</v>
      </c>
      <c r="BZ139" s="5">
        <f t="shared" si="342"/>
        <v>0</v>
      </c>
      <c r="CA139" s="5">
        <f t="shared" si="342"/>
        <v>0</v>
      </c>
      <c r="CB139" s="11"/>
      <c r="CC139" s="5">
        <f t="shared" si="380"/>
        <v>67000</v>
      </c>
    </row>
    <row r="140" spans="1:81">
      <c r="A140" s="29" t="s">
        <v>122</v>
      </c>
      <c r="B140" s="35">
        <f>(190*11*(B36))-B130</f>
        <v>57325</v>
      </c>
      <c r="C140" s="35">
        <f t="shared" ref="C140:G140" si="382">(190*11*(C36))-C130</f>
        <v>10450</v>
      </c>
      <c r="D140" s="35">
        <f t="shared" si="382"/>
        <v>0</v>
      </c>
      <c r="E140" s="35">
        <f t="shared" si="382"/>
        <v>0</v>
      </c>
      <c r="F140" s="35">
        <f t="shared" si="382"/>
        <v>0</v>
      </c>
      <c r="G140" s="35">
        <f t="shared" si="382"/>
        <v>0</v>
      </c>
      <c r="H140" s="35">
        <f t="shared" ref="H140" si="383">(175*11*(H36))-H130</f>
        <v>0</v>
      </c>
      <c r="I140" s="5">
        <f t="shared" si="356"/>
        <v>67775</v>
      </c>
      <c r="K140" s="35">
        <f>(190*11*(K36))-K130</f>
        <v>60460</v>
      </c>
      <c r="L140" s="35">
        <f t="shared" ref="L140:P140" si="384">(190*11*(L36))-L130</f>
        <v>8360</v>
      </c>
      <c r="M140" s="35">
        <f t="shared" si="384"/>
        <v>0</v>
      </c>
      <c r="N140" s="35">
        <f t="shared" si="384"/>
        <v>0</v>
      </c>
      <c r="O140" s="35">
        <f t="shared" si="384"/>
        <v>0</v>
      </c>
      <c r="P140" s="35">
        <f t="shared" si="384"/>
        <v>0</v>
      </c>
      <c r="Q140" s="35">
        <f t="shared" ref="Q140" si="385">(175*11*(Q36))-Q130</f>
        <v>0</v>
      </c>
      <c r="R140" s="5">
        <f t="shared" si="359"/>
        <v>68820</v>
      </c>
      <c r="T140" s="35">
        <f>(190*11*(T36))-T130</f>
        <v>54040</v>
      </c>
      <c r="U140" s="35">
        <f t="shared" ref="U140:Z140" si="386">(190*11*(U36))-U130</f>
        <v>10450</v>
      </c>
      <c r="V140" s="35">
        <f t="shared" si="386"/>
        <v>0</v>
      </c>
      <c r="W140" s="35">
        <f t="shared" si="386"/>
        <v>0</v>
      </c>
      <c r="X140" s="35">
        <f t="shared" si="386"/>
        <v>0</v>
      </c>
      <c r="Y140" s="35">
        <f t="shared" si="386"/>
        <v>0</v>
      </c>
      <c r="Z140" s="35">
        <f t="shared" si="386"/>
        <v>0</v>
      </c>
      <c r="AA140" s="5">
        <f t="shared" si="362"/>
        <v>64490</v>
      </c>
      <c r="AC140" s="35">
        <f>(190*11*(AC36))-AC130</f>
        <v>118680</v>
      </c>
      <c r="AD140" s="35">
        <f t="shared" ref="AD140:AH140" si="387">(190*11*(AD36))-AD130</f>
        <v>27170</v>
      </c>
      <c r="AE140" s="35">
        <f t="shared" si="387"/>
        <v>0</v>
      </c>
      <c r="AF140" s="35">
        <f t="shared" si="387"/>
        <v>0</v>
      </c>
      <c r="AG140" s="35">
        <f t="shared" si="387"/>
        <v>0</v>
      </c>
      <c r="AH140" s="35">
        <f t="shared" si="387"/>
        <v>0</v>
      </c>
      <c r="AI140" s="35">
        <f t="shared" ref="AI140" si="388">(175*11*(AI36))-AI130</f>
        <v>0</v>
      </c>
      <c r="AJ140" s="5">
        <f t="shared" si="365"/>
        <v>145850</v>
      </c>
      <c r="AL140" s="35">
        <f>(190*11*(AL36))-AL130</f>
        <v>78820</v>
      </c>
      <c r="AM140" s="35">
        <f>(190*11*(AM36))-AM130</f>
        <v>25080</v>
      </c>
      <c r="AN140" s="35">
        <f t="shared" ref="AN140:AO140" si="389">(185*11*(AN36))-AN130</f>
        <v>0</v>
      </c>
      <c r="AO140" s="35">
        <f t="shared" si="389"/>
        <v>0</v>
      </c>
      <c r="AP140" s="35">
        <f t="shared" ref="AP140:AR140" si="390">(175*11*(AP36))-AP130</f>
        <v>0</v>
      </c>
      <c r="AQ140" s="35">
        <f t="shared" si="390"/>
        <v>0</v>
      </c>
      <c r="AR140" s="35">
        <f t="shared" si="390"/>
        <v>0</v>
      </c>
      <c r="AS140" s="5">
        <f t="shared" si="368"/>
        <v>103900</v>
      </c>
      <c r="AU140" s="35">
        <f>(190*11*(AU36))-AU130</f>
        <v>0</v>
      </c>
      <c r="AV140" s="35">
        <f t="shared" ref="AV140:AZ140" si="391">(190*11*(AV36))-AV130</f>
        <v>2090</v>
      </c>
      <c r="AW140" s="35">
        <f t="shared" si="391"/>
        <v>0</v>
      </c>
      <c r="AX140" s="35">
        <f t="shared" si="391"/>
        <v>0</v>
      </c>
      <c r="AY140" s="35">
        <f t="shared" si="391"/>
        <v>0</v>
      </c>
      <c r="AZ140" s="35">
        <f t="shared" si="391"/>
        <v>0</v>
      </c>
      <c r="BA140" s="35">
        <f t="shared" ref="BA140" si="392">(175*11*(BA36))-BA130</f>
        <v>0</v>
      </c>
      <c r="BB140" s="5">
        <f t="shared" si="372"/>
        <v>2090</v>
      </c>
      <c r="BD140" s="35">
        <f>(190*11*(BD36))-BD130</f>
        <v>48070</v>
      </c>
      <c r="BE140" s="35">
        <f t="shared" ref="BE140:BI140" si="393">(190*11*(BE36))-BE130</f>
        <v>2090</v>
      </c>
      <c r="BF140" s="35">
        <f t="shared" si="393"/>
        <v>0</v>
      </c>
      <c r="BG140" s="35">
        <f t="shared" si="393"/>
        <v>0</v>
      </c>
      <c r="BH140" s="35">
        <f t="shared" si="393"/>
        <v>0</v>
      </c>
      <c r="BI140" s="35">
        <f t="shared" si="393"/>
        <v>0</v>
      </c>
      <c r="BJ140" s="35">
        <f t="shared" ref="BJ140" si="394">(175*11*(BJ36))-BJ130</f>
        <v>0</v>
      </c>
      <c r="BK140" s="5">
        <f t="shared" si="376"/>
        <v>50160</v>
      </c>
      <c r="BM140" s="35">
        <v>0</v>
      </c>
      <c r="BN140" s="35">
        <f t="shared" ref="BN140:BP140" si="395">(185*11*(BN36))-BN130</f>
        <v>0</v>
      </c>
      <c r="BO140" s="35">
        <f t="shared" si="395"/>
        <v>0</v>
      </c>
      <c r="BP140" s="35">
        <f t="shared" si="395"/>
        <v>0</v>
      </c>
      <c r="BQ140" s="35">
        <f t="shared" ref="BQ140:BS140" si="396">(175*11*(BQ36))-BQ130</f>
        <v>0</v>
      </c>
      <c r="BR140" s="35">
        <f t="shared" si="396"/>
        <v>0</v>
      </c>
      <c r="BS140" s="35">
        <f t="shared" si="396"/>
        <v>0</v>
      </c>
      <c r="BT140" s="5">
        <f t="shared" si="378"/>
        <v>0</v>
      </c>
      <c r="BV140" s="5">
        <f t="shared" si="342"/>
        <v>417395</v>
      </c>
      <c r="BW140" s="5">
        <f t="shared" si="342"/>
        <v>85690</v>
      </c>
      <c r="BX140" s="5">
        <f t="shared" si="342"/>
        <v>0</v>
      </c>
      <c r="BY140" s="5">
        <f t="shared" si="342"/>
        <v>0</v>
      </c>
      <c r="BZ140" s="5">
        <f t="shared" si="342"/>
        <v>0</v>
      </c>
      <c r="CA140" s="5">
        <f t="shared" si="342"/>
        <v>0</v>
      </c>
      <c r="CB140" s="35">
        <f t="shared" ref="CB140" si="397">(175*11*(CB36))-CB130</f>
        <v>0</v>
      </c>
      <c r="CC140" s="5">
        <f t="shared" si="380"/>
        <v>503085</v>
      </c>
    </row>
    <row r="141" spans="1:81" ht="15">
      <c r="A141" s="73" t="s">
        <v>123</v>
      </c>
      <c r="B141" s="74">
        <f>SUM(B133:B140)</f>
        <v>1990027.5524326474</v>
      </c>
      <c r="C141" s="74">
        <f t="shared" ref="C141:H141" si="398">SUM(C133:C140)</f>
        <v>272960.34068968752</v>
      </c>
      <c r="D141" s="74">
        <f t="shared" si="398"/>
        <v>32865.600000000006</v>
      </c>
      <c r="E141" s="74">
        <f t="shared" si="398"/>
        <v>0</v>
      </c>
      <c r="F141" s="74">
        <f t="shared" si="398"/>
        <v>0</v>
      </c>
      <c r="G141" s="74">
        <f t="shared" si="398"/>
        <v>0</v>
      </c>
      <c r="H141" s="74">
        <f t="shared" si="398"/>
        <v>0</v>
      </c>
      <c r="I141" s="74">
        <f>SUM(I133:I140)</f>
        <v>2295853.4931223346</v>
      </c>
      <c r="J141" s="7"/>
      <c r="K141" s="74">
        <f>SUM(K133:K140)</f>
        <v>2141862.2399922977</v>
      </c>
      <c r="L141" s="74">
        <f t="shared" ref="L141:Q141" si="399">SUM(L133:L140)</f>
        <v>278956.16616558435</v>
      </c>
      <c r="M141" s="74">
        <f t="shared" si="399"/>
        <v>36126.2800345</v>
      </c>
      <c r="N141" s="74"/>
      <c r="O141" s="74">
        <f t="shared" si="399"/>
        <v>0</v>
      </c>
      <c r="P141" s="74">
        <f t="shared" si="399"/>
        <v>0</v>
      </c>
      <c r="Q141" s="74">
        <f t="shared" si="399"/>
        <v>0</v>
      </c>
      <c r="R141" s="74">
        <f>SUM(R133:R140)</f>
        <v>2456944.6861923821</v>
      </c>
      <c r="T141" s="74">
        <f>SUM(T133:T140)</f>
        <v>2545013.2478515022</v>
      </c>
      <c r="U141" s="74">
        <f t="shared" ref="U141:Z141" si="400">SUM(U133:U140)</f>
        <v>363072.81474491872</v>
      </c>
      <c r="V141" s="74">
        <f t="shared" si="400"/>
        <v>32689.200000000004</v>
      </c>
      <c r="W141" s="74"/>
      <c r="X141" s="74">
        <f t="shared" si="400"/>
        <v>0</v>
      </c>
      <c r="Y141" s="74">
        <f t="shared" si="400"/>
        <v>0</v>
      </c>
      <c r="Z141" s="74">
        <f t="shared" si="400"/>
        <v>0</v>
      </c>
      <c r="AA141" s="74">
        <f>SUM(AA133:AA140)</f>
        <v>2940775.2625964209</v>
      </c>
      <c r="AC141" s="74">
        <f>SUM(AC133:AC140)</f>
        <v>5119221.8292394402</v>
      </c>
      <c r="AD141" s="74">
        <f t="shared" ref="AD141:AI141" si="401">SUM(AD133:AD140)</f>
        <v>849146.94492703502</v>
      </c>
      <c r="AE141" s="74">
        <f t="shared" si="401"/>
        <v>86557.5</v>
      </c>
      <c r="AF141" s="74">
        <f t="shared" si="401"/>
        <v>0</v>
      </c>
      <c r="AG141" s="74">
        <f t="shared" si="401"/>
        <v>0</v>
      </c>
      <c r="AH141" s="74">
        <f t="shared" si="401"/>
        <v>0</v>
      </c>
      <c r="AI141" s="74">
        <f t="shared" si="401"/>
        <v>0</v>
      </c>
      <c r="AJ141" s="74">
        <f>SUM(AJ133:AJ140)</f>
        <v>6054926.2741664751</v>
      </c>
      <c r="AL141" s="74">
        <f>SUM(AL133:AL140)</f>
        <v>4605245.4203926586</v>
      </c>
      <c r="AM141" s="74">
        <f t="shared" ref="AM141:AR141" si="402">SUM(AM133:AM140)</f>
        <v>724574.65113940497</v>
      </c>
      <c r="AN141" s="74">
        <f t="shared" si="402"/>
        <v>50869.5</v>
      </c>
      <c r="AO141" s="74">
        <f t="shared" si="402"/>
        <v>0</v>
      </c>
      <c r="AP141" s="74">
        <f t="shared" si="402"/>
        <v>0</v>
      </c>
      <c r="AQ141" s="74">
        <f t="shared" si="402"/>
        <v>0</v>
      </c>
      <c r="AR141" s="74">
        <f t="shared" si="402"/>
        <v>0</v>
      </c>
      <c r="AS141" s="74">
        <f>SUM(AS133:AS140)</f>
        <v>5380689.5715320632</v>
      </c>
      <c r="AU141" s="74">
        <f>SUM(AU133:AU140)</f>
        <v>315056.82944831252</v>
      </c>
      <c r="AV141" s="74">
        <f t="shared" ref="AV141:BA141" si="403">SUM(AV133:AV140)</f>
        <v>77250.722714516567</v>
      </c>
      <c r="AW141" s="74">
        <f t="shared" si="403"/>
        <v>0</v>
      </c>
      <c r="AX141" s="74">
        <f t="shared" si="403"/>
        <v>0</v>
      </c>
      <c r="AY141" s="74">
        <f t="shared" si="403"/>
        <v>0</v>
      </c>
      <c r="AZ141" s="74">
        <f t="shared" si="403"/>
        <v>0</v>
      </c>
      <c r="BA141" s="74">
        <f t="shared" si="403"/>
        <v>0</v>
      </c>
      <c r="BB141" s="74">
        <f>SUM(BB133:BB140)</f>
        <v>392307.55216282909</v>
      </c>
      <c r="BD141" s="74">
        <f>SUM(BD133:BD140)</f>
        <v>1032528.4240001249</v>
      </c>
      <c r="BE141" s="74">
        <f t="shared" ref="BE141:BJ141" si="404">SUM(BE133:BE140)</f>
        <v>49952</v>
      </c>
      <c r="BF141" s="74">
        <f t="shared" si="404"/>
        <v>15286.2</v>
      </c>
      <c r="BG141" s="74">
        <f t="shared" si="404"/>
        <v>0</v>
      </c>
      <c r="BH141" s="74">
        <f t="shared" si="404"/>
        <v>0</v>
      </c>
      <c r="BI141" s="74">
        <f t="shared" si="404"/>
        <v>0</v>
      </c>
      <c r="BJ141" s="74">
        <f t="shared" si="404"/>
        <v>0</v>
      </c>
      <c r="BK141" s="74">
        <f>SUM(BK133:BK140)</f>
        <v>1097766.6240001251</v>
      </c>
      <c r="BM141" s="74">
        <f>SUM(BM133:BM140)</f>
        <v>151610.13115712497</v>
      </c>
      <c r="BN141" s="74">
        <f t="shared" ref="BN141:BS141" si="405">SUM(BN133:BN140)</f>
        <v>0</v>
      </c>
      <c r="BO141" s="74">
        <f t="shared" si="405"/>
        <v>9586</v>
      </c>
      <c r="BP141" s="74">
        <f t="shared" si="405"/>
        <v>0</v>
      </c>
      <c r="BQ141" s="74">
        <f t="shared" si="405"/>
        <v>0</v>
      </c>
      <c r="BR141" s="74">
        <f t="shared" si="405"/>
        <v>0</v>
      </c>
      <c r="BS141" s="74">
        <f t="shared" si="405"/>
        <v>0</v>
      </c>
      <c r="BT141" s="74">
        <f>SUM(BT133:BT140)</f>
        <v>161196.13115712497</v>
      </c>
      <c r="BV141" s="74">
        <f>SUM(BV133:BV140)</f>
        <v>17900565.674514107</v>
      </c>
      <c r="BW141" s="74">
        <f t="shared" ref="BW141:CB141" si="406">SUM(BW133:BW140)</f>
        <v>2615913.6403811472</v>
      </c>
      <c r="BX141" s="74">
        <f t="shared" si="406"/>
        <v>263980.28003449994</v>
      </c>
      <c r="BY141" s="74">
        <f t="shared" si="406"/>
        <v>0</v>
      </c>
      <c r="BZ141" s="74">
        <f t="shared" si="406"/>
        <v>0</v>
      </c>
      <c r="CA141" s="74">
        <f t="shared" si="406"/>
        <v>0</v>
      </c>
      <c r="CB141" s="74">
        <f t="shared" si="406"/>
        <v>0</v>
      </c>
      <c r="CC141" s="74">
        <f>SUM(CC133:CC140)</f>
        <v>20780459.594929758</v>
      </c>
    </row>
    <row r="142" spans="1:81" ht="15">
      <c r="A142" s="70" t="s">
        <v>124</v>
      </c>
      <c r="B142" s="71">
        <f t="shared" ref="B142:I142" si="407">B132+B141</f>
        <v>5740700.1084176414</v>
      </c>
      <c r="C142" s="71">
        <f t="shared" si="407"/>
        <v>788258.99515843752</v>
      </c>
      <c r="D142" s="71">
        <f t="shared" si="407"/>
        <v>97305.600000000006</v>
      </c>
      <c r="E142" s="71">
        <f t="shared" si="407"/>
        <v>0</v>
      </c>
      <c r="F142" s="71">
        <f t="shared" si="407"/>
        <v>0</v>
      </c>
      <c r="G142" s="71">
        <f t="shared" si="407"/>
        <v>0</v>
      </c>
      <c r="H142" s="71">
        <f t="shared" si="407"/>
        <v>0</v>
      </c>
      <c r="I142" s="71">
        <f t="shared" si="407"/>
        <v>6626264.7035760786</v>
      </c>
      <c r="J142" s="7"/>
      <c r="K142" s="71">
        <f t="shared" ref="K142:R142" si="408">K132+K141</f>
        <v>6185632.1175275985</v>
      </c>
      <c r="L142" s="71">
        <f t="shared" si="408"/>
        <v>810756.5052790218</v>
      </c>
      <c r="M142" s="71">
        <f t="shared" si="408"/>
        <v>107220.7290845</v>
      </c>
      <c r="N142" s="71"/>
      <c r="O142" s="71">
        <f t="shared" si="408"/>
        <v>0</v>
      </c>
      <c r="P142" s="71">
        <f t="shared" si="408"/>
        <v>0</v>
      </c>
      <c r="Q142" s="71">
        <f t="shared" si="408"/>
        <v>0</v>
      </c>
      <c r="R142" s="71">
        <f t="shared" si="408"/>
        <v>7103609.3518911209</v>
      </c>
      <c r="T142" s="71">
        <f t="shared" ref="T142:AA142" si="409">T132+T141</f>
        <v>7470415.1620521927</v>
      </c>
      <c r="U142" s="71">
        <f t="shared" si="409"/>
        <v>1055268.6203467937</v>
      </c>
      <c r="V142" s="71">
        <f t="shared" si="409"/>
        <v>96769.200000000012</v>
      </c>
      <c r="W142" s="71"/>
      <c r="X142" s="71">
        <f t="shared" si="409"/>
        <v>0</v>
      </c>
      <c r="Y142" s="71">
        <f t="shared" si="409"/>
        <v>0</v>
      </c>
      <c r="Z142" s="71">
        <f t="shared" si="409"/>
        <v>0</v>
      </c>
      <c r="AA142" s="71">
        <f t="shared" si="409"/>
        <v>8622452.9823989868</v>
      </c>
      <c r="AC142" s="71">
        <f t="shared" ref="AC142:AJ142" si="410">AC132+AC141</f>
        <v>14888789.848095439</v>
      </c>
      <c r="AD142" s="71">
        <f t="shared" si="410"/>
        <v>2466754.9957985347</v>
      </c>
      <c r="AE142" s="71">
        <f t="shared" si="410"/>
        <v>255307.5</v>
      </c>
      <c r="AF142" s="71">
        <f t="shared" si="410"/>
        <v>0</v>
      </c>
      <c r="AG142" s="71">
        <f t="shared" si="410"/>
        <v>0</v>
      </c>
      <c r="AH142" s="71">
        <f t="shared" si="410"/>
        <v>0</v>
      </c>
      <c r="AI142" s="71">
        <f t="shared" si="410"/>
        <v>0</v>
      </c>
      <c r="AJ142" s="71">
        <f t="shared" si="410"/>
        <v>17610852.343893975</v>
      </c>
      <c r="AL142" s="71">
        <f t="shared" ref="AL142:AS142" si="411">AL132+AL141</f>
        <v>13455583.013030738</v>
      </c>
      <c r="AM142" s="71">
        <f t="shared" si="411"/>
        <v>2099654.551423905</v>
      </c>
      <c r="AN142" s="71">
        <f t="shared" si="411"/>
        <v>149419.5</v>
      </c>
      <c r="AO142" s="71">
        <f t="shared" si="411"/>
        <v>0</v>
      </c>
      <c r="AP142" s="71">
        <f t="shared" si="411"/>
        <v>0</v>
      </c>
      <c r="AQ142" s="71">
        <f t="shared" si="411"/>
        <v>0</v>
      </c>
      <c r="AR142" s="71">
        <f t="shared" si="411"/>
        <v>0</v>
      </c>
      <c r="AS142" s="71">
        <f t="shared" si="411"/>
        <v>15704657.064454641</v>
      </c>
      <c r="AU142" s="71">
        <f t="shared" ref="AU142:BB142" si="412">AU132+AU141</f>
        <v>465330.9711795625</v>
      </c>
      <c r="AV142" s="71">
        <f t="shared" si="412"/>
        <v>191080.7690706728</v>
      </c>
      <c r="AW142" s="71">
        <f t="shared" si="412"/>
        <v>0</v>
      </c>
      <c r="AX142" s="71">
        <f t="shared" si="412"/>
        <v>0</v>
      </c>
      <c r="AY142" s="71">
        <f t="shared" si="412"/>
        <v>0</v>
      </c>
      <c r="AZ142" s="71">
        <f t="shared" si="412"/>
        <v>0</v>
      </c>
      <c r="BA142" s="71">
        <f t="shared" si="412"/>
        <v>0</v>
      </c>
      <c r="BB142" s="71">
        <f t="shared" si="412"/>
        <v>656411.74025023531</v>
      </c>
      <c r="BD142" s="71">
        <f t="shared" ref="BD142:BK142" si="413">BD132+BD141</f>
        <v>2966892.5546126245</v>
      </c>
      <c r="BE142" s="71">
        <f t="shared" si="413"/>
        <v>143752</v>
      </c>
      <c r="BF142" s="71">
        <f t="shared" si="413"/>
        <v>45166.2</v>
      </c>
      <c r="BG142" s="71">
        <f t="shared" si="413"/>
        <v>0</v>
      </c>
      <c r="BH142" s="71">
        <f t="shared" si="413"/>
        <v>0</v>
      </c>
      <c r="BI142" s="71">
        <f t="shared" si="413"/>
        <v>0</v>
      </c>
      <c r="BJ142" s="71">
        <f t="shared" si="413"/>
        <v>0</v>
      </c>
      <c r="BK142" s="71">
        <f t="shared" si="413"/>
        <v>3155810.7546126246</v>
      </c>
      <c r="BM142" s="71">
        <f t="shared" ref="BM142:BT142" si="414">BM132+BM141</f>
        <v>444641.01106962492</v>
      </c>
      <c r="BN142" s="71">
        <f t="shared" si="414"/>
        <v>0</v>
      </c>
      <c r="BO142" s="71">
        <f t="shared" si="414"/>
        <v>28486</v>
      </c>
      <c r="BP142" s="71">
        <f t="shared" si="414"/>
        <v>0</v>
      </c>
      <c r="BQ142" s="71">
        <f t="shared" si="414"/>
        <v>0</v>
      </c>
      <c r="BR142" s="71">
        <f t="shared" si="414"/>
        <v>0</v>
      </c>
      <c r="BS142" s="71">
        <f t="shared" si="414"/>
        <v>0</v>
      </c>
      <c r="BT142" s="71">
        <f t="shared" si="414"/>
        <v>473127.01106962492</v>
      </c>
      <c r="BV142" s="71">
        <f t="shared" ref="BV142:CC142" si="415">BV132+BV141</f>
        <v>51617984.785985418</v>
      </c>
      <c r="BW142" s="71">
        <f t="shared" si="415"/>
        <v>7555526.4370773658</v>
      </c>
      <c r="BX142" s="71">
        <f t="shared" si="415"/>
        <v>779674.72908449988</v>
      </c>
      <c r="BY142" s="71">
        <f t="shared" si="415"/>
        <v>0</v>
      </c>
      <c r="BZ142" s="71">
        <f t="shared" si="415"/>
        <v>0</v>
      </c>
      <c r="CA142" s="71">
        <f t="shared" si="415"/>
        <v>0</v>
      </c>
      <c r="CB142" s="71">
        <f t="shared" si="415"/>
        <v>0</v>
      </c>
      <c r="CC142" s="71">
        <f t="shared" si="415"/>
        <v>59953185.95214729</v>
      </c>
    </row>
    <row r="143" spans="1:81" ht="15">
      <c r="A143" s="75" t="s">
        <v>125</v>
      </c>
      <c r="B143" s="18" t="str">
        <f t="shared" ref="B143:I143" si="416">B1</f>
        <v>Operating</v>
      </c>
      <c r="C143" s="18" t="str">
        <f t="shared" si="416"/>
        <v>SPED</v>
      </c>
      <c r="D143" s="18" t="str">
        <f t="shared" si="416"/>
        <v>NSLP</v>
      </c>
      <c r="E143" s="18" t="str">
        <f t="shared" si="416"/>
        <v>Other</v>
      </c>
      <c r="F143" s="18" t="str">
        <f t="shared" si="416"/>
        <v>Title I</v>
      </c>
      <c r="G143" s="18" t="str">
        <f t="shared" si="416"/>
        <v>SGF</v>
      </c>
      <c r="H143" s="18" t="str">
        <f t="shared" si="416"/>
        <v>Title III</v>
      </c>
      <c r="I143" s="18" t="str">
        <f t="shared" si="416"/>
        <v>Horizon</v>
      </c>
      <c r="J143" s="7"/>
      <c r="K143" s="18" t="str">
        <f t="shared" ref="K143:R143" si="417">K1</f>
        <v>Operating</v>
      </c>
      <c r="L143" s="18" t="str">
        <f t="shared" si="417"/>
        <v>SPED</v>
      </c>
      <c r="M143" s="18" t="str">
        <f t="shared" si="417"/>
        <v>NSLP</v>
      </c>
      <c r="N143" s="18" t="str">
        <f t="shared" si="417"/>
        <v>Other</v>
      </c>
      <c r="O143" s="18" t="str">
        <f t="shared" si="417"/>
        <v>Title I</v>
      </c>
      <c r="P143" s="18" t="str">
        <f t="shared" si="417"/>
        <v>SGF</v>
      </c>
      <c r="Q143" s="18" t="str">
        <f t="shared" si="417"/>
        <v>Title III</v>
      </c>
      <c r="R143" s="18" t="str">
        <f t="shared" si="417"/>
        <v>St. Rose</v>
      </c>
      <c r="T143" s="18" t="str">
        <f t="shared" ref="T143:AA143" si="418">T1</f>
        <v>Operating</v>
      </c>
      <c r="U143" s="18" t="str">
        <f t="shared" si="418"/>
        <v>SPED</v>
      </c>
      <c r="V143" s="18" t="str">
        <f t="shared" si="418"/>
        <v>NSLP</v>
      </c>
      <c r="W143" s="18" t="str">
        <f t="shared" si="418"/>
        <v>Other</v>
      </c>
      <c r="X143" s="18" t="str">
        <f t="shared" si="418"/>
        <v>Title I</v>
      </c>
      <c r="Y143" s="18" t="str">
        <f t="shared" si="418"/>
        <v>SGF</v>
      </c>
      <c r="Z143" s="18" t="str">
        <f t="shared" si="418"/>
        <v>Title III</v>
      </c>
      <c r="AA143" s="18" t="str">
        <f t="shared" si="418"/>
        <v>Inspirada</v>
      </c>
      <c r="AC143" s="18" t="str">
        <f t="shared" ref="AC143:AJ143" si="419">AC1</f>
        <v>Operating</v>
      </c>
      <c r="AD143" s="18" t="str">
        <f t="shared" si="419"/>
        <v>SPED</v>
      </c>
      <c r="AE143" s="18" t="str">
        <f t="shared" si="419"/>
        <v>NSLP</v>
      </c>
      <c r="AF143" s="18" t="str">
        <f t="shared" si="419"/>
        <v>Other</v>
      </c>
      <c r="AG143" s="18" t="str">
        <f t="shared" si="419"/>
        <v>Title I</v>
      </c>
      <c r="AH143" s="18" t="str">
        <f t="shared" si="419"/>
        <v>SGF</v>
      </c>
      <c r="AI143" s="18" t="str">
        <f t="shared" si="419"/>
        <v>Title III</v>
      </c>
      <c r="AJ143" s="18" t="str">
        <f t="shared" si="419"/>
        <v>Cadence</v>
      </c>
      <c r="AL143" s="18" t="str">
        <f t="shared" ref="AL143:AS143" si="420">AL1</f>
        <v>Operating</v>
      </c>
      <c r="AM143" s="18" t="str">
        <f t="shared" si="420"/>
        <v>SPED</v>
      </c>
      <c r="AN143" s="18" t="str">
        <f t="shared" si="420"/>
        <v>NSLP</v>
      </c>
      <c r="AO143" s="18" t="str">
        <f t="shared" si="420"/>
        <v>Other</v>
      </c>
      <c r="AP143" s="18" t="str">
        <f t="shared" si="420"/>
        <v>Title I</v>
      </c>
      <c r="AQ143" s="18" t="str">
        <f t="shared" si="420"/>
        <v>SGF</v>
      </c>
      <c r="AR143" s="18" t="str">
        <f t="shared" si="420"/>
        <v>Title III</v>
      </c>
      <c r="AS143" s="18" t="str">
        <f t="shared" si="420"/>
        <v>Sloan</v>
      </c>
      <c r="AU143" s="18" t="str">
        <f t="shared" ref="AU143:BB143" si="421">AU1</f>
        <v>Operating</v>
      </c>
      <c r="AV143" s="18" t="str">
        <f t="shared" si="421"/>
        <v>SPED</v>
      </c>
      <c r="AW143" s="18" t="str">
        <f t="shared" si="421"/>
        <v>NSLP</v>
      </c>
      <c r="AX143" s="18" t="str">
        <f t="shared" si="421"/>
        <v>Other</v>
      </c>
      <c r="AY143" s="18" t="str">
        <f t="shared" si="421"/>
        <v>Title I</v>
      </c>
      <c r="AZ143" s="18" t="str">
        <f t="shared" si="421"/>
        <v>SGF</v>
      </c>
      <c r="BA143" s="18" t="str">
        <f t="shared" si="421"/>
        <v>Title III</v>
      </c>
      <c r="BB143" s="18" t="str">
        <f t="shared" si="421"/>
        <v>Virtual</v>
      </c>
      <c r="BD143" s="18" t="str">
        <f t="shared" ref="BD143:BK143" si="422">BD1</f>
        <v>Operating</v>
      </c>
      <c r="BE143" s="18" t="str">
        <f t="shared" si="422"/>
        <v>SPED</v>
      </c>
      <c r="BF143" s="18" t="str">
        <f t="shared" si="422"/>
        <v>NSLP</v>
      </c>
      <c r="BG143" s="18" t="str">
        <f t="shared" si="422"/>
        <v>Other</v>
      </c>
      <c r="BH143" s="18" t="str">
        <f t="shared" si="422"/>
        <v>Title I</v>
      </c>
      <c r="BI143" s="18" t="str">
        <f t="shared" si="422"/>
        <v>SGF</v>
      </c>
      <c r="BJ143" s="18" t="str">
        <f t="shared" si="422"/>
        <v>Title III</v>
      </c>
      <c r="BK143" s="18" t="str">
        <f t="shared" si="422"/>
        <v>Springs</v>
      </c>
      <c r="BM143" s="18" t="str">
        <f t="shared" ref="BM143:BT143" si="423">BM1</f>
        <v>Operating</v>
      </c>
      <c r="BN143" s="18" t="str">
        <f t="shared" si="423"/>
        <v>SPED</v>
      </c>
      <c r="BO143" s="18" t="str">
        <f t="shared" si="423"/>
        <v>NSLP</v>
      </c>
      <c r="BP143" s="18" t="str">
        <f t="shared" si="423"/>
        <v>Other</v>
      </c>
      <c r="BQ143" s="18" t="str">
        <f t="shared" si="423"/>
        <v>Title I</v>
      </c>
      <c r="BR143" s="18" t="str">
        <f t="shared" si="423"/>
        <v>SGF</v>
      </c>
      <c r="BS143" s="18" t="str">
        <f t="shared" si="423"/>
        <v>Title III</v>
      </c>
      <c r="BT143" s="18" t="str">
        <f t="shared" si="423"/>
        <v>Exec. Office</v>
      </c>
      <c r="BV143" s="18" t="str">
        <f t="shared" ref="BV143:CC143" si="424">BV1</f>
        <v>Operating</v>
      </c>
      <c r="BW143" s="18" t="str">
        <f t="shared" si="424"/>
        <v>SPED</v>
      </c>
      <c r="BX143" s="18" t="str">
        <f t="shared" si="424"/>
        <v>NSLP</v>
      </c>
      <c r="BY143" s="18" t="str">
        <f t="shared" si="424"/>
        <v>Other</v>
      </c>
      <c r="BZ143" s="18" t="str">
        <f t="shared" si="424"/>
        <v>Title I</v>
      </c>
      <c r="CA143" s="18" t="str">
        <f t="shared" si="424"/>
        <v>SGF</v>
      </c>
      <c r="CB143" s="18" t="str">
        <f t="shared" si="424"/>
        <v>Title III</v>
      </c>
      <c r="CC143" s="18" t="str">
        <f t="shared" si="424"/>
        <v>Systemwide</v>
      </c>
    </row>
    <row r="144" spans="1:81">
      <c r="A144" s="76" t="s">
        <v>126</v>
      </c>
      <c r="B144" s="5">
        <f>210*B17</f>
        <v>195300</v>
      </c>
      <c r="C144" s="11"/>
      <c r="D144" s="11"/>
      <c r="E144" s="11"/>
      <c r="F144" s="11"/>
      <c r="G144" s="11"/>
      <c r="H144" s="11"/>
      <c r="I144" s="5">
        <f t="shared" ref="I144:I152" si="425">SUM(B144:H144)</f>
        <v>195300</v>
      </c>
      <c r="K144" s="5">
        <f>210*K17</f>
        <v>216720</v>
      </c>
      <c r="L144" s="11"/>
      <c r="M144" s="11"/>
      <c r="N144" s="11"/>
      <c r="O144" s="11"/>
      <c r="P144" s="11"/>
      <c r="Q144" s="11"/>
      <c r="R144" s="5">
        <f t="shared" ref="R144:R152" si="426">SUM(K144:Q144)</f>
        <v>216720</v>
      </c>
      <c r="T144" s="5">
        <f>210*T17</f>
        <v>261450</v>
      </c>
      <c r="U144" s="11"/>
      <c r="V144" s="11"/>
      <c r="W144" s="11"/>
      <c r="X144" s="11"/>
      <c r="Y144" s="11"/>
      <c r="Z144" s="11"/>
      <c r="AA144" s="5">
        <f t="shared" ref="AA144:AA152" si="427">SUM(T144:Z144)</f>
        <v>261450</v>
      </c>
      <c r="AC144" s="5">
        <f>210*AC17</f>
        <v>534660</v>
      </c>
      <c r="AD144" s="11"/>
      <c r="AE144" s="11"/>
      <c r="AF144" s="11"/>
      <c r="AG144" s="11"/>
      <c r="AH144" s="11"/>
      <c r="AI144" s="11"/>
      <c r="AJ144" s="5">
        <f t="shared" ref="AJ144:AJ152" si="428">SUM(AC144:AI144)</f>
        <v>534660</v>
      </c>
      <c r="AL144" s="5">
        <f>210*AL17</f>
        <v>504420</v>
      </c>
      <c r="AM144" s="11"/>
      <c r="AN144" s="11"/>
      <c r="AO144" s="11"/>
      <c r="AP144" s="11"/>
      <c r="AQ144" s="11"/>
      <c r="AR144" s="11"/>
      <c r="AS144" s="5">
        <f t="shared" ref="AS144:AS152" si="429">SUM(AL144:AR144)</f>
        <v>504420</v>
      </c>
      <c r="AU144" s="5">
        <f>210*AU17</f>
        <v>29400</v>
      </c>
      <c r="AV144" s="11"/>
      <c r="AW144" s="11"/>
      <c r="AX144" s="11"/>
      <c r="AY144" s="11"/>
      <c r="AZ144" s="11"/>
      <c r="BA144" s="11"/>
      <c r="BB144" s="5">
        <f t="shared" ref="BB144:BB152" si="430">SUM(AU144:BA144)</f>
        <v>29400</v>
      </c>
      <c r="BD144" s="5">
        <f>210*BD17</f>
        <v>104160</v>
      </c>
      <c r="BE144" s="11"/>
      <c r="BF144" s="11"/>
      <c r="BG144" s="11"/>
      <c r="BH144" s="11"/>
      <c r="BI144" s="11"/>
      <c r="BJ144" s="11"/>
      <c r="BK144" s="5">
        <f t="shared" ref="BK144:BK152" si="431">SUM(BD144:BJ144)</f>
        <v>104160</v>
      </c>
      <c r="BM144" s="5">
        <f>(150*BM17)</f>
        <v>0</v>
      </c>
      <c r="BN144" s="11"/>
      <c r="BO144" s="11"/>
      <c r="BP144" s="11"/>
      <c r="BQ144" s="11"/>
      <c r="BR144" s="11"/>
      <c r="BS144" s="11"/>
      <c r="BT144" s="5">
        <f t="shared" ref="BT144:BT152" si="432">SUM(BM144:BS144)</f>
        <v>0</v>
      </c>
      <c r="BV144" s="5">
        <f t="shared" ref="BV144:CA153" si="433">B144+K144+T144+AC144+AL144+AU144+BD144+BM144</f>
        <v>1846110</v>
      </c>
      <c r="BW144" s="5">
        <f t="shared" si="433"/>
        <v>0</v>
      </c>
      <c r="BX144" s="5">
        <f t="shared" si="433"/>
        <v>0</v>
      </c>
      <c r="BY144" s="5">
        <f t="shared" si="433"/>
        <v>0</v>
      </c>
      <c r="BZ144" s="5">
        <f t="shared" si="433"/>
        <v>0</v>
      </c>
      <c r="CA144" s="5">
        <f t="shared" si="433"/>
        <v>0</v>
      </c>
      <c r="CB144" s="11"/>
      <c r="CC144" s="5">
        <f t="shared" ref="CC144:CC152" si="434">SUM(BV144:CB144)</f>
        <v>1846110</v>
      </c>
    </row>
    <row r="145" spans="1:81">
      <c r="A145" s="77" t="s">
        <v>127</v>
      </c>
      <c r="B145" s="5">
        <v>0</v>
      </c>
      <c r="C145" s="11"/>
      <c r="D145" s="11"/>
      <c r="E145" s="11"/>
      <c r="F145" s="11"/>
      <c r="G145" s="11"/>
      <c r="H145" s="11"/>
      <c r="I145" s="5">
        <f t="shared" si="425"/>
        <v>0</v>
      </c>
      <c r="K145" s="5">
        <v>0</v>
      </c>
      <c r="L145" s="11"/>
      <c r="M145" s="11"/>
      <c r="N145" s="11"/>
      <c r="O145" s="11"/>
      <c r="P145" s="11"/>
      <c r="Q145" s="11"/>
      <c r="R145" s="5">
        <f t="shared" si="426"/>
        <v>0</v>
      </c>
      <c r="T145" s="5">
        <v>0</v>
      </c>
      <c r="U145" s="11"/>
      <c r="V145" s="11"/>
      <c r="W145" s="11"/>
      <c r="X145" s="11"/>
      <c r="Y145" s="11"/>
      <c r="Z145" s="11"/>
      <c r="AA145" s="5">
        <f t="shared" si="427"/>
        <v>0</v>
      </c>
      <c r="AC145" s="99">
        <f>175000+AC94</f>
        <v>175000</v>
      </c>
      <c r="AD145" s="11"/>
      <c r="AE145" s="11"/>
      <c r="AF145" s="11"/>
      <c r="AG145" s="11"/>
      <c r="AH145" s="11"/>
      <c r="AI145" s="11"/>
      <c r="AJ145" s="5">
        <f t="shared" si="428"/>
        <v>175000</v>
      </c>
      <c r="AL145" s="11">
        <v>185000</v>
      </c>
      <c r="AM145" s="11"/>
      <c r="AN145" s="11"/>
      <c r="AO145" s="11"/>
      <c r="AP145" s="11"/>
      <c r="AQ145" s="11"/>
      <c r="AR145" s="11"/>
      <c r="AS145" s="5">
        <f t="shared" si="429"/>
        <v>185000</v>
      </c>
      <c r="AU145" s="11">
        <f>5*400*8</f>
        <v>16000</v>
      </c>
      <c r="AV145" s="11"/>
      <c r="AW145" s="11"/>
      <c r="AX145" s="11"/>
      <c r="AY145" s="11"/>
      <c r="AZ145" s="11"/>
      <c r="BA145" s="11"/>
      <c r="BB145" s="5">
        <f t="shared" si="430"/>
        <v>16000</v>
      </c>
      <c r="BD145" s="5">
        <v>0</v>
      </c>
      <c r="BE145" s="11"/>
      <c r="BF145" s="11"/>
      <c r="BG145" s="11"/>
      <c r="BH145" s="11"/>
      <c r="BI145" s="11"/>
      <c r="BJ145" s="11"/>
      <c r="BK145" s="5">
        <f t="shared" si="431"/>
        <v>0</v>
      </c>
      <c r="BM145" s="5">
        <v>0</v>
      </c>
      <c r="BN145" s="11"/>
      <c r="BO145" s="11"/>
      <c r="BP145" s="11"/>
      <c r="BQ145" s="11"/>
      <c r="BR145" s="11"/>
      <c r="BS145" s="11"/>
      <c r="BT145" s="5">
        <f t="shared" si="432"/>
        <v>0</v>
      </c>
      <c r="BV145" s="5">
        <f t="shared" si="433"/>
        <v>376000</v>
      </c>
      <c r="BW145" s="5">
        <f t="shared" si="433"/>
        <v>0</v>
      </c>
      <c r="BX145" s="5">
        <f t="shared" si="433"/>
        <v>0</v>
      </c>
      <c r="BY145" s="5">
        <f t="shared" si="433"/>
        <v>0</v>
      </c>
      <c r="BZ145" s="5">
        <f t="shared" si="433"/>
        <v>0</v>
      </c>
      <c r="CA145" s="5">
        <f t="shared" si="433"/>
        <v>0</v>
      </c>
      <c r="CB145" s="11"/>
      <c r="CC145" s="5">
        <f t="shared" si="434"/>
        <v>376000</v>
      </c>
    </row>
    <row r="146" spans="1:81">
      <c r="A146" s="29" t="s">
        <v>128</v>
      </c>
      <c r="B146" s="11"/>
      <c r="C146" s="11"/>
      <c r="D146" s="11"/>
      <c r="E146" s="11">
        <v>0</v>
      </c>
      <c r="F146" s="11"/>
      <c r="G146" s="11"/>
      <c r="H146" s="11"/>
      <c r="I146" s="5">
        <f t="shared" si="425"/>
        <v>0</v>
      </c>
      <c r="K146" s="11"/>
      <c r="L146" s="11"/>
      <c r="M146" s="11"/>
      <c r="N146" s="11"/>
      <c r="O146" s="11"/>
      <c r="P146" s="11"/>
      <c r="Q146" s="11"/>
      <c r="R146" s="5">
        <f t="shared" si="426"/>
        <v>0</v>
      </c>
      <c r="T146" s="11">
        <v>0</v>
      </c>
      <c r="U146" s="11"/>
      <c r="V146" s="11"/>
      <c r="W146" s="11"/>
      <c r="X146" s="11"/>
      <c r="Y146" s="11"/>
      <c r="Z146" s="11"/>
      <c r="AA146" s="5">
        <f t="shared" si="427"/>
        <v>0</v>
      </c>
      <c r="AC146" s="11">
        <f>1400*100</f>
        <v>140000</v>
      </c>
      <c r="AD146" s="11"/>
      <c r="AE146" s="11"/>
      <c r="AF146" s="11"/>
      <c r="AG146" s="11"/>
      <c r="AH146" s="11"/>
      <c r="AI146" s="11"/>
      <c r="AJ146" s="5">
        <f t="shared" si="428"/>
        <v>140000</v>
      </c>
      <c r="AL146" s="11">
        <f>(1250*120)</f>
        <v>150000</v>
      </c>
      <c r="AM146" s="11"/>
      <c r="AN146" s="11"/>
      <c r="AO146" s="11"/>
      <c r="AP146" s="11"/>
      <c r="AQ146" s="11"/>
      <c r="AR146" s="11"/>
      <c r="AS146" s="5">
        <f t="shared" si="429"/>
        <v>150000</v>
      </c>
      <c r="AU146" s="11">
        <v>0</v>
      </c>
      <c r="AV146" s="11"/>
      <c r="AW146" s="11"/>
      <c r="AX146" s="11">
        <v>0</v>
      </c>
      <c r="AY146" s="11"/>
      <c r="AZ146" s="11"/>
      <c r="BA146" s="11"/>
      <c r="BB146" s="5">
        <f t="shared" si="430"/>
        <v>0</v>
      </c>
      <c r="BD146" s="11">
        <f>100*1300</f>
        <v>130000</v>
      </c>
      <c r="BE146" s="11"/>
      <c r="BF146" s="11"/>
      <c r="BG146" s="11">
        <v>0</v>
      </c>
      <c r="BH146" s="11"/>
      <c r="BI146" s="11"/>
      <c r="BJ146" s="11"/>
      <c r="BK146" s="5">
        <f t="shared" si="431"/>
        <v>130000</v>
      </c>
      <c r="BM146" s="11">
        <f>20*BM17</f>
        <v>0</v>
      </c>
      <c r="BN146" s="11"/>
      <c r="BO146" s="11"/>
      <c r="BP146" s="11">
        <v>0</v>
      </c>
      <c r="BQ146" s="11"/>
      <c r="BR146" s="11"/>
      <c r="BS146" s="11"/>
      <c r="BT146" s="5">
        <f t="shared" si="432"/>
        <v>0</v>
      </c>
      <c r="BV146" s="5">
        <f t="shared" si="433"/>
        <v>420000</v>
      </c>
      <c r="BW146" s="5">
        <f t="shared" si="433"/>
        <v>0</v>
      </c>
      <c r="BX146" s="5">
        <f t="shared" si="433"/>
        <v>0</v>
      </c>
      <c r="BY146" s="5">
        <f t="shared" si="433"/>
        <v>0</v>
      </c>
      <c r="BZ146" s="5">
        <f t="shared" si="433"/>
        <v>0</v>
      </c>
      <c r="CA146" s="5">
        <f t="shared" si="433"/>
        <v>0</v>
      </c>
      <c r="CB146" s="11"/>
      <c r="CC146" s="5">
        <f t="shared" si="434"/>
        <v>420000</v>
      </c>
    </row>
    <row r="147" spans="1:81">
      <c r="A147" s="29" t="s">
        <v>129</v>
      </c>
      <c r="B147" s="5">
        <f>25*B17</f>
        <v>23250</v>
      </c>
      <c r="C147" s="11"/>
      <c r="D147" s="11">
        <v>3500</v>
      </c>
      <c r="E147" s="11"/>
      <c r="F147" s="11"/>
      <c r="G147" s="11"/>
      <c r="H147" s="11"/>
      <c r="I147" s="5">
        <f t="shared" si="425"/>
        <v>26750</v>
      </c>
      <c r="K147" s="5">
        <f>25*K17</f>
        <v>25800</v>
      </c>
      <c r="L147" s="11"/>
      <c r="M147" s="11">
        <v>2500</v>
      </c>
      <c r="N147" s="11"/>
      <c r="O147" s="11"/>
      <c r="P147" s="11"/>
      <c r="Q147" s="11"/>
      <c r="R147" s="5">
        <f t="shared" si="426"/>
        <v>28300</v>
      </c>
      <c r="T147" s="5">
        <f>25*T17</f>
        <v>31125</v>
      </c>
      <c r="U147" s="11"/>
      <c r="V147" s="11"/>
      <c r="W147" s="11"/>
      <c r="X147" s="11"/>
      <c r="Y147" s="11"/>
      <c r="Z147" s="11"/>
      <c r="AA147" s="5">
        <f t="shared" si="427"/>
        <v>31125</v>
      </c>
      <c r="AC147" s="5">
        <f>25*AC17</f>
        <v>63650</v>
      </c>
      <c r="AD147" s="11"/>
      <c r="AE147" s="11">
        <v>3500</v>
      </c>
      <c r="AF147" s="11"/>
      <c r="AG147" s="11"/>
      <c r="AH147" s="11"/>
      <c r="AI147" s="11"/>
      <c r="AJ147" s="5">
        <f t="shared" si="428"/>
        <v>67150</v>
      </c>
      <c r="AL147" s="5">
        <f>25*AL17</f>
        <v>60050</v>
      </c>
      <c r="AM147" s="11"/>
      <c r="AN147" s="11">
        <v>3500</v>
      </c>
      <c r="AO147" s="11"/>
      <c r="AP147" s="11"/>
      <c r="AQ147" s="11"/>
      <c r="AR147" s="11"/>
      <c r="AS147" s="5">
        <f t="shared" si="429"/>
        <v>63550</v>
      </c>
      <c r="AU147" s="11">
        <f>25*AU17</f>
        <v>3500</v>
      </c>
      <c r="AV147" s="11"/>
      <c r="AW147" s="11">
        <v>0</v>
      </c>
      <c r="AX147" s="11"/>
      <c r="AY147" s="11"/>
      <c r="AZ147" s="11"/>
      <c r="BA147" s="11"/>
      <c r="BB147" s="5">
        <f t="shared" si="430"/>
        <v>3500</v>
      </c>
      <c r="BD147" s="5">
        <f>25*BD17</f>
        <v>12400</v>
      </c>
      <c r="BE147" s="11"/>
      <c r="BF147" s="11">
        <v>2500</v>
      </c>
      <c r="BG147" s="11"/>
      <c r="BH147" s="11"/>
      <c r="BI147" s="11"/>
      <c r="BJ147" s="11"/>
      <c r="BK147" s="5">
        <f t="shared" si="431"/>
        <v>14900</v>
      </c>
      <c r="BM147" s="5">
        <f>25*BM17</f>
        <v>0</v>
      </c>
      <c r="BN147" s="11"/>
      <c r="BO147" s="11">
        <v>0</v>
      </c>
      <c r="BP147" s="11"/>
      <c r="BQ147" s="11"/>
      <c r="BR147" s="11"/>
      <c r="BS147" s="11"/>
      <c r="BT147" s="5">
        <f t="shared" si="432"/>
        <v>0</v>
      </c>
      <c r="BV147" s="5">
        <f t="shared" si="433"/>
        <v>219775</v>
      </c>
      <c r="BW147" s="5">
        <f t="shared" si="433"/>
        <v>0</v>
      </c>
      <c r="BX147" s="5">
        <f t="shared" si="433"/>
        <v>15500</v>
      </c>
      <c r="BY147" s="5">
        <f t="shared" si="433"/>
        <v>0</v>
      </c>
      <c r="BZ147" s="5">
        <f t="shared" si="433"/>
        <v>0</v>
      </c>
      <c r="CA147" s="5">
        <f t="shared" si="433"/>
        <v>0</v>
      </c>
      <c r="CB147" s="11"/>
      <c r="CC147" s="5">
        <f t="shared" si="434"/>
        <v>235275</v>
      </c>
    </row>
    <row r="148" spans="1:81">
      <c r="A148" s="29" t="s">
        <v>130</v>
      </c>
      <c r="B148" s="5">
        <f>40*B17</f>
        <v>37200</v>
      </c>
      <c r="C148" s="11"/>
      <c r="D148" s="11"/>
      <c r="E148" s="11"/>
      <c r="F148" s="11"/>
      <c r="G148" s="11"/>
      <c r="H148" s="11"/>
      <c r="I148" s="5">
        <f t="shared" si="425"/>
        <v>37200</v>
      </c>
      <c r="K148" s="5">
        <f>40*K17</f>
        <v>41280</v>
      </c>
      <c r="L148" s="11"/>
      <c r="M148" s="11"/>
      <c r="N148" s="11"/>
      <c r="O148" s="11"/>
      <c r="P148" s="11"/>
      <c r="Q148" s="11"/>
      <c r="R148" s="5">
        <f t="shared" si="426"/>
        <v>41280</v>
      </c>
      <c r="T148" s="5">
        <f>40*T17</f>
        <v>49800</v>
      </c>
      <c r="U148" s="11"/>
      <c r="V148" s="11"/>
      <c r="W148" s="11"/>
      <c r="X148" s="11"/>
      <c r="Y148" s="11"/>
      <c r="Z148" s="11"/>
      <c r="AA148" s="5">
        <f t="shared" si="427"/>
        <v>49800</v>
      </c>
      <c r="AC148" s="5">
        <f>40*AC17</f>
        <v>101840</v>
      </c>
      <c r="AD148" s="11"/>
      <c r="AE148" s="11"/>
      <c r="AF148" s="11"/>
      <c r="AG148" s="11"/>
      <c r="AH148" s="11"/>
      <c r="AI148" s="11"/>
      <c r="AJ148" s="5">
        <f t="shared" si="428"/>
        <v>101840</v>
      </c>
      <c r="AL148" s="5">
        <f>40*AL17</f>
        <v>96080</v>
      </c>
      <c r="AM148" s="11"/>
      <c r="AN148" s="11"/>
      <c r="AO148" s="11"/>
      <c r="AP148" s="11"/>
      <c r="AQ148" s="11"/>
      <c r="AR148" s="11"/>
      <c r="AS148" s="5">
        <f t="shared" si="429"/>
        <v>96080</v>
      </c>
      <c r="AU148" s="5">
        <f>20*AU17</f>
        <v>2800</v>
      </c>
      <c r="AV148" s="11"/>
      <c r="AW148" s="11"/>
      <c r="AX148" s="11"/>
      <c r="AY148" s="11"/>
      <c r="AZ148" s="11"/>
      <c r="BA148" s="11"/>
      <c r="BB148" s="5">
        <f t="shared" si="430"/>
        <v>2800</v>
      </c>
      <c r="BD148" s="5">
        <f>40*BD17</f>
        <v>19840</v>
      </c>
      <c r="BE148" s="11"/>
      <c r="BF148" s="11"/>
      <c r="BG148" s="11"/>
      <c r="BH148" s="11">
        <v>0</v>
      </c>
      <c r="BI148" s="11"/>
      <c r="BJ148" s="11"/>
      <c r="BK148" s="5">
        <f t="shared" si="431"/>
        <v>19840</v>
      </c>
      <c r="BM148" s="5">
        <f>40*BM17</f>
        <v>0</v>
      </c>
      <c r="BN148" s="11"/>
      <c r="BO148" s="11"/>
      <c r="BP148" s="11"/>
      <c r="BQ148" s="11"/>
      <c r="BR148" s="11"/>
      <c r="BS148" s="11"/>
      <c r="BT148" s="5">
        <f t="shared" si="432"/>
        <v>0</v>
      </c>
      <c r="BV148" s="5">
        <f t="shared" si="433"/>
        <v>348840</v>
      </c>
      <c r="BW148" s="5">
        <f t="shared" si="433"/>
        <v>0</v>
      </c>
      <c r="BX148" s="5">
        <f t="shared" si="433"/>
        <v>0</v>
      </c>
      <c r="BY148" s="5">
        <f t="shared" si="433"/>
        <v>0</v>
      </c>
      <c r="BZ148" s="5">
        <f t="shared" si="433"/>
        <v>0</v>
      </c>
      <c r="CA148" s="5">
        <f t="shared" si="433"/>
        <v>0</v>
      </c>
      <c r="CB148" s="11"/>
      <c r="CC148" s="5">
        <f t="shared" si="434"/>
        <v>348840</v>
      </c>
    </row>
    <row r="149" spans="1:81">
      <c r="A149" s="29" t="s">
        <v>131</v>
      </c>
      <c r="B149" s="5">
        <f>15*B17</f>
        <v>13950</v>
      </c>
      <c r="C149" s="11"/>
      <c r="D149" s="11"/>
      <c r="E149" s="11"/>
      <c r="F149" s="11"/>
      <c r="G149" s="11"/>
      <c r="H149" s="11"/>
      <c r="I149" s="5">
        <f t="shared" si="425"/>
        <v>13950</v>
      </c>
      <c r="K149" s="5">
        <f>15*K17</f>
        <v>15480</v>
      </c>
      <c r="L149" s="11"/>
      <c r="M149" s="11"/>
      <c r="N149" s="11"/>
      <c r="O149" s="11"/>
      <c r="P149" s="11"/>
      <c r="Q149" s="11"/>
      <c r="R149" s="5">
        <f t="shared" si="426"/>
        <v>15480</v>
      </c>
      <c r="T149" s="5">
        <f>15*T17</f>
        <v>18675</v>
      </c>
      <c r="U149" s="11"/>
      <c r="V149" s="11"/>
      <c r="W149" s="11"/>
      <c r="X149" s="11"/>
      <c r="Y149" s="11"/>
      <c r="Z149" s="11"/>
      <c r="AA149" s="5">
        <f t="shared" si="427"/>
        <v>18675</v>
      </c>
      <c r="AC149" s="5">
        <f>15*AC17</f>
        <v>38190</v>
      </c>
      <c r="AD149" s="11"/>
      <c r="AE149" s="11"/>
      <c r="AF149" s="11"/>
      <c r="AG149" s="11"/>
      <c r="AH149" s="11"/>
      <c r="AI149" s="11"/>
      <c r="AJ149" s="5">
        <f t="shared" si="428"/>
        <v>38190</v>
      </c>
      <c r="AL149" s="5">
        <f>15*AL17</f>
        <v>36030</v>
      </c>
      <c r="AM149" s="11"/>
      <c r="AN149" s="11"/>
      <c r="AO149" s="11"/>
      <c r="AP149" s="11"/>
      <c r="AQ149" s="11"/>
      <c r="AR149" s="11"/>
      <c r="AS149" s="5">
        <f t="shared" si="429"/>
        <v>36030</v>
      </c>
      <c r="AU149" s="5">
        <f>15*AU17</f>
        <v>2100</v>
      </c>
      <c r="AV149" s="11"/>
      <c r="AW149" s="11"/>
      <c r="AX149" s="11"/>
      <c r="AY149" s="11"/>
      <c r="AZ149" s="11"/>
      <c r="BA149" s="11"/>
      <c r="BB149" s="5">
        <f t="shared" si="430"/>
        <v>2100</v>
      </c>
      <c r="BD149" s="5">
        <f>15*BD17</f>
        <v>7440</v>
      </c>
      <c r="BE149" s="11"/>
      <c r="BF149" s="11"/>
      <c r="BG149" s="11"/>
      <c r="BH149" s="11"/>
      <c r="BI149" s="11"/>
      <c r="BJ149" s="11"/>
      <c r="BK149" s="5">
        <f t="shared" si="431"/>
        <v>7440</v>
      </c>
      <c r="BM149" s="5">
        <f>15*BM17</f>
        <v>0</v>
      </c>
      <c r="BN149" s="11"/>
      <c r="BO149" s="11"/>
      <c r="BP149" s="11"/>
      <c r="BQ149" s="11"/>
      <c r="BR149" s="11"/>
      <c r="BS149" s="11"/>
      <c r="BT149" s="5">
        <f t="shared" si="432"/>
        <v>0</v>
      </c>
      <c r="BV149" s="5">
        <f t="shared" si="433"/>
        <v>131865</v>
      </c>
      <c r="BW149" s="5">
        <f t="shared" si="433"/>
        <v>0</v>
      </c>
      <c r="BX149" s="5">
        <f t="shared" si="433"/>
        <v>0</v>
      </c>
      <c r="BY149" s="5">
        <f t="shared" si="433"/>
        <v>0</v>
      </c>
      <c r="BZ149" s="5">
        <f t="shared" si="433"/>
        <v>0</v>
      </c>
      <c r="CA149" s="5">
        <f t="shared" si="433"/>
        <v>0</v>
      </c>
      <c r="CB149" s="11"/>
      <c r="CC149" s="5">
        <f t="shared" si="434"/>
        <v>131865</v>
      </c>
    </row>
    <row r="150" spans="1:81">
      <c r="A150" s="29" t="s">
        <v>132</v>
      </c>
      <c r="B150" s="5">
        <f>8*B17</f>
        <v>7440</v>
      </c>
      <c r="C150" s="11"/>
      <c r="D150" s="11"/>
      <c r="E150" s="11"/>
      <c r="F150" s="11"/>
      <c r="G150" s="11"/>
      <c r="H150" s="11"/>
      <c r="I150" s="5">
        <f t="shared" si="425"/>
        <v>7440</v>
      </c>
      <c r="K150" s="5">
        <f>8*K17</f>
        <v>8256</v>
      </c>
      <c r="L150" s="11"/>
      <c r="M150" s="11"/>
      <c r="N150" s="11"/>
      <c r="O150" s="11"/>
      <c r="P150" s="11"/>
      <c r="Q150" s="11"/>
      <c r="R150" s="5">
        <f t="shared" si="426"/>
        <v>8256</v>
      </c>
      <c r="T150" s="5">
        <f>8*T17</f>
        <v>9960</v>
      </c>
      <c r="U150" s="11"/>
      <c r="V150" s="11"/>
      <c r="W150" s="11"/>
      <c r="X150" s="11"/>
      <c r="Y150" s="11"/>
      <c r="Z150" s="11"/>
      <c r="AA150" s="5">
        <f t="shared" si="427"/>
        <v>9960</v>
      </c>
      <c r="AC150" s="5">
        <f>8*AC17</f>
        <v>20368</v>
      </c>
      <c r="AD150" s="11"/>
      <c r="AE150" s="11"/>
      <c r="AF150" s="11"/>
      <c r="AG150" s="11"/>
      <c r="AH150" s="11"/>
      <c r="AI150" s="11"/>
      <c r="AJ150" s="5">
        <f t="shared" si="428"/>
        <v>20368</v>
      </c>
      <c r="AL150" s="5">
        <f>8*AL17</f>
        <v>19216</v>
      </c>
      <c r="AM150" s="11"/>
      <c r="AN150" s="11"/>
      <c r="AO150" s="11"/>
      <c r="AP150" s="11"/>
      <c r="AQ150" s="11"/>
      <c r="AR150" s="11"/>
      <c r="AS150" s="5">
        <f t="shared" si="429"/>
        <v>19216</v>
      </c>
      <c r="AU150" s="5">
        <v>0</v>
      </c>
      <c r="AV150" s="11"/>
      <c r="AW150" s="11"/>
      <c r="AX150" s="11"/>
      <c r="AY150" s="11"/>
      <c r="AZ150" s="11"/>
      <c r="BA150" s="11"/>
      <c r="BB150" s="5">
        <f t="shared" si="430"/>
        <v>0</v>
      </c>
      <c r="BD150" s="5">
        <f>8*BD17</f>
        <v>3968</v>
      </c>
      <c r="BE150" s="11"/>
      <c r="BF150" s="11"/>
      <c r="BG150" s="11"/>
      <c r="BH150" s="11"/>
      <c r="BI150" s="11"/>
      <c r="BJ150" s="11"/>
      <c r="BK150" s="5">
        <f t="shared" si="431"/>
        <v>3968</v>
      </c>
      <c r="BM150" s="5">
        <f>8*BM17</f>
        <v>0</v>
      </c>
      <c r="BN150" s="11"/>
      <c r="BO150" s="11"/>
      <c r="BP150" s="11"/>
      <c r="BQ150" s="11"/>
      <c r="BR150" s="11"/>
      <c r="BS150" s="11"/>
      <c r="BT150" s="5">
        <f t="shared" si="432"/>
        <v>0</v>
      </c>
      <c r="BV150" s="5">
        <f t="shared" si="433"/>
        <v>69208</v>
      </c>
      <c r="BW150" s="5">
        <f t="shared" si="433"/>
        <v>0</v>
      </c>
      <c r="BX150" s="5">
        <f t="shared" si="433"/>
        <v>0</v>
      </c>
      <c r="BY150" s="5">
        <f t="shared" si="433"/>
        <v>0</v>
      </c>
      <c r="BZ150" s="5">
        <f t="shared" si="433"/>
        <v>0</v>
      </c>
      <c r="CA150" s="5">
        <f t="shared" si="433"/>
        <v>0</v>
      </c>
      <c r="CB150" s="11"/>
      <c r="CC150" s="5">
        <f t="shared" si="434"/>
        <v>69208</v>
      </c>
    </row>
    <row r="151" spans="1:81">
      <c r="A151" s="29" t="s">
        <v>133</v>
      </c>
      <c r="B151" s="5">
        <f>129*B20</f>
        <v>0</v>
      </c>
      <c r="C151" s="11">
        <f>150*(C20)</f>
        <v>18651.381215469617</v>
      </c>
      <c r="D151" s="11"/>
      <c r="E151" s="11"/>
      <c r="F151" s="11"/>
      <c r="G151" s="11"/>
      <c r="H151" s="11"/>
      <c r="I151" s="5">
        <f t="shared" si="425"/>
        <v>18651.381215469617</v>
      </c>
      <c r="K151" s="5">
        <f>129*K20</f>
        <v>0</v>
      </c>
      <c r="L151" s="11">
        <f>150*(L20)</f>
        <v>11057.142857142857</v>
      </c>
      <c r="M151" s="11"/>
      <c r="N151" s="11"/>
      <c r="O151" s="11"/>
      <c r="P151" s="11"/>
      <c r="Q151" s="11"/>
      <c r="R151" s="5">
        <f t="shared" si="426"/>
        <v>11057.142857142857</v>
      </c>
      <c r="T151" s="5">
        <f>129*T20</f>
        <v>0</v>
      </c>
      <c r="U151" s="11">
        <f>150*(U20)</f>
        <v>16906.119027661356</v>
      </c>
      <c r="V151" s="11"/>
      <c r="W151" s="11"/>
      <c r="X151" s="11"/>
      <c r="Y151" s="11"/>
      <c r="Z151" s="11"/>
      <c r="AA151" s="5">
        <f t="shared" si="427"/>
        <v>16906.119027661356</v>
      </c>
      <c r="AC151" s="5">
        <f>129*AC20</f>
        <v>0</v>
      </c>
      <c r="AD151" s="11">
        <f>150*(AD20)</f>
        <v>45409.837467921294</v>
      </c>
      <c r="AE151" s="11"/>
      <c r="AF151" s="11"/>
      <c r="AG151" s="11"/>
      <c r="AH151" s="11"/>
      <c r="AI151" s="11"/>
      <c r="AJ151" s="5">
        <f t="shared" si="428"/>
        <v>45409.837467921294</v>
      </c>
      <c r="AL151" s="5">
        <f>129*AL20</f>
        <v>0</v>
      </c>
      <c r="AM151" s="11">
        <f>150*(AM20)</f>
        <v>33792.998678996039</v>
      </c>
      <c r="AN151" s="11"/>
      <c r="AO151" s="11"/>
      <c r="AP151" s="11"/>
      <c r="AQ151" s="11"/>
      <c r="AR151" s="11"/>
      <c r="AS151" s="5">
        <f t="shared" si="429"/>
        <v>33792.998678996039</v>
      </c>
      <c r="AU151" s="5"/>
      <c r="AV151" s="11">
        <f>150*(AV20)</f>
        <v>2800</v>
      </c>
      <c r="AW151" s="11"/>
      <c r="AX151" s="11"/>
      <c r="AY151" s="11"/>
      <c r="AZ151" s="11"/>
      <c r="BA151" s="11"/>
      <c r="BB151" s="5">
        <f t="shared" si="430"/>
        <v>2800</v>
      </c>
      <c r="BD151" s="5">
        <f>129*BD20</f>
        <v>0</v>
      </c>
      <c r="BE151" s="11">
        <f>150*(BE20)</f>
        <v>4754.8872180451126</v>
      </c>
      <c r="BF151" s="11"/>
      <c r="BG151" s="11"/>
      <c r="BH151" s="11"/>
      <c r="BI151" s="11"/>
      <c r="BJ151" s="11"/>
      <c r="BK151" s="5">
        <f t="shared" si="431"/>
        <v>4754.8872180451126</v>
      </c>
      <c r="BM151" s="5">
        <f>129*BM20</f>
        <v>0</v>
      </c>
      <c r="BN151" s="11">
        <f>150*(BN20)</f>
        <v>0</v>
      </c>
      <c r="BO151" s="11"/>
      <c r="BP151" s="11"/>
      <c r="BQ151" s="11"/>
      <c r="BR151" s="11"/>
      <c r="BS151" s="11"/>
      <c r="BT151" s="5">
        <f t="shared" si="432"/>
        <v>0</v>
      </c>
      <c r="BV151" s="5">
        <f t="shared" si="433"/>
        <v>0</v>
      </c>
      <c r="BW151" s="5">
        <f t="shared" si="433"/>
        <v>133372.36646523626</v>
      </c>
      <c r="BX151" s="5">
        <f t="shared" si="433"/>
        <v>0</v>
      </c>
      <c r="BY151" s="5">
        <f t="shared" si="433"/>
        <v>0</v>
      </c>
      <c r="BZ151" s="5">
        <f t="shared" si="433"/>
        <v>0</v>
      </c>
      <c r="CA151" s="5">
        <f t="shared" si="433"/>
        <v>0</v>
      </c>
      <c r="CB151" s="11"/>
      <c r="CC151" s="5">
        <f t="shared" si="434"/>
        <v>133372.36646523626</v>
      </c>
    </row>
    <row r="152" spans="1:81">
      <c r="A152" s="29" t="s">
        <v>134</v>
      </c>
      <c r="B152" s="5">
        <v>0</v>
      </c>
      <c r="C152" s="5"/>
      <c r="D152" s="5"/>
      <c r="E152" s="5"/>
      <c r="F152" s="5"/>
      <c r="G152" s="5"/>
      <c r="H152" s="5"/>
      <c r="I152" s="5">
        <f t="shared" si="425"/>
        <v>0</v>
      </c>
      <c r="K152" s="5">
        <v>0</v>
      </c>
      <c r="L152" s="5"/>
      <c r="M152" s="5"/>
      <c r="N152" s="5"/>
      <c r="O152" s="5"/>
      <c r="P152" s="5"/>
      <c r="Q152" s="5"/>
      <c r="R152" s="5">
        <f t="shared" si="426"/>
        <v>0</v>
      </c>
      <c r="T152" s="5">
        <v>0</v>
      </c>
      <c r="U152" s="5"/>
      <c r="V152" s="5"/>
      <c r="W152" s="5"/>
      <c r="X152" s="5"/>
      <c r="Y152" s="5"/>
      <c r="Z152" s="5"/>
      <c r="AA152" s="5">
        <f t="shared" si="427"/>
        <v>0</v>
      </c>
      <c r="AC152" s="5">
        <v>100000</v>
      </c>
      <c r="AD152" s="5"/>
      <c r="AE152" s="5"/>
      <c r="AF152" s="5"/>
      <c r="AG152" s="5"/>
      <c r="AH152" s="5"/>
      <c r="AI152" s="5"/>
      <c r="AJ152" s="5">
        <f t="shared" si="428"/>
        <v>100000</v>
      </c>
      <c r="AL152" s="5">
        <v>110000</v>
      </c>
      <c r="AM152" s="5"/>
      <c r="AN152" s="5"/>
      <c r="AO152" s="5"/>
      <c r="AP152" s="5"/>
      <c r="AQ152" s="5"/>
      <c r="AR152" s="5"/>
      <c r="AS152" s="5">
        <f t="shared" si="429"/>
        <v>110000</v>
      </c>
      <c r="AU152" s="5">
        <v>0</v>
      </c>
      <c r="AV152" s="5"/>
      <c r="AW152" s="5"/>
      <c r="AX152" s="5"/>
      <c r="AY152" s="5"/>
      <c r="AZ152" s="5"/>
      <c r="BA152" s="5"/>
      <c r="BB152" s="5">
        <f t="shared" si="430"/>
        <v>0</v>
      </c>
      <c r="BD152" s="5">
        <v>0</v>
      </c>
      <c r="BE152" s="5"/>
      <c r="BF152" s="5"/>
      <c r="BG152" s="5"/>
      <c r="BH152" s="5"/>
      <c r="BI152" s="5"/>
      <c r="BJ152" s="5"/>
      <c r="BK152" s="5">
        <f t="shared" si="431"/>
        <v>0</v>
      </c>
      <c r="BM152" s="5">
        <v>0</v>
      </c>
      <c r="BN152" s="5"/>
      <c r="BO152" s="5"/>
      <c r="BP152" s="5"/>
      <c r="BQ152" s="5"/>
      <c r="BR152" s="5"/>
      <c r="BS152" s="5"/>
      <c r="BT152" s="5">
        <f t="shared" si="432"/>
        <v>0</v>
      </c>
      <c r="BV152" s="5">
        <f t="shared" si="433"/>
        <v>210000</v>
      </c>
      <c r="BW152" s="5">
        <f t="shared" si="433"/>
        <v>0</v>
      </c>
      <c r="BX152" s="5">
        <f t="shared" si="433"/>
        <v>0</v>
      </c>
      <c r="BY152" s="5">
        <f t="shared" si="433"/>
        <v>0</v>
      </c>
      <c r="BZ152" s="5">
        <f t="shared" si="433"/>
        <v>0</v>
      </c>
      <c r="CA152" s="5">
        <f t="shared" si="433"/>
        <v>0</v>
      </c>
      <c r="CB152" s="5"/>
      <c r="CC152" s="5">
        <f t="shared" si="434"/>
        <v>210000</v>
      </c>
    </row>
    <row r="153" spans="1:81">
      <c r="A153" s="78" t="s">
        <v>135</v>
      </c>
      <c r="B153" s="79">
        <f>50*B17</f>
        <v>46500</v>
      </c>
      <c r="C153" s="5"/>
      <c r="D153" s="5"/>
      <c r="E153" s="5"/>
      <c r="F153" s="5"/>
      <c r="G153" s="5"/>
      <c r="H153" s="5"/>
      <c r="I153" s="5">
        <f>SUM(B153:H153)</f>
        <v>46500</v>
      </c>
      <c r="K153" s="79">
        <f>50*K17</f>
        <v>51600</v>
      </c>
      <c r="L153" s="5"/>
      <c r="M153" s="5"/>
      <c r="N153" s="5"/>
      <c r="O153" s="5"/>
      <c r="P153" s="5"/>
      <c r="Q153" s="5"/>
      <c r="R153" s="5">
        <f>SUM(K153:Q153)</f>
        <v>51600</v>
      </c>
      <c r="T153" s="79">
        <f>45*T17</f>
        <v>56025</v>
      </c>
      <c r="U153" s="5"/>
      <c r="V153" s="5"/>
      <c r="W153" s="5"/>
      <c r="X153" s="5"/>
      <c r="Y153" s="5"/>
      <c r="Z153" s="5"/>
      <c r="AA153" s="5">
        <f>SUM(T153:Z153)</f>
        <v>56025</v>
      </c>
      <c r="AC153" s="79">
        <f>45*AC17</f>
        <v>114570</v>
      </c>
      <c r="AD153" s="5"/>
      <c r="AE153" s="5"/>
      <c r="AF153" s="5"/>
      <c r="AG153" s="5"/>
      <c r="AH153" s="5"/>
      <c r="AI153" s="5"/>
      <c r="AJ153" s="5">
        <f>SUM(AC153:AI153)</f>
        <v>114570</v>
      </c>
      <c r="AL153" s="79">
        <f>45*AL17</f>
        <v>108090</v>
      </c>
      <c r="AM153" s="5"/>
      <c r="AN153" s="5"/>
      <c r="AO153" s="5"/>
      <c r="AP153" s="5"/>
      <c r="AQ153" s="5"/>
      <c r="AR153" s="5"/>
      <c r="AS153" s="5">
        <f>SUM(AL153:AR153)</f>
        <v>108090</v>
      </c>
      <c r="AU153" s="79">
        <v>0</v>
      </c>
      <c r="AV153" s="5"/>
      <c r="AW153" s="5"/>
      <c r="AX153" s="5"/>
      <c r="AY153" s="5"/>
      <c r="AZ153" s="5"/>
      <c r="BA153" s="5"/>
      <c r="BB153" s="5">
        <f>SUM(AU153:BA153)</f>
        <v>0</v>
      </c>
      <c r="BD153" s="79">
        <f>45*BD17</f>
        <v>22320</v>
      </c>
      <c r="BE153" s="5"/>
      <c r="BF153" s="5"/>
      <c r="BG153" s="5"/>
      <c r="BH153" s="5"/>
      <c r="BI153" s="5"/>
      <c r="BJ153" s="5"/>
      <c r="BK153" s="5">
        <f>SUM(BD153:BJ153)</f>
        <v>22320</v>
      </c>
      <c r="BM153" s="79">
        <f>45*BM17</f>
        <v>0</v>
      </c>
      <c r="BN153" s="5"/>
      <c r="BO153" s="5"/>
      <c r="BP153" s="5"/>
      <c r="BQ153" s="5"/>
      <c r="BR153" s="5"/>
      <c r="BS153" s="5"/>
      <c r="BT153" s="5">
        <f>SUM(BM153:BS153)</f>
        <v>0</v>
      </c>
      <c r="BV153" s="5">
        <f t="shared" si="433"/>
        <v>399105</v>
      </c>
      <c r="BW153" s="5">
        <f t="shared" si="433"/>
        <v>0</v>
      </c>
      <c r="BX153" s="5">
        <f t="shared" si="433"/>
        <v>0</v>
      </c>
      <c r="BY153" s="5">
        <f t="shared" si="433"/>
        <v>0</v>
      </c>
      <c r="BZ153" s="5">
        <f t="shared" si="433"/>
        <v>0</v>
      </c>
      <c r="CA153" s="5">
        <f t="shared" si="433"/>
        <v>0</v>
      </c>
      <c r="CB153" s="5"/>
      <c r="CC153" s="5">
        <f>SUM(BV153:CB153)</f>
        <v>399105</v>
      </c>
    </row>
    <row r="154" spans="1:81" ht="15">
      <c r="A154" s="70" t="s">
        <v>136</v>
      </c>
      <c r="B154" s="71">
        <f>SUM(B144:B153)</f>
        <v>323640</v>
      </c>
      <c r="C154" s="71">
        <f t="shared" ref="C154:I154" si="435">SUM(C144:C153)</f>
        <v>18651.381215469617</v>
      </c>
      <c r="D154" s="71">
        <f t="shared" si="435"/>
        <v>3500</v>
      </c>
      <c r="E154" s="71">
        <f t="shared" si="435"/>
        <v>0</v>
      </c>
      <c r="F154" s="71">
        <f t="shared" si="435"/>
        <v>0</v>
      </c>
      <c r="G154" s="71">
        <f t="shared" si="435"/>
        <v>0</v>
      </c>
      <c r="H154" s="71">
        <f t="shared" si="435"/>
        <v>0</v>
      </c>
      <c r="I154" s="71">
        <f t="shared" si="435"/>
        <v>345791.38121546962</v>
      </c>
      <c r="J154" s="7"/>
      <c r="K154" s="71">
        <f>SUM(K144:K153)</f>
        <v>359136</v>
      </c>
      <c r="L154" s="71">
        <f t="shared" ref="L154:R154" si="436">SUM(L144:L153)</f>
        <v>11057.142857142857</v>
      </c>
      <c r="M154" s="71">
        <f t="shared" si="436"/>
        <v>2500</v>
      </c>
      <c r="N154" s="71"/>
      <c r="O154" s="71">
        <f t="shared" si="436"/>
        <v>0</v>
      </c>
      <c r="P154" s="71">
        <f t="shared" si="436"/>
        <v>0</v>
      </c>
      <c r="Q154" s="71">
        <f t="shared" si="436"/>
        <v>0</v>
      </c>
      <c r="R154" s="71">
        <f t="shared" si="436"/>
        <v>372693.14285714284</v>
      </c>
      <c r="T154" s="71">
        <f>SUM(T144:T153)</f>
        <v>427035</v>
      </c>
      <c r="U154" s="71">
        <f t="shared" ref="U154:AA154" si="437">SUM(U144:U153)</f>
        <v>16906.119027661356</v>
      </c>
      <c r="V154" s="71">
        <f t="shared" si="437"/>
        <v>0</v>
      </c>
      <c r="W154" s="71"/>
      <c r="X154" s="71">
        <f t="shared" si="437"/>
        <v>0</v>
      </c>
      <c r="Y154" s="71">
        <f t="shared" si="437"/>
        <v>0</v>
      </c>
      <c r="Z154" s="71">
        <f t="shared" si="437"/>
        <v>0</v>
      </c>
      <c r="AA154" s="71">
        <f t="shared" si="437"/>
        <v>443941.11902766133</v>
      </c>
      <c r="AC154" s="71">
        <f>SUM(AC144:AC153)</f>
        <v>1288278</v>
      </c>
      <c r="AD154" s="71">
        <f t="shared" ref="AD154:AJ154" si="438">SUM(AD144:AD153)</f>
        <v>45409.837467921294</v>
      </c>
      <c r="AE154" s="71">
        <f t="shared" si="438"/>
        <v>3500</v>
      </c>
      <c r="AF154" s="71">
        <f t="shared" si="438"/>
        <v>0</v>
      </c>
      <c r="AG154" s="71">
        <f t="shared" si="438"/>
        <v>0</v>
      </c>
      <c r="AH154" s="71">
        <f t="shared" si="438"/>
        <v>0</v>
      </c>
      <c r="AI154" s="71">
        <f t="shared" si="438"/>
        <v>0</v>
      </c>
      <c r="AJ154" s="71">
        <f t="shared" si="438"/>
        <v>1337187.8374679212</v>
      </c>
      <c r="AL154" s="71">
        <f>SUM(AL144:AL153)</f>
        <v>1268886</v>
      </c>
      <c r="AM154" s="71">
        <f t="shared" ref="AM154:AS154" si="439">SUM(AM144:AM153)</f>
        <v>33792.998678996039</v>
      </c>
      <c r="AN154" s="71">
        <f t="shared" si="439"/>
        <v>3500</v>
      </c>
      <c r="AO154" s="71"/>
      <c r="AP154" s="71">
        <f t="shared" si="439"/>
        <v>0</v>
      </c>
      <c r="AQ154" s="71">
        <f t="shared" si="439"/>
        <v>0</v>
      </c>
      <c r="AR154" s="71">
        <f t="shared" si="439"/>
        <v>0</v>
      </c>
      <c r="AS154" s="71">
        <f t="shared" si="439"/>
        <v>1306178.998678996</v>
      </c>
      <c r="AU154" s="71">
        <f>SUM(AU144:AU153)</f>
        <v>53800</v>
      </c>
      <c r="AV154" s="71">
        <f t="shared" ref="AV154:BB154" si="440">SUM(AV144:AV153)</f>
        <v>2800</v>
      </c>
      <c r="AW154" s="71">
        <f t="shared" si="440"/>
        <v>0</v>
      </c>
      <c r="AX154" s="71">
        <f t="shared" si="440"/>
        <v>0</v>
      </c>
      <c r="AY154" s="71">
        <f t="shared" si="440"/>
        <v>0</v>
      </c>
      <c r="AZ154" s="71">
        <f t="shared" si="440"/>
        <v>0</v>
      </c>
      <c r="BA154" s="71">
        <f t="shared" si="440"/>
        <v>0</v>
      </c>
      <c r="BB154" s="71">
        <f t="shared" si="440"/>
        <v>56600</v>
      </c>
      <c r="BD154" s="71">
        <f>SUM(BD144:BD153)</f>
        <v>300128</v>
      </c>
      <c r="BE154" s="71">
        <f t="shared" ref="BE154:BK154" si="441">SUM(BE144:BE153)</f>
        <v>4754.8872180451126</v>
      </c>
      <c r="BF154" s="71">
        <f t="shared" si="441"/>
        <v>2500</v>
      </c>
      <c r="BG154" s="71">
        <f t="shared" si="441"/>
        <v>0</v>
      </c>
      <c r="BH154" s="71">
        <f t="shared" si="441"/>
        <v>0</v>
      </c>
      <c r="BI154" s="71">
        <f t="shared" si="441"/>
        <v>0</v>
      </c>
      <c r="BJ154" s="71">
        <f t="shared" si="441"/>
        <v>0</v>
      </c>
      <c r="BK154" s="71">
        <f t="shared" si="441"/>
        <v>307382.88721804513</v>
      </c>
      <c r="BM154" s="71">
        <f>SUM(BM144:BM153)</f>
        <v>0</v>
      </c>
      <c r="BN154" s="71">
        <f t="shared" ref="BN154:BT154" si="442">SUM(BN144:BN153)</f>
        <v>0</v>
      </c>
      <c r="BO154" s="71">
        <f t="shared" si="442"/>
        <v>0</v>
      </c>
      <c r="BP154" s="71">
        <f t="shared" si="442"/>
        <v>0</v>
      </c>
      <c r="BQ154" s="71">
        <f t="shared" si="442"/>
        <v>0</v>
      </c>
      <c r="BR154" s="71">
        <f t="shared" si="442"/>
        <v>0</v>
      </c>
      <c r="BS154" s="71">
        <f t="shared" si="442"/>
        <v>0</v>
      </c>
      <c r="BT154" s="71">
        <f t="shared" si="442"/>
        <v>0</v>
      </c>
      <c r="BV154" s="71">
        <f>SUM(BV144:BV153)</f>
        <v>4020903</v>
      </c>
      <c r="BW154" s="71">
        <f t="shared" ref="BW154:CC154" si="443">SUM(BW144:BW153)</f>
        <v>133372.36646523626</v>
      </c>
      <c r="BX154" s="71">
        <f t="shared" si="443"/>
        <v>15500</v>
      </c>
      <c r="BY154" s="71">
        <f t="shared" si="443"/>
        <v>0</v>
      </c>
      <c r="BZ154" s="71">
        <f t="shared" si="443"/>
        <v>0</v>
      </c>
      <c r="CA154" s="71">
        <f t="shared" si="443"/>
        <v>0</v>
      </c>
      <c r="CB154" s="71">
        <f t="shared" si="443"/>
        <v>0</v>
      </c>
      <c r="CC154" s="71">
        <f t="shared" si="443"/>
        <v>4169775.3664652361</v>
      </c>
    </row>
    <row r="155" spans="1:81" ht="15">
      <c r="A155" s="75" t="s">
        <v>137</v>
      </c>
      <c r="B155" s="18" t="str">
        <f t="shared" ref="B155:I155" si="444">B1</f>
        <v>Operating</v>
      </c>
      <c r="C155" s="18" t="str">
        <f t="shared" si="444"/>
        <v>SPED</v>
      </c>
      <c r="D155" s="18" t="str">
        <f t="shared" si="444"/>
        <v>NSLP</v>
      </c>
      <c r="E155" s="18" t="str">
        <f t="shared" si="444"/>
        <v>Other</v>
      </c>
      <c r="F155" s="18" t="str">
        <f t="shared" si="444"/>
        <v>Title I</v>
      </c>
      <c r="G155" s="18" t="str">
        <f t="shared" si="444"/>
        <v>SGF</v>
      </c>
      <c r="H155" s="18" t="str">
        <f t="shared" si="444"/>
        <v>Title III</v>
      </c>
      <c r="I155" s="18" t="str">
        <f t="shared" si="444"/>
        <v>Horizon</v>
      </c>
      <c r="J155" s="7"/>
      <c r="K155" s="18" t="str">
        <f t="shared" ref="K155:R155" si="445">K1</f>
        <v>Operating</v>
      </c>
      <c r="L155" s="18" t="str">
        <f t="shared" si="445"/>
        <v>SPED</v>
      </c>
      <c r="M155" s="18" t="str">
        <f t="shared" si="445"/>
        <v>NSLP</v>
      </c>
      <c r="N155" s="18" t="str">
        <f t="shared" si="445"/>
        <v>Other</v>
      </c>
      <c r="O155" s="18" t="str">
        <f t="shared" si="445"/>
        <v>Title I</v>
      </c>
      <c r="P155" s="18" t="str">
        <f t="shared" si="445"/>
        <v>SGF</v>
      </c>
      <c r="Q155" s="18" t="str">
        <f t="shared" si="445"/>
        <v>Title III</v>
      </c>
      <c r="R155" s="18" t="str">
        <f t="shared" si="445"/>
        <v>St. Rose</v>
      </c>
      <c r="T155" s="18" t="str">
        <f t="shared" ref="T155:AA155" si="446">T1</f>
        <v>Operating</v>
      </c>
      <c r="U155" s="18" t="str">
        <f t="shared" si="446"/>
        <v>SPED</v>
      </c>
      <c r="V155" s="18" t="str">
        <f t="shared" si="446"/>
        <v>NSLP</v>
      </c>
      <c r="W155" s="18" t="str">
        <f t="shared" si="446"/>
        <v>Other</v>
      </c>
      <c r="X155" s="18" t="str">
        <f t="shared" si="446"/>
        <v>Title I</v>
      </c>
      <c r="Y155" s="18" t="str">
        <f t="shared" si="446"/>
        <v>SGF</v>
      </c>
      <c r="Z155" s="18" t="str">
        <f t="shared" si="446"/>
        <v>Title III</v>
      </c>
      <c r="AA155" s="18" t="str">
        <f t="shared" si="446"/>
        <v>Inspirada</v>
      </c>
      <c r="AC155" s="18" t="str">
        <f t="shared" ref="AC155:AJ155" si="447">AC1</f>
        <v>Operating</v>
      </c>
      <c r="AD155" s="18" t="str">
        <f t="shared" si="447"/>
        <v>SPED</v>
      </c>
      <c r="AE155" s="18" t="str">
        <f t="shared" si="447"/>
        <v>NSLP</v>
      </c>
      <c r="AF155" s="18" t="str">
        <f t="shared" si="447"/>
        <v>Other</v>
      </c>
      <c r="AG155" s="18" t="str">
        <f t="shared" si="447"/>
        <v>Title I</v>
      </c>
      <c r="AH155" s="18" t="str">
        <f t="shared" si="447"/>
        <v>SGF</v>
      </c>
      <c r="AI155" s="18" t="str">
        <f t="shared" si="447"/>
        <v>Title III</v>
      </c>
      <c r="AJ155" s="18" t="str">
        <f t="shared" si="447"/>
        <v>Cadence</v>
      </c>
      <c r="AL155" s="18" t="str">
        <f t="shared" ref="AL155:AS155" si="448">AL1</f>
        <v>Operating</v>
      </c>
      <c r="AM155" s="18" t="str">
        <f t="shared" si="448"/>
        <v>SPED</v>
      </c>
      <c r="AN155" s="18" t="str">
        <f t="shared" si="448"/>
        <v>NSLP</v>
      </c>
      <c r="AO155" s="18" t="str">
        <f t="shared" si="448"/>
        <v>Other</v>
      </c>
      <c r="AP155" s="18" t="str">
        <f t="shared" si="448"/>
        <v>Title I</v>
      </c>
      <c r="AQ155" s="18" t="str">
        <f t="shared" si="448"/>
        <v>SGF</v>
      </c>
      <c r="AR155" s="18" t="str">
        <f t="shared" si="448"/>
        <v>Title III</v>
      </c>
      <c r="AS155" s="18" t="str">
        <f t="shared" si="448"/>
        <v>Sloan</v>
      </c>
      <c r="AU155" s="18" t="str">
        <f t="shared" ref="AU155:BB155" si="449">AU1</f>
        <v>Operating</v>
      </c>
      <c r="AV155" s="18" t="str">
        <f t="shared" si="449"/>
        <v>SPED</v>
      </c>
      <c r="AW155" s="18" t="str">
        <f t="shared" si="449"/>
        <v>NSLP</v>
      </c>
      <c r="AX155" s="18" t="str">
        <f t="shared" si="449"/>
        <v>Other</v>
      </c>
      <c r="AY155" s="18" t="str">
        <f t="shared" si="449"/>
        <v>Title I</v>
      </c>
      <c r="AZ155" s="18" t="str">
        <f t="shared" si="449"/>
        <v>SGF</v>
      </c>
      <c r="BA155" s="18" t="str">
        <f t="shared" si="449"/>
        <v>Title III</v>
      </c>
      <c r="BB155" s="18" t="str">
        <f t="shared" si="449"/>
        <v>Virtual</v>
      </c>
      <c r="BD155" s="18" t="str">
        <f t="shared" ref="BD155:BK155" si="450">BD1</f>
        <v>Operating</v>
      </c>
      <c r="BE155" s="18" t="str">
        <f t="shared" si="450"/>
        <v>SPED</v>
      </c>
      <c r="BF155" s="18" t="str">
        <f t="shared" si="450"/>
        <v>NSLP</v>
      </c>
      <c r="BG155" s="18" t="str">
        <f t="shared" si="450"/>
        <v>Other</v>
      </c>
      <c r="BH155" s="18" t="str">
        <f t="shared" si="450"/>
        <v>Title I</v>
      </c>
      <c r="BI155" s="18" t="str">
        <f t="shared" si="450"/>
        <v>SGF</v>
      </c>
      <c r="BJ155" s="18" t="str">
        <f t="shared" si="450"/>
        <v>Title III</v>
      </c>
      <c r="BK155" s="18" t="str">
        <f t="shared" si="450"/>
        <v>Springs</v>
      </c>
      <c r="BM155" s="18" t="str">
        <f t="shared" ref="BM155:BT155" si="451">BM1</f>
        <v>Operating</v>
      </c>
      <c r="BN155" s="18" t="str">
        <f t="shared" si="451"/>
        <v>SPED</v>
      </c>
      <c r="BO155" s="18" t="str">
        <f t="shared" si="451"/>
        <v>NSLP</v>
      </c>
      <c r="BP155" s="18" t="str">
        <f t="shared" si="451"/>
        <v>Other</v>
      </c>
      <c r="BQ155" s="18" t="str">
        <f t="shared" si="451"/>
        <v>Title I</v>
      </c>
      <c r="BR155" s="18" t="str">
        <f t="shared" si="451"/>
        <v>SGF</v>
      </c>
      <c r="BS155" s="18" t="str">
        <f t="shared" si="451"/>
        <v>Title III</v>
      </c>
      <c r="BT155" s="18" t="str">
        <f t="shared" si="451"/>
        <v>Exec. Office</v>
      </c>
      <c r="BV155" s="18" t="str">
        <f t="shared" ref="BV155:CC155" si="452">BV1</f>
        <v>Operating</v>
      </c>
      <c r="BW155" s="18" t="str">
        <f t="shared" si="452"/>
        <v>SPED</v>
      </c>
      <c r="BX155" s="18" t="str">
        <f t="shared" si="452"/>
        <v>NSLP</v>
      </c>
      <c r="BY155" s="18" t="str">
        <f t="shared" si="452"/>
        <v>Other</v>
      </c>
      <c r="BZ155" s="18" t="str">
        <f t="shared" si="452"/>
        <v>Title I</v>
      </c>
      <c r="CA155" s="18" t="str">
        <f t="shared" si="452"/>
        <v>SGF</v>
      </c>
      <c r="CB155" s="18" t="str">
        <f t="shared" si="452"/>
        <v>Title III</v>
      </c>
      <c r="CC155" s="18" t="str">
        <f t="shared" si="452"/>
        <v>Systemwide</v>
      </c>
    </row>
    <row r="156" spans="1:81">
      <c r="A156" s="29" t="s">
        <v>138</v>
      </c>
      <c r="B156" s="62">
        <f>'26-27'!B156*1.05</f>
        <v>16438.275000000001</v>
      </c>
      <c r="C156" s="11"/>
      <c r="D156" s="11"/>
      <c r="E156" s="11"/>
      <c r="F156" s="11"/>
      <c r="G156" s="11"/>
      <c r="H156" s="11"/>
      <c r="I156" s="5">
        <f t="shared" ref="I156:I169" si="453">SUM(B156:H156)</f>
        <v>16438.275000000001</v>
      </c>
      <c r="K156" s="62">
        <f>'26-27'!K156*1.05</f>
        <v>26625.375</v>
      </c>
      <c r="L156" s="11"/>
      <c r="M156" s="11"/>
      <c r="N156" s="11"/>
      <c r="O156" s="11"/>
      <c r="P156" s="11"/>
      <c r="Q156" s="11"/>
      <c r="R156" s="5">
        <f t="shared" ref="R156:R169" si="454">SUM(K156:Q156)</f>
        <v>26625.375</v>
      </c>
      <c r="T156" s="62">
        <f>'26-27'!T156*1.05</f>
        <v>20837.25</v>
      </c>
      <c r="U156" s="11"/>
      <c r="V156" s="11"/>
      <c r="W156" s="11"/>
      <c r="X156" s="11"/>
      <c r="Y156" s="11"/>
      <c r="Z156" s="11"/>
      <c r="AA156" s="5">
        <f t="shared" ref="AA156:AA169" si="455">SUM(T156:Z156)</f>
        <v>20837.25</v>
      </c>
      <c r="AC156" s="62">
        <f>'26-27'!AC156*1.05</f>
        <v>40516.875</v>
      </c>
      <c r="AD156" s="11"/>
      <c r="AE156" s="11"/>
      <c r="AF156" s="11"/>
      <c r="AG156" s="11"/>
      <c r="AH156" s="11"/>
      <c r="AI156" s="11"/>
      <c r="AJ156" s="5">
        <f t="shared" ref="AJ156:AJ169" si="456">SUM(AC156:AI156)</f>
        <v>40516.875</v>
      </c>
      <c r="AL156" s="62">
        <f>'26-27'!AL156*1.05</f>
        <v>34728.75</v>
      </c>
      <c r="AM156" s="11"/>
      <c r="AN156" s="11"/>
      <c r="AO156" s="11"/>
      <c r="AP156" s="11"/>
      <c r="AQ156" s="11"/>
      <c r="AR156" s="11"/>
      <c r="AS156" s="5">
        <f t="shared" ref="AS156:AS169" si="457">SUM(AL156:AR156)</f>
        <v>34728.75</v>
      </c>
      <c r="AU156" s="62">
        <f>'26-27'!AU156*1.05</f>
        <v>10997.4375</v>
      </c>
      <c r="AV156" s="11"/>
      <c r="AW156" s="11"/>
      <c r="AX156" s="11"/>
      <c r="AY156" s="11"/>
      <c r="AZ156" s="11"/>
      <c r="BA156" s="11"/>
      <c r="BB156" s="5">
        <f t="shared" ref="BB156:BB169" si="458">SUM(AU156:BA156)</f>
        <v>10997.4375</v>
      </c>
      <c r="BD156" s="62">
        <f>'26-27'!BD156*1.05</f>
        <v>3472.875</v>
      </c>
      <c r="BE156" s="11"/>
      <c r="BF156" s="11"/>
      <c r="BG156" s="11"/>
      <c r="BH156" s="11"/>
      <c r="BI156" s="11"/>
      <c r="BJ156" s="11"/>
      <c r="BK156" s="5">
        <f t="shared" ref="BK156:BK169" si="459">SUM(BD156:BJ156)</f>
        <v>3472.875</v>
      </c>
      <c r="BM156" s="11">
        <v>0</v>
      </c>
      <c r="BN156" s="11"/>
      <c r="BO156" s="11"/>
      <c r="BP156" s="11"/>
      <c r="BQ156" s="11"/>
      <c r="BR156" s="11"/>
      <c r="BS156" s="11"/>
      <c r="BT156" s="5">
        <f t="shared" ref="BT156:BT169" si="460">SUM(BM156:BS156)</f>
        <v>0</v>
      </c>
      <c r="BV156" s="5">
        <f t="shared" ref="BV156:CA169" si="461">B156+K156+T156+AC156+AL156+AU156+BD156+BM156</f>
        <v>153616.83749999999</v>
      </c>
      <c r="BW156" s="5">
        <f t="shared" si="461"/>
        <v>0</v>
      </c>
      <c r="BX156" s="5">
        <f t="shared" si="461"/>
        <v>0</v>
      </c>
      <c r="BY156" s="5">
        <f t="shared" si="461"/>
        <v>0</v>
      </c>
      <c r="BZ156" s="5">
        <f t="shared" si="461"/>
        <v>0</v>
      </c>
      <c r="CA156" s="5">
        <f t="shared" si="461"/>
        <v>0</v>
      </c>
      <c r="CB156" s="11"/>
      <c r="CC156" s="5">
        <f t="shared" ref="CC156:CC169" si="462">SUM(BV156:CB156)</f>
        <v>153616.83749999999</v>
      </c>
    </row>
    <row r="157" spans="1:81">
      <c r="A157" s="29" t="s">
        <v>139</v>
      </c>
      <c r="B157" s="11">
        <v>0</v>
      </c>
      <c r="C157" s="11">
        <f>575*B17</f>
        <v>534750</v>
      </c>
      <c r="D157" s="5"/>
      <c r="E157" s="5"/>
      <c r="F157" s="5"/>
      <c r="G157" s="5"/>
      <c r="H157" s="5"/>
      <c r="I157" s="5">
        <f t="shared" si="453"/>
        <v>534750</v>
      </c>
      <c r="K157" s="11">
        <v>0</v>
      </c>
      <c r="L157" s="11">
        <f>160*K17</f>
        <v>165120</v>
      </c>
      <c r="M157" s="5"/>
      <c r="N157" s="5"/>
      <c r="O157" s="5"/>
      <c r="P157" s="5"/>
      <c r="Q157" s="5"/>
      <c r="R157" s="5">
        <f t="shared" si="454"/>
        <v>165120</v>
      </c>
      <c r="T157" s="11">
        <v>0</v>
      </c>
      <c r="U157" s="11">
        <f>80*T17</f>
        <v>99600</v>
      </c>
      <c r="V157" s="5"/>
      <c r="W157" s="5"/>
      <c r="X157" s="5"/>
      <c r="Y157" s="5"/>
      <c r="Z157" s="5"/>
      <c r="AA157" s="5">
        <f t="shared" si="455"/>
        <v>99600</v>
      </c>
      <c r="AC157" s="11">
        <v>0</v>
      </c>
      <c r="AD157" s="11">
        <f>140*AC17</f>
        <v>356440</v>
      </c>
      <c r="AE157" s="5"/>
      <c r="AF157" s="5"/>
      <c r="AG157" s="5"/>
      <c r="AH157" s="5"/>
      <c r="AI157" s="5"/>
      <c r="AJ157" s="5">
        <f t="shared" si="456"/>
        <v>356440</v>
      </c>
      <c r="AL157" s="11">
        <v>0</v>
      </c>
      <c r="AM157" s="11">
        <f>225*AL17</f>
        <v>540450</v>
      </c>
      <c r="AN157" s="5"/>
      <c r="AO157" s="5"/>
      <c r="AP157" s="5"/>
      <c r="AQ157" s="5"/>
      <c r="AR157" s="5"/>
      <c r="AS157" s="5">
        <f t="shared" si="457"/>
        <v>540450</v>
      </c>
      <c r="AU157" s="11">
        <v>0</v>
      </c>
      <c r="AV157" s="11">
        <f>200*AU17</f>
        <v>28000</v>
      </c>
      <c r="AW157" s="5"/>
      <c r="AX157" s="5"/>
      <c r="AY157" s="5"/>
      <c r="AZ157" s="5"/>
      <c r="BA157" s="5"/>
      <c r="BB157" s="5">
        <f t="shared" si="458"/>
        <v>28000</v>
      </c>
      <c r="BD157" s="11">
        <v>0</v>
      </c>
      <c r="BE157" s="11">
        <f>750*BD17+60000</f>
        <v>432000</v>
      </c>
      <c r="BF157" s="5"/>
      <c r="BG157" s="5"/>
      <c r="BH157" s="5"/>
      <c r="BI157" s="5"/>
      <c r="BJ157" s="5"/>
      <c r="BK157" s="5">
        <f t="shared" si="459"/>
        <v>432000</v>
      </c>
      <c r="BM157" s="11">
        <v>0</v>
      </c>
      <c r="BN157" s="5">
        <f>375*BM17</f>
        <v>0</v>
      </c>
      <c r="BO157" s="5"/>
      <c r="BP157" s="5"/>
      <c r="BQ157" s="5"/>
      <c r="BR157" s="5"/>
      <c r="BS157" s="5"/>
      <c r="BT157" s="5">
        <f t="shared" si="460"/>
        <v>0</v>
      </c>
      <c r="BV157" s="5">
        <f t="shared" si="461"/>
        <v>0</v>
      </c>
      <c r="BW157" s="5">
        <f t="shared" si="461"/>
        <v>2156360</v>
      </c>
      <c r="BX157" s="5">
        <f t="shared" si="461"/>
        <v>0</v>
      </c>
      <c r="BY157" s="5">
        <f t="shared" si="461"/>
        <v>0</v>
      </c>
      <c r="BZ157" s="5">
        <f t="shared" si="461"/>
        <v>0</v>
      </c>
      <c r="CA157" s="5">
        <f t="shared" si="461"/>
        <v>0</v>
      </c>
      <c r="CB157" s="5"/>
      <c r="CC157" s="5">
        <f t="shared" si="462"/>
        <v>2156360</v>
      </c>
    </row>
    <row r="158" spans="1:81">
      <c r="A158" s="29" t="s">
        <v>279</v>
      </c>
      <c r="B158" s="11">
        <v>0</v>
      </c>
      <c r="C158" s="5"/>
      <c r="D158" s="5"/>
      <c r="E158" s="5"/>
      <c r="F158" s="5"/>
      <c r="G158" s="5"/>
      <c r="H158" s="5"/>
      <c r="I158" s="5">
        <f t="shared" si="453"/>
        <v>0</v>
      </c>
      <c r="K158" s="11">
        <f>(1705*10*2)*1.03</f>
        <v>35123</v>
      </c>
      <c r="L158" s="5"/>
      <c r="M158" s="5"/>
      <c r="N158" s="5"/>
      <c r="O158" s="5"/>
      <c r="P158" s="5"/>
      <c r="Q158" s="5"/>
      <c r="R158" s="5">
        <f t="shared" si="454"/>
        <v>35123</v>
      </c>
      <c r="T158" s="11">
        <v>0</v>
      </c>
      <c r="U158" s="5"/>
      <c r="V158" s="5"/>
      <c r="W158" s="5"/>
      <c r="X158" s="5"/>
      <c r="Y158" s="5"/>
      <c r="Z158" s="5"/>
      <c r="AA158" s="5">
        <f t="shared" si="455"/>
        <v>0</v>
      </c>
      <c r="AC158" s="11">
        <v>0</v>
      </c>
      <c r="AD158" s="5"/>
      <c r="AE158" s="5"/>
      <c r="AF158" s="5"/>
      <c r="AG158" s="5"/>
      <c r="AH158" s="5"/>
      <c r="AI158" s="5"/>
      <c r="AJ158" s="5">
        <f t="shared" si="456"/>
        <v>0</v>
      </c>
      <c r="AL158" s="11">
        <v>0</v>
      </c>
      <c r="AM158" s="5"/>
      <c r="AN158" s="5"/>
      <c r="AO158" s="5"/>
      <c r="AP158" s="5"/>
      <c r="AQ158" s="5"/>
      <c r="AR158" s="5"/>
      <c r="AS158" s="5">
        <f t="shared" si="457"/>
        <v>0</v>
      </c>
      <c r="AU158" s="105">
        <f>(100*12)*AU17</f>
        <v>168000</v>
      </c>
      <c r="AV158" s="11"/>
      <c r="AW158" s="5"/>
      <c r="AX158" s="5"/>
      <c r="AY158" s="5"/>
      <c r="AZ158" s="5"/>
      <c r="BA158" s="5"/>
      <c r="BB158" s="5">
        <f t="shared" si="458"/>
        <v>168000</v>
      </c>
      <c r="BD158" s="11">
        <v>0</v>
      </c>
      <c r="BE158" s="5"/>
      <c r="BF158" s="5"/>
      <c r="BG158" s="5"/>
      <c r="BH158" s="5"/>
      <c r="BI158" s="5"/>
      <c r="BJ158" s="5"/>
      <c r="BK158" s="5">
        <f t="shared" si="459"/>
        <v>0</v>
      </c>
      <c r="BM158" s="11">
        <v>0</v>
      </c>
      <c r="BN158" s="5"/>
      <c r="BO158" s="5"/>
      <c r="BP158" s="5"/>
      <c r="BQ158" s="5"/>
      <c r="BR158" s="5"/>
      <c r="BS158" s="5"/>
      <c r="BT158" s="5">
        <f t="shared" si="460"/>
        <v>0</v>
      </c>
      <c r="BV158" s="5">
        <f t="shared" si="461"/>
        <v>203123</v>
      </c>
      <c r="BW158" s="5">
        <f t="shared" si="461"/>
        <v>0</v>
      </c>
      <c r="BX158" s="5">
        <f t="shared" si="461"/>
        <v>0</v>
      </c>
      <c r="BY158" s="5">
        <f t="shared" si="461"/>
        <v>0</v>
      </c>
      <c r="BZ158" s="5">
        <f t="shared" si="461"/>
        <v>0</v>
      </c>
      <c r="CA158" s="5">
        <f t="shared" si="461"/>
        <v>0</v>
      </c>
      <c r="CB158" s="5"/>
      <c r="CC158" s="5">
        <f t="shared" si="462"/>
        <v>203123</v>
      </c>
    </row>
    <row r="159" spans="1:81">
      <c r="A159" s="29" t="s">
        <v>280</v>
      </c>
      <c r="B159" s="11">
        <v>0</v>
      </c>
      <c r="C159" s="5"/>
      <c r="D159" s="5"/>
      <c r="E159" s="5"/>
      <c r="F159" s="5"/>
      <c r="G159" s="5"/>
      <c r="H159" s="5"/>
      <c r="I159" s="5">
        <f t="shared" si="453"/>
        <v>0</v>
      </c>
      <c r="K159" s="11">
        <v>0</v>
      </c>
      <c r="L159" s="5"/>
      <c r="M159" s="5"/>
      <c r="N159" s="5"/>
      <c r="O159" s="5"/>
      <c r="P159" s="5"/>
      <c r="Q159" s="5"/>
      <c r="R159" s="5">
        <f t="shared" si="454"/>
        <v>0</v>
      </c>
      <c r="T159" s="11">
        <v>0</v>
      </c>
      <c r="U159" s="5"/>
      <c r="V159" s="5"/>
      <c r="W159" s="5"/>
      <c r="X159" s="5"/>
      <c r="Y159" s="5"/>
      <c r="Z159" s="5"/>
      <c r="AA159" s="5">
        <f t="shared" si="455"/>
        <v>0</v>
      </c>
      <c r="AC159" s="11">
        <v>0</v>
      </c>
      <c r="AD159" s="5"/>
      <c r="AE159" s="5"/>
      <c r="AF159" s="5"/>
      <c r="AG159" s="5"/>
      <c r="AH159" s="5"/>
      <c r="AI159" s="5"/>
      <c r="AJ159" s="5">
        <f t="shared" si="456"/>
        <v>0</v>
      </c>
      <c r="AL159" s="11">
        <v>0</v>
      </c>
      <c r="AM159" s="5"/>
      <c r="AN159" s="5"/>
      <c r="AO159" s="5"/>
      <c r="AP159" s="5"/>
      <c r="AQ159" s="5"/>
      <c r="AR159" s="5"/>
      <c r="AS159" s="5">
        <f t="shared" si="457"/>
        <v>0</v>
      </c>
      <c r="AU159" s="11">
        <f>800*AU17</f>
        <v>112000</v>
      </c>
      <c r="AV159" s="11"/>
      <c r="AW159" s="5"/>
      <c r="AX159" s="5"/>
      <c r="AY159" s="5"/>
      <c r="AZ159" s="5"/>
      <c r="BA159" s="5"/>
      <c r="BB159" s="5">
        <f t="shared" si="458"/>
        <v>112000</v>
      </c>
      <c r="BD159" s="11">
        <v>0</v>
      </c>
      <c r="BE159" s="5"/>
      <c r="BF159" s="5"/>
      <c r="BG159" s="5"/>
      <c r="BH159" s="5"/>
      <c r="BI159" s="5"/>
      <c r="BJ159" s="5"/>
      <c r="BK159" s="5">
        <f t="shared" si="459"/>
        <v>0</v>
      </c>
      <c r="BM159" s="11">
        <v>0</v>
      </c>
      <c r="BN159" s="5"/>
      <c r="BO159" s="5"/>
      <c r="BP159" s="5"/>
      <c r="BQ159" s="5"/>
      <c r="BR159" s="5"/>
      <c r="BS159" s="5"/>
      <c r="BT159" s="5">
        <f t="shared" si="460"/>
        <v>0</v>
      </c>
      <c r="BV159" s="5">
        <f t="shared" si="461"/>
        <v>112000</v>
      </c>
      <c r="BW159" s="5">
        <f t="shared" si="461"/>
        <v>0</v>
      </c>
      <c r="BX159" s="5">
        <f t="shared" si="461"/>
        <v>0</v>
      </c>
      <c r="BY159" s="5">
        <f t="shared" si="461"/>
        <v>0</v>
      </c>
      <c r="BZ159" s="5">
        <f t="shared" si="461"/>
        <v>0</v>
      </c>
      <c r="CA159" s="5">
        <f t="shared" si="461"/>
        <v>0</v>
      </c>
      <c r="CB159" s="5"/>
      <c r="CC159" s="5">
        <f t="shared" si="462"/>
        <v>112000</v>
      </c>
    </row>
    <row r="160" spans="1:81">
      <c r="A160" s="29" t="s">
        <v>140</v>
      </c>
      <c r="B160" s="11">
        <f>495*B17</f>
        <v>460350</v>
      </c>
      <c r="C160" s="5"/>
      <c r="D160" s="5"/>
      <c r="E160" s="5"/>
      <c r="F160" s="5"/>
      <c r="G160" s="5"/>
      <c r="H160" s="5"/>
      <c r="I160" s="5">
        <f t="shared" si="453"/>
        <v>460350</v>
      </c>
      <c r="K160" s="11">
        <f>495*K17</f>
        <v>510840</v>
      </c>
      <c r="L160" s="5"/>
      <c r="M160" s="5"/>
      <c r="N160" s="5"/>
      <c r="O160" s="5"/>
      <c r="P160" s="5"/>
      <c r="Q160" s="5"/>
      <c r="R160" s="5">
        <f t="shared" si="454"/>
        <v>510840</v>
      </c>
      <c r="T160" s="11">
        <f>495*T17</f>
        <v>616275</v>
      </c>
      <c r="U160" s="5"/>
      <c r="V160" s="5"/>
      <c r="W160" s="5"/>
      <c r="X160" s="5"/>
      <c r="Y160" s="5"/>
      <c r="Z160" s="5"/>
      <c r="AA160" s="5">
        <f t="shared" si="455"/>
        <v>616275</v>
      </c>
      <c r="AC160" s="11">
        <f>495*AC17</f>
        <v>1260270</v>
      </c>
      <c r="AD160" s="5"/>
      <c r="AE160" s="5"/>
      <c r="AF160" s="5"/>
      <c r="AG160" s="5"/>
      <c r="AH160" s="5"/>
      <c r="AI160" s="5"/>
      <c r="AJ160" s="5">
        <f t="shared" si="456"/>
        <v>1260270</v>
      </c>
      <c r="AL160" s="11">
        <f>495*AL17</f>
        <v>1188990</v>
      </c>
      <c r="AM160" s="5"/>
      <c r="AN160" s="5"/>
      <c r="AO160" s="5"/>
      <c r="AP160" s="5"/>
      <c r="AQ160" s="5"/>
      <c r="AR160" s="5"/>
      <c r="AS160" s="5">
        <f t="shared" si="457"/>
        <v>1188990</v>
      </c>
      <c r="AU160" s="11">
        <f>495*AU17</f>
        <v>69300</v>
      </c>
      <c r="AV160" s="5"/>
      <c r="AW160" s="5"/>
      <c r="AX160" s="5"/>
      <c r="AY160" s="5"/>
      <c r="AZ160" s="5"/>
      <c r="BA160" s="5"/>
      <c r="BB160" s="5">
        <f t="shared" si="458"/>
        <v>69300</v>
      </c>
      <c r="BD160" s="11">
        <f>495*BD17</f>
        <v>245520</v>
      </c>
      <c r="BE160" s="5"/>
      <c r="BF160" s="5"/>
      <c r="BG160" s="5"/>
      <c r="BH160" s="5"/>
      <c r="BI160" s="5"/>
      <c r="BJ160" s="5"/>
      <c r="BK160" s="5">
        <f t="shared" si="459"/>
        <v>245520</v>
      </c>
      <c r="BM160" s="11">
        <f>450*BM17</f>
        <v>0</v>
      </c>
      <c r="BN160" s="5"/>
      <c r="BO160" s="5"/>
      <c r="BP160" s="5"/>
      <c r="BQ160" s="5"/>
      <c r="BR160" s="5"/>
      <c r="BS160" s="5"/>
      <c r="BT160" s="5">
        <f t="shared" si="460"/>
        <v>0</v>
      </c>
      <c r="BV160" s="5">
        <f t="shared" si="461"/>
        <v>4351545</v>
      </c>
      <c r="BW160" s="5">
        <f t="shared" si="461"/>
        <v>0</v>
      </c>
      <c r="BX160" s="5">
        <f t="shared" si="461"/>
        <v>0</v>
      </c>
      <c r="BY160" s="5">
        <f t="shared" si="461"/>
        <v>0</v>
      </c>
      <c r="BZ160" s="5">
        <f t="shared" si="461"/>
        <v>0</v>
      </c>
      <c r="CA160" s="5">
        <f t="shared" si="461"/>
        <v>0</v>
      </c>
      <c r="CB160" s="5"/>
      <c r="CC160" s="5">
        <f t="shared" si="462"/>
        <v>4351545</v>
      </c>
    </row>
    <row r="161" spans="1:81">
      <c r="A161" s="29" t="s">
        <v>141</v>
      </c>
      <c r="B161" s="62">
        <f>'26-27'!B161*1.05</f>
        <v>24310.125</v>
      </c>
      <c r="C161" s="62">
        <f>'26-27'!C161*1.05</f>
        <v>3472.875</v>
      </c>
      <c r="D161" s="11">
        <v>0</v>
      </c>
      <c r="E161" s="11"/>
      <c r="F161" s="11">
        <f>(240*F65)</f>
        <v>0</v>
      </c>
      <c r="G161" s="11">
        <f>(240*G65)</f>
        <v>0</v>
      </c>
      <c r="H161" s="11">
        <f>(240*H65)</f>
        <v>0</v>
      </c>
      <c r="I161" s="5">
        <f t="shared" si="453"/>
        <v>27783</v>
      </c>
      <c r="K161" s="62">
        <f>'26-27'!K161*1.05</f>
        <v>25467.75</v>
      </c>
      <c r="L161" s="62">
        <f>'26-27'!L161*1.05</f>
        <v>3472.875</v>
      </c>
      <c r="M161" s="11">
        <v>0</v>
      </c>
      <c r="N161" s="11"/>
      <c r="O161" s="11">
        <f>(240*O65)</f>
        <v>0</v>
      </c>
      <c r="P161" s="11">
        <f>(240*P65)</f>
        <v>0</v>
      </c>
      <c r="Q161" s="11">
        <f>(240*Q65)</f>
        <v>0</v>
      </c>
      <c r="R161" s="5">
        <f t="shared" si="454"/>
        <v>28940.625</v>
      </c>
      <c r="T161" s="62">
        <f>'26-27'!T161*1.05</f>
        <v>28361.8125</v>
      </c>
      <c r="U161" s="62">
        <f>'26-27'!U161*1.05</f>
        <v>4051.6875</v>
      </c>
      <c r="V161" s="11">
        <v>0</v>
      </c>
      <c r="W161" s="11"/>
      <c r="X161" s="11">
        <f>(240*X65)</f>
        <v>0</v>
      </c>
      <c r="Y161" s="11">
        <f>(240*Y65)</f>
        <v>0</v>
      </c>
      <c r="Z161" s="11">
        <f>(240*Z65)</f>
        <v>0</v>
      </c>
      <c r="AA161" s="5">
        <f t="shared" si="455"/>
        <v>32413.5</v>
      </c>
      <c r="AC161" s="62">
        <f>'26-27'!AC161*1.05</f>
        <v>57881.25</v>
      </c>
      <c r="AD161" s="62">
        <f>'26-27'!AD161*1.05</f>
        <v>8103.375</v>
      </c>
      <c r="AE161" s="11"/>
      <c r="AF161" s="11"/>
      <c r="AG161" s="11">
        <f>(240*AG65)</f>
        <v>0</v>
      </c>
      <c r="AH161" s="11">
        <f>(240*AH65)</f>
        <v>0</v>
      </c>
      <c r="AI161" s="11">
        <f>(240*AI65)</f>
        <v>0</v>
      </c>
      <c r="AJ161" s="5">
        <f t="shared" si="456"/>
        <v>65984.625</v>
      </c>
      <c r="AL161" s="62">
        <f>'26-27'!AL161*1.05</f>
        <v>43989.75</v>
      </c>
      <c r="AM161" s="62">
        <f>'26-27'!AM161*1.05</f>
        <v>6366.9375</v>
      </c>
      <c r="AN161" s="11">
        <v>0</v>
      </c>
      <c r="AO161" s="11"/>
      <c r="AP161" s="11">
        <f>(240*AP65)</f>
        <v>0</v>
      </c>
      <c r="AQ161" s="11">
        <f>(240*AQ65)</f>
        <v>0</v>
      </c>
      <c r="AR161" s="11">
        <f>(240*AR65)</f>
        <v>0</v>
      </c>
      <c r="AS161" s="5">
        <f t="shared" si="457"/>
        <v>50356.6875</v>
      </c>
      <c r="AU161" s="62">
        <f>'26-27'!AU161*1.05</f>
        <v>3307.5</v>
      </c>
      <c r="AV161" s="62">
        <f>'26-27'!AV161*1.05</f>
        <v>1212.75</v>
      </c>
      <c r="AW161" s="11">
        <v>0</v>
      </c>
      <c r="AX161" s="11"/>
      <c r="AY161" s="11">
        <f>(240*AY65)</f>
        <v>0</v>
      </c>
      <c r="AZ161" s="11">
        <f>(240*AZ65)</f>
        <v>0</v>
      </c>
      <c r="BA161" s="11">
        <f>(240*BA65)</f>
        <v>0</v>
      </c>
      <c r="BB161" s="5">
        <f t="shared" si="458"/>
        <v>4520.25</v>
      </c>
      <c r="BD161" s="62">
        <f>'26-27'!BD161*1.05</f>
        <v>4051.6875</v>
      </c>
      <c r="BE161" s="62">
        <f>'26-27'!BE161*1.05</f>
        <v>868.21875</v>
      </c>
      <c r="BF161" s="11">
        <v>0</v>
      </c>
      <c r="BG161" s="11"/>
      <c r="BH161" s="11">
        <v>0</v>
      </c>
      <c r="BI161" s="11">
        <f>(240*BI65)</f>
        <v>0</v>
      </c>
      <c r="BJ161" s="11">
        <f>(240*BJ65)</f>
        <v>0</v>
      </c>
      <c r="BK161" s="5">
        <f t="shared" si="459"/>
        <v>4919.90625</v>
      </c>
      <c r="BM161" s="62">
        <f>'26-27'!BM161*1.05</f>
        <v>2315.25</v>
      </c>
      <c r="BN161" s="11"/>
      <c r="BO161" s="11">
        <v>0</v>
      </c>
      <c r="BP161" s="11"/>
      <c r="BQ161" s="11">
        <f>(240*BQ65)</f>
        <v>0</v>
      </c>
      <c r="BR161" s="11">
        <f>(240*BR65)</f>
        <v>0</v>
      </c>
      <c r="BS161" s="11">
        <f>(240*BS65)</f>
        <v>0</v>
      </c>
      <c r="BT161" s="5">
        <f t="shared" si="460"/>
        <v>2315.25</v>
      </c>
      <c r="BV161" s="5">
        <f t="shared" si="461"/>
        <v>189685.125</v>
      </c>
      <c r="BW161" s="5">
        <f t="shared" si="461"/>
        <v>27548.71875</v>
      </c>
      <c r="BX161" s="5">
        <f t="shared" si="461"/>
        <v>0</v>
      </c>
      <c r="BY161" s="5">
        <f t="shared" si="461"/>
        <v>0</v>
      </c>
      <c r="BZ161" s="5">
        <f t="shared" si="461"/>
        <v>0</v>
      </c>
      <c r="CA161" s="5">
        <f t="shared" si="461"/>
        <v>0</v>
      </c>
      <c r="CB161" s="11">
        <f>(240*CB65)</f>
        <v>0</v>
      </c>
      <c r="CC161" s="5">
        <f t="shared" si="462"/>
        <v>217233.84375</v>
      </c>
    </row>
    <row r="162" spans="1:81">
      <c r="A162" s="29" t="s">
        <v>142</v>
      </c>
      <c r="B162" s="62">
        <f>'26-27'!B162*1.05</f>
        <v>23731.3125</v>
      </c>
      <c r="C162" s="5"/>
      <c r="D162" s="5"/>
      <c r="E162" s="5"/>
      <c r="F162" s="5"/>
      <c r="G162" s="5"/>
      <c r="H162" s="5"/>
      <c r="I162" s="5">
        <f t="shared" si="453"/>
        <v>23731.3125</v>
      </c>
      <c r="K162" s="62">
        <f>'26-27'!K162*1.05</f>
        <v>23731.3125</v>
      </c>
      <c r="L162" s="5"/>
      <c r="M162" s="5"/>
      <c r="N162" s="5"/>
      <c r="O162" s="5"/>
      <c r="P162" s="5"/>
      <c r="Q162" s="5"/>
      <c r="R162" s="5">
        <f t="shared" si="454"/>
        <v>23731.3125</v>
      </c>
      <c r="T162" s="62">
        <f>'26-27'!T162*1.05</f>
        <v>23731.3125</v>
      </c>
      <c r="U162" s="5"/>
      <c r="V162" s="5"/>
      <c r="W162" s="5"/>
      <c r="X162" s="5"/>
      <c r="Y162" s="5"/>
      <c r="Z162" s="5"/>
      <c r="AA162" s="5">
        <f t="shared" si="455"/>
        <v>23731.3125</v>
      </c>
      <c r="AC162" s="62">
        <f>'26-27'!AC162*1.05</f>
        <v>23731.3125</v>
      </c>
      <c r="AD162" s="5"/>
      <c r="AE162" s="5"/>
      <c r="AF162" s="5"/>
      <c r="AG162" s="5"/>
      <c r="AH162" s="5"/>
      <c r="AI162" s="5"/>
      <c r="AJ162" s="5">
        <f t="shared" si="456"/>
        <v>23731.3125</v>
      </c>
      <c r="AL162" s="62">
        <f>'26-27'!AL162*1.05</f>
        <v>23731.3125</v>
      </c>
      <c r="AM162" s="5"/>
      <c r="AN162" s="5"/>
      <c r="AO162" s="5"/>
      <c r="AP162" s="5"/>
      <c r="AQ162" s="5"/>
      <c r="AR162" s="5"/>
      <c r="AS162" s="5">
        <f t="shared" si="457"/>
        <v>23731.3125</v>
      </c>
      <c r="AU162" s="62">
        <f>'26-27'!AU162*1.05</f>
        <v>22601.25</v>
      </c>
      <c r="AV162" s="5"/>
      <c r="AW162" s="5"/>
      <c r="AX162" s="5"/>
      <c r="AY162" s="5"/>
      <c r="AZ162" s="5"/>
      <c r="BA162" s="5"/>
      <c r="BB162" s="5">
        <f t="shared" si="458"/>
        <v>22601.25</v>
      </c>
      <c r="BD162" s="62">
        <f>'26-27'!BD162*1.05</f>
        <v>5788.125</v>
      </c>
      <c r="BE162" s="5"/>
      <c r="BF162" s="5"/>
      <c r="BG162" s="5"/>
      <c r="BH162" s="5"/>
      <c r="BI162" s="5"/>
      <c r="BJ162" s="5"/>
      <c r="BK162" s="5">
        <f t="shared" si="459"/>
        <v>5788.125</v>
      </c>
      <c r="BM162" s="11">
        <v>0</v>
      </c>
      <c r="BN162" s="5"/>
      <c r="BO162" s="5"/>
      <c r="BP162" s="5"/>
      <c r="BQ162" s="5"/>
      <c r="BR162" s="5"/>
      <c r="BS162" s="5"/>
      <c r="BT162" s="5">
        <f t="shared" si="460"/>
        <v>0</v>
      </c>
      <c r="BV162" s="5">
        <f t="shared" si="461"/>
        <v>147045.9375</v>
      </c>
      <c r="BW162" s="5">
        <f t="shared" si="461"/>
        <v>0</v>
      </c>
      <c r="BX162" s="5">
        <f t="shared" si="461"/>
        <v>0</v>
      </c>
      <c r="BY162" s="5">
        <f t="shared" si="461"/>
        <v>0</v>
      </c>
      <c r="BZ162" s="5">
        <f t="shared" si="461"/>
        <v>0</v>
      </c>
      <c r="CA162" s="5">
        <f t="shared" si="461"/>
        <v>0</v>
      </c>
      <c r="CB162" s="5"/>
      <c r="CC162" s="5">
        <f t="shared" si="462"/>
        <v>147045.9375</v>
      </c>
    </row>
    <row r="163" spans="1:81">
      <c r="A163" s="29" t="s">
        <v>143</v>
      </c>
      <c r="B163" s="11">
        <v>7500</v>
      </c>
      <c r="C163" s="5"/>
      <c r="D163" s="5"/>
      <c r="E163" s="5"/>
      <c r="F163" s="5"/>
      <c r="G163" s="5"/>
      <c r="H163" s="5"/>
      <c r="I163" s="5">
        <f t="shared" si="453"/>
        <v>7500</v>
      </c>
      <c r="K163" s="11">
        <v>8000</v>
      </c>
      <c r="L163" s="5"/>
      <c r="M163" s="5"/>
      <c r="N163" s="5"/>
      <c r="O163" s="5"/>
      <c r="P163" s="5"/>
      <c r="Q163" s="5"/>
      <c r="R163" s="5">
        <f t="shared" si="454"/>
        <v>8000</v>
      </c>
      <c r="T163" s="11">
        <v>8000</v>
      </c>
      <c r="U163" s="5"/>
      <c r="V163" s="5"/>
      <c r="W163" s="5"/>
      <c r="X163" s="5"/>
      <c r="Y163" s="5"/>
      <c r="Z163" s="5"/>
      <c r="AA163" s="5">
        <f t="shared" si="455"/>
        <v>8000</v>
      </c>
      <c r="AC163" s="11">
        <v>12000</v>
      </c>
      <c r="AD163" s="5"/>
      <c r="AE163" s="5"/>
      <c r="AF163" s="5"/>
      <c r="AG163" s="5"/>
      <c r="AH163" s="5"/>
      <c r="AI163" s="5"/>
      <c r="AJ163" s="5">
        <f t="shared" si="456"/>
        <v>12000</v>
      </c>
      <c r="AL163" s="11">
        <v>7500</v>
      </c>
      <c r="AM163" s="5"/>
      <c r="AN163" s="5"/>
      <c r="AO163" s="5"/>
      <c r="AP163" s="5"/>
      <c r="AQ163" s="5"/>
      <c r="AR163" s="5"/>
      <c r="AS163" s="5">
        <f t="shared" si="457"/>
        <v>7500</v>
      </c>
      <c r="AU163" s="11">
        <v>6000</v>
      </c>
      <c r="AV163" s="5"/>
      <c r="AW163" s="5"/>
      <c r="AX163" s="5"/>
      <c r="AY163" s="5"/>
      <c r="AZ163" s="5"/>
      <c r="BA163" s="5"/>
      <c r="BB163" s="5">
        <f t="shared" si="458"/>
        <v>6000</v>
      </c>
      <c r="BD163" s="11">
        <v>4500</v>
      </c>
      <c r="BE163" s="5"/>
      <c r="BF163" s="5"/>
      <c r="BG163" s="5"/>
      <c r="BH163" s="5"/>
      <c r="BI163" s="5"/>
      <c r="BJ163" s="5"/>
      <c r="BK163" s="5">
        <f t="shared" si="459"/>
        <v>4500</v>
      </c>
      <c r="BM163" s="11">
        <v>0</v>
      </c>
      <c r="BN163" s="5"/>
      <c r="BO163" s="5"/>
      <c r="BP163" s="5"/>
      <c r="BQ163" s="5"/>
      <c r="BR163" s="5"/>
      <c r="BS163" s="5"/>
      <c r="BT163" s="5">
        <f t="shared" si="460"/>
        <v>0</v>
      </c>
      <c r="BV163" s="5">
        <f t="shared" si="461"/>
        <v>53500</v>
      </c>
      <c r="BW163" s="5">
        <f t="shared" si="461"/>
        <v>0</v>
      </c>
      <c r="BX163" s="5">
        <f t="shared" si="461"/>
        <v>0</v>
      </c>
      <c r="BY163" s="5">
        <f t="shared" si="461"/>
        <v>0</v>
      </c>
      <c r="BZ163" s="5">
        <f t="shared" si="461"/>
        <v>0</v>
      </c>
      <c r="CA163" s="5">
        <f t="shared" si="461"/>
        <v>0</v>
      </c>
      <c r="CB163" s="5"/>
      <c r="CC163" s="5">
        <f t="shared" si="462"/>
        <v>53500</v>
      </c>
    </row>
    <row r="164" spans="1:81">
      <c r="A164" s="29" t="s">
        <v>144</v>
      </c>
      <c r="B164" s="11">
        <f>48*B17+(60*12)</f>
        <v>45360</v>
      </c>
      <c r="C164" s="5"/>
      <c r="D164" s="5"/>
      <c r="E164" s="5"/>
      <c r="F164" s="5"/>
      <c r="G164" s="5"/>
      <c r="H164" s="5"/>
      <c r="I164" s="5">
        <f t="shared" si="453"/>
        <v>45360</v>
      </c>
      <c r="K164" s="11">
        <f>48*K17+(60*12)</f>
        <v>50256</v>
      </c>
      <c r="L164" s="5"/>
      <c r="M164" s="5"/>
      <c r="N164" s="5"/>
      <c r="O164" s="5"/>
      <c r="P164" s="5"/>
      <c r="Q164" s="5"/>
      <c r="R164" s="5">
        <f t="shared" si="454"/>
        <v>50256</v>
      </c>
      <c r="T164" s="11">
        <f>48*T17+(60*12)</f>
        <v>60480</v>
      </c>
      <c r="U164" s="5"/>
      <c r="V164" s="5"/>
      <c r="W164" s="5"/>
      <c r="X164" s="5"/>
      <c r="Y164" s="5"/>
      <c r="Z164" s="5"/>
      <c r="AA164" s="5">
        <f t="shared" si="455"/>
        <v>60480</v>
      </c>
      <c r="AC164" s="11">
        <f>48*AC17+(60*12)</f>
        <v>122928</v>
      </c>
      <c r="AD164" s="5"/>
      <c r="AE164" s="5"/>
      <c r="AF164" s="5"/>
      <c r="AG164" s="5"/>
      <c r="AH164" s="5"/>
      <c r="AI164" s="5"/>
      <c r="AJ164" s="5">
        <f t="shared" si="456"/>
        <v>122928</v>
      </c>
      <c r="AL164" s="11">
        <f>48*AL17+(60*12)</f>
        <v>116016</v>
      </c>
      <c r="AM164" s="5"/>
      <c r="AN164" s="5"/>
      <c r="AO164" s="5"/>
      <c r="AP164" s="5"/>
      <c r="AQ164" s="5"/>
      <c r="AR164" s="5"/>
      <c r="AS164" s="5">
        <f t="shared" si="457"/>
        <v>116016</v>
      </c>
      <c r="AU164" s="11">
        <f>48*AU17+(60*12)</f>
        <v>7440</v>
      </c>
      <c r="AV164" s="5"/>
      <c r="AW164" s="5"/>
      <c r="AX164" s="5"/>
      <c r="AY164" s="5"/>
      <c r="AZ164" s="5"/>
      <c r="BA164" s="5"/>
      <c r="BB164" s="5">
        <f t="shared" si="458"/>
        <v>7440</v>
      </c>
      <c r="BD164" s="11">
        <f>48*BD17+(60*12)</f>
        <v>24528</v>
      </c>
      <c r="BE164" s="5"/>
      <c r="BF164" s="5"/>
      <c r="BG164" s="5"/>
      <c r="BH164" s="5"/>
      <c r="BI164" s="5"/>
      <c r="BJ164" s="5"/>
      <c r="BK164" s="5">
        <f t="shared" si="459"/>
        <v>24528</v>
      </c>
      <c r="BM164" s="11">
        <v>0</v>
      </c>
      <c r="BN164" s="5"/>
      <c r="BO164" s="5"/>
      <c r="BP164" s="5"/>
      <c r="BQ164" s="5"/>
      <c r="BR164" s="5"/>
      <c r="BS164" s="5"/>
      <c r="BT164" s="5">
        <f t="shared" si="460"/>
        <v>0</v>
      </c>
      <c r="BV164" s="5">
        <f t="shared" si="461"/>
        <v>427008</v>
      </c>
      <c r="BW164" s="5">
        <f t="shared" si="461"/>
        <v>0</v>
      </c>
      <c r="BX164" s="5">
        <f t="shared" si="461"/>
        <v>0</v>
      </c>
      <c r="BY164" s="5">
        <f t="shared" si="461"/>
        <v>0</v>
      </c>
      <c r="BZ164" s="5">
        <f t="shared" si="461"/>
        <v>0</v>
      </c>
      <c r="CA164" s="5">
        <f t="shared" si="461"/>
        <v>0</v>
      </c>
      <c r="CB164" s="5"/>
      <c r="CC164" s="5">
        <f t="shared" si="462"/>
        <v>427008</v>
      </c>
    </row>
    <row r="165" spans="1:81">
      <c r="A165" s="29" t="s">
        <v>145</v>
      </c>
      <c r="B165" s="11">
        <v>25000</v>
      </c>
      <c r="C165" s="5"/>
      <c r="D165" s="5"/>
      <c r="E165" s="5"/>
      <c r="F165" s="5"/>
      <c r="G165" s="5"/>
      <c r="H165" s="5"/>
      <c r="I165" s="5">
        <f t="shared" si="453"/>
        <v>25000</v>
      </c>
      <c r="K165" s="11">
        <v>27500</v>
      </c>
      <c r="L165" s="5"/>
      <c r="M165" s="5"/>
      <c r="N165" s="5"/>
      <c r="O165" s="5"/>
      <c r="P165" s="5"/>
      <c r="Q165" s="5"/>
      <c r="R165" s="5">
        <f t="shared" si="454"/>
        <v>27500</v>
      </c>
      <c r="T165" s="11">
        <v>30000</v>
      </c>
      <c r="U165" s="5"/>
      <c r="V165" s="5"/>
      <c r="W165" s="5"/>
      <c r="X165" s="5"/>
      <c r="Y165" s="5"/>
      <c r="Z165" s="5"/>
      <c r="AA165" s="5">
        <f t="shared" si="455"/>
        <v>30000</v>
      </c>
      <c r="AC165" s="11">
        <v>32500</v>
      </c>
      <c r="AD165" s="5"/>
      <c r="AE165" s="5"/>
      <c r="AF165" s="5"/>
      <c r="AG165" s="5"/>
      <c r="AH165" s="5"/>
      <c r="AI165" s="5"/>
      <c r="AJ165" s="5">
        <f t="shared" si="456"/>
        <v>32500</v>
      </c>
      <c r="AL165" s="11">
        <v>40000</v>
      </c>
      <c r="AM165" s="5"/>
      <c r="AN165" s="5"/>
      <c r="AO165" s="5"/>
      <c r="AP165" s="5"/>
      <c r="AQ165" s="5"/>
      <c r="AR165" s="5"/>
      <c r="AS165" s="5">
        <f t="shared" si="457"/>
        <v>40000</v>
      </c>
      <c r="AU165" s="11">
        <v>17000</v>
      </c>
      <c r="AV165" s="5"/>
      <c r="AW165" s="5"/>
      <c r="AX165" s="5"/>
      <c r="AY165" s="5"/>
      <c r="AZ165" s="5"/>
      <c r="BA165" s="5"/>
      <c r="BB165" s="5">
        <f t="shared" si="458"/>
        <v>17000</v>
      </c>
      <c r="BD165" s="11">
        <v>8500</v>
      </c>
      <c r="BE165" s="5"/>
      <c r="BF165" s="5"/>
      <c r="BG165" s="5"/>
      <c r="BH165" s="5"/>
      <c r="BI165" s="5"/>
      <c r="BJ165" s="5"/>
      <c r="BK165" s="5">
        <f t="shared" si="459"/>
        <v>8500</v>
      </c>
      <c r="BM165" s="11">
        <v>0</v>
      </c>
      <c r="BN165" s="5"/>
      <c r="BO165" s="5"/>
      <c r="BP165" s="5"/>
      <c r="BQ165" s="5"/>
      <c r="BR165" s="5"/>
      <c r="BS165" s="5"/>
      <c r="BT165" s="5">
        <f t="shared" si="460"/>
        <v>0</v>
      </c>
      <c r="BV165" s="5">
        <f t="shared" si="461"/>
        <v>180500</v>
      </c>
      <c r="BW165" s="5">
        <f t="shared" si="461"/>
        <v>0</v>
      </c>
      <c r="BX165" s="5">
        <f t="shared" si="461"/>
        <v>0</v>
      </c>
      <c r="BY165" s="5">
        <f t="shared" si="461"/>
        <v>0</v>
      </c>
      <c r="BZ165" s="5">
        <f t="shared" si="461"/>
        <v>0</v>
      </c>
      <c r="CA165" s="5">
        <f t="shared" si="461"/>
        <v>0</v>
      </c>
      <c r="CB165" s="5"/>
      <c r="CC165" s="5">
        <f t="shared" si="462"/>
        <v>180500</v>
      </c>
    </row>
    <row r="166" spans="1:81">
      <c r="A166" s="29" t="s">
        <v>146</v>
      </c>
      <c r="B166" s="11">
        <f>B74*0.0125</f>
        <v>114506.25</v>
      </c>
      <c r="C166" s="5"/>
      <c r="D166" s="5"/>
      <c r="E166" s="5"/>
      <c r="F166" s="5"/>
      <c r="G166" s="5"/>
      <c r="H166" s="5"/>
      <c r="I166" s="5">
        <f t="shared" si="453"/>
        <v>114506.25</v>
      </c>
      <c r="J166" s="80"/>
      <c r="K166" s="11">
        <f>K74*0.0125</f>
        <v>127065</v>
      </c>
      <c r="L166" s="5"/>
      <c r="M166" s="5"/>
      <c r="N166" s="5"/>
      <c r="O166" s="5"/>
      <c r="P166" s="5"/>
      <c r="Q166" s="5"/>
      <c r="R166" s="5">
        <f t="shared" si="454"/>
        <v>127065</v>
      </c>
      <c r="T166" s="11">
        <f>T74*0.0125</f>
        <v>153290.625</v>
      </c>
      <c r="U166" s="5"/>
      <c r="V166" s="5"/>
      <c r="W166" s="5"/>
      <c r="X166" s="5"/>
      <c r="Y166" s="5"/>
      <c r="Z166" s="5"/>
      <c r="AA166" s="5">
        <f t="shared" si="455"/>
        <v>153290.625</v>
      </c>
      <c r="AC166" s="11">
        <f>AC74*0.0125</f>
        <v>313476.25</v>
      </c>
      <c r="AD166" s="5"/>
      <c r="AE166" s="5"/>
      <c r="AF166" s="5"/>
      <c r="AG166" s="5"/>
      <c r="AH166" s="5"/>
      <c r="AI166" s="5"/>
      <c r="AJ166" s="5">
        <f t="shared" si="456"/>
        <v>313476.25</v>
      </c>
      <c r="AL166" s="11">
        <f>AL74*0.0125</f>
        <v>295746.25</v>
      </c>
      <c r="AM166" s="5"/>
      <c r="AN166" s="5"/>
      <c r="AO166" s="5"/>
      <c r="AP166" s="5"/>
      <c r="AQ166" s="5"/>
      <c r="AR166" s="5"/>
      <c r="AS166" s="5">
        <f t="shared" si="457"/>
        <v>295746.25</v>
      </c>
      <c r="AU166" s="11">
        <f>AU74*0.0125</f>
        <v>17237.5</v>
      </c>
      <c r="AV166" s="5"/>
      <c r="AW166" s="5"/>
      <c r="AX166" s="5"/>
      <c r="AY166" s="5"/>
      <c r="AZ166" s="5"/>
      <c r="BA166" s="5"/>
      <c r="BB166" s="5">
        <f t="shared" si="458"/>
        <v>17237.5</v>
      </c>
      <c r="BD166" s="11">
        <f>BD74*0.0125</f>
        <v>61070</v>
      </c>
      <c r="BE166" s="5"/>
      <c r="BF166" s="5"/>
      <c r="BG166" s="5"/>
      <c r="BH166" s="5"/>
      <c r="BI166" s="5"/>
      <c r="BJ166" s="5"/>
      <c r="BK166" s="5">
        <f t="shared" si="459"/>
        <v>61070</v>
      </c>
      <c r="BM166" s="11">
        <f>BM74*0.0125</f>
        <v>0</v>
      </c>
      <c r="BN166" s="5"/>
      <c r="BO166" s="5"/>
      <c r="BP166" s="5"/>
      <c r="BQ166" s="5"/>
      <c r="BR166" s="5"/>
      <c r="BS166" s="5"/>
      <c r="BT166" s="5">
        <f t="shared" si="460"/>
        <v>0</v>
      </c>
      <c r="BV166" s="5">
        <f t="shared" si="461"/>
        <v>1082391.875</v>
      </c>
      <c r="BW166" s="5">
        <f t="shared" si="461"/>
        <v>0</v>
      </c>
      <c r="BX166" s="5">
        <f t="shared" si="461"/>
        <v>0</v>
      </c>
      <c r="BY166" s="5">
        <f t="shared" si="461"/>
        <v>0</v>
      </c>
      <c r="BZ166" s="5">
        <f t="shared" si="461"/>
        <v>0</v>
      </c>
      <c r="CA166" s="5">
        <f t="shared" si="461"/>
        <v>0</v>
      </c>
      <c r="CB166" s="5"/>
      <c r="CC166" s="5">
        <f t="shared" si="462"/>
        <v>1082391.875</v>
      </c>
    </row>
    <row r="167" spans="1:81">
      <c r="A167" s="29" t="s">
        <v>147</v>
      </c>
      <c r="B167" s="11">
        <f>B74*0.005</f>
        <v>45802.5</v>
      </c>
      <c r="C167" s="5"/>
      <c r="D167" s="5"/>
      <c r="E167" s="5"/>
      <c r="F167" s="5"/>
      <c r="G167" s="5"/>
      <c r="H167" s="5"/>
      <c r="I167" s="5">
        <f t="shared" si="453"/>
        <v>45802.5</v>
      </c>
      <c r="J167" s="80"/>
      <c r="K167" s="11">
        <f>K74*0.005</f>
        <v>50826</v>
      </c>
      <c r="L167" s="5"/>
      <c r="M167" s="5"/>
      <c r="N167" s="5"/>
      <c r="O167" s="5"/>
      <c r="P167" s="5"/>
      <c r="Q167" s="5"/>
      <c r="R167" s="5">
        <f t="shared" si="454"/>
        <v>50826</v>
      </c>
      <c r="T167" s="11">
        <f>T74*0.005</f>
        <v>61316.25</v>
      </c>
      <c r="U167" s="5"/>
      <c r="V167" s="5"/>
      <c r="W167" s="5"/>
      <c r="X167" s="5"/>
      <c r="Y167" s="5"/>
      <c r="Z167" s="5"/>
      <c r="AA167" s="5">
        <f t="shared" si="455"/>
        <v>61316.25</v>
      </c>
      <c r="AC167" s="11">
        <f>AC74*0.005</f>
        <v>125390.5</v>
      </c>
      <c r="AD167" s="5"/>
      <c r="AE167" s="5"/>
      <c r="AF167" s="5"/>
      <c r="AG167" s="5"/>
      <c r="AH167" s="5"/>
      <c r="AI167" s="5"/>
      <c r="AJ167" s="5">
        <f t="shared" si="456"/>
        <v>125390.5</v>
      </c>
      <c r="AL167" s="11">
        <f>AL74*0.005</f>
        <v>118298.5</v>
      </c>
      <c r="AM167" s="5"/>
      <c r="AN167" s="5"/>
      <c r="AO167" s="5"/>
      <c r="AP167" s="5"/>
      <c r="AQ167" s="5"/>
      <c r="AR167" s="5"/>
      <c r="AS167" s="5">
        <f t="shared" si="457"/>
        <v>118298.5</v>
      </c>
      <c r="AU167" s="11">
        <f>AU74*0.005</f>
        <v>6895</v>
      </c>
      <c r="AV167" s="5"/>
      <c r="AW167" s="5"/>
      <c r="AX167" s="5"/>
      <c r="AY167" s="5"/>
      <c r="AZ167" s="5"/>
      <c r="BA167" s="5"/>
      <c r="BB167" s="5">
        <f t="shared" si="458"/>
        <v>6895</v>
      </c>
      <c r="BD167" s="11">
        <f>BD74*0.005</f>
        <v>24428</v>
      </c>
      <c r="BE167" s="5"/>
      <c r="BF167" s="5"/>
      <c r="BG167" s="5"/>
      <c r="BH167" s="5"/>
      <c r="BI167" s="5"/>
      <c r="BJ167" s="5"/>
      <c r="BK167" s="5">
        <f t="shared" si="459"/>
        <v>24428</v>
      </c>
      <c r="BM167" s="11">
        <f>BM74*0.005</f>
        <v>0</v>
      </c>
      <c r="BN167" s="5"/>
      <c r="BO167" s="5"/>
      <c r="BP167" s="5"/>
      <c r="BQ167" s="5"/>
      <c r="BR167" s="5"/>
      <c r="BS167" s="5"/>
      <c r="BT167" s="5">
        <f t="shared" si="460"/>
        <v>0</v>
      </c>
      <c r="BV167" s="5">
        <f t="shared" si="461"/>
        <v>432956.75</v>
      </c>
      <c r="BW167" s="5">
        <f t="shared" si="461"/>
        <v>0</v>
      </c>
      <c r="BX167" s="5">
        <f t="shared" si="461"/>
        <v>0</v>
      </c>
      <c r="BY167" s="5">
        <f t="shared" si="461"/>
        <v>0</v>
      </c>
      <c r="BZ167" s="5">
        <f t="shared" si="461"/>
        <v>0</v>
      </c>
      <c r="CA167" s="5">
        <f t="shared" si="461"/>
        <v>0</v>
      </c>
      <c r="CB167" s="5"/>
      <c r="CC167" s="5">
        <f t="shared" si="462"/>
        <v>432956.75</v>
      </c>
    </row>
    <row r="168" spans="1:81">
      <c r="A168" s="29" t="s">
        <v>148</v>
      </c>
      <c r="B168" s="11">
        <f>B74*0.005</f>
        <v>45802.5</v>
      </c>
      <c r="C168" s="5"/>
      <c r="D168" s="5"/>
      <c r="E168" s="5"/>
      <c r="F168" s="5"/>
      <c r="G168" s="5"/>
      <c r="H168" s="5"/>
      <c r="I168" s="5">
        <f t="shared" si="453"/>
        <v>45802.5</v>
      </c>
      <c r="J168" s="80"/>
      <c r="K168" s="11">
        <f>K74*0.005</f>
        <v>50826</v>
      </c>
      <c r="L168" s="5"/>
      <c r="M168" s="5"/>
      <c r="N168" s="5"/>
      <c r="O168" s="5"/>
      <c r="P168" s="5"/>
      <c r="Q168" s="5"/>
      <c r="R168" s="5">
        <f t="shared" si="454"/>
        <v>50826</v>
      </c>
      <c r="T168" s="11">
        <f>T74*0.005</f>
        <v>61316.25</v>
      </c>
      <c r="U168" s="5"/>
      <c r="V168" s="5"/>
      <c r="W168" s="5"/>
      <c r="X168" s="5"/>
      <c r="Y168" s="5"/>
      <c r="Z168" s="5"/>
      <c r="AA168" s="5">
        <f t="shared" si="455"/>
        <v>61316.25</v>
      </c>
      <c r="AC168" s="11">
        <f>AC74*0.005</f>
        <v>125390.5</v>
      </c>
      <c r="AD168" s="5"/>
      <c r="AE168" s="5"/>
      <c r="AF168" s="5"/>
      <c r="AG168" s="5"/>
      <c r="AH168" s="5"/>
      <c r="AI168" s="5"/>
      <c r="AJ168" s="5">
        <f t="shared" si="456"/>
        <v>125390.5</v>
      </c>
      <c r="AL168" s="11">
        <f>AL74*0.005</f>
        <v>118298.5</v>
      </c>
      <c r="AM168" s="5"/>
      <c r="AN168" s="5"/>
      <c r="AO168" s="5"/>
      <c r="AP168" s="5"/>
      <c r="AQ168" s="5"/>
      <c r="AR168" s="5"/>
      <c r="AS168" s="5">
        <f t="shared" si="457"/>
        <v>118298.5</v>
      </c>
      <c r="AU168" s="11">
        <f>AU74*0.005</f>
        <v>6895</v>
      </c>
      <c r="AV168" s="5"/>
      <c r="AW168" s="5"/>
      <c r="AX168" s="5"/>
      <c r="AY168" s="5"/>
      <c r="AZ168" s="5"/>
      <c r="BA168" s="5"/>
      <c r="BB168" s="5">
        <f t="shared" si="458"/>
        <v>6895</v>
      </c>
      <c r="BD168" s="11">
        <f>BD74*0.005</f>
        <v>24428</v>
      </c>
      <c r="BE168" s="5"/>
      <c r="BF168" s="5"/>
      <c r="BG168" s="5"/>
      <c r="BH168" s="5"/>
      <c r="BI168" s="5"/>
      <c r="BJ168" s="5"/>
      <c r="BK168" s="5">
        <f t="shared" si="459"/>
        <v>24428</v>
      </c>
      <c r="BM168" s="11">
        <f>BM74*0.005</f>
        <v>0</v>
      </c>
      <c r="BN168" s="5"/>
      <c r="BO168" s="5"/>
      <c r="BP168" s="5"/>
      <c r="BQ168" s="5"/>
      <c r="BR168" s="5"/>
      <c r="BS168" s="5"/>
      <c r="BT168" s="5">
        <f t="shared" si="460"/>
        <v>0</v>
      </c>
      <c r="BV168" s="5">
        <f t="shared" si="461"/>
        <v>432956.75</v>
      </c>
      <c r="BW168" s="5">
        <f t="shared" si="461"/>
        <v>0</v>
      </c>
      <c r="BX168" s="5">
        <f t="shared" si="461"/>
        <v>0</v>
      </c>
      <c r="BY168" s="5">
        <f t="shared" si="461"/>
        <v>0</v>
      </c>
      <c r="BZ168" s="5">
        <f t="shared" si="461"/>
        <v>0</v>
      </c>
      <c r="CA168" s="5">
        <f t="shared" si="461"/>
        <v>0</v>
      </c>
      <c r="CB168" s="5"/>
      <c r="CC168" s="5">
        <f t="shared" si="462"/>
        <v>432956.75</v>
      </c>
    </row>
    <row r="169" spans="1:81">
      <c r="A169" s="78" t="s">
        <v>149</v>
      </c>
      <c r="B169" s="11">
        <v>0</v>
      </c>
      <c r="C169" s="5"/>
      <c r="D169" s="5"/>
      <c r="E169" s="5"/>
      <c r="F169" s="5"/>
      <c r="G169" s="5"/>
      <c r="H169" s="5"/>
      <c r="I169" s="5">
        <f t="shared" si="453"/>
        <v>0</v>
      </c>
      <c r="J169" s="80"/>
      <c r="K169" s="11">
        <v>0</v>
      </c>
      <c r="L169" s="5"/>
      <c r="M169" s="5"/>
      <c r="N169" s="5"/>
      <c r="O169" s="5"/>
      <c r="P169" s="5"/>
      <c r="Q169" s="5"/>
      <c r="R169" s="5">
        <f t="shared" si="454"/>
        <v>0</v>
      </c>
      <c r="T169" s="11">
        <v>0</v>
      </c>
      <c r="U169" s="5"/>
      <c r="V169" s="5"/>
      <c r="W169" s="5"/>
      <c r="X169" s="5"/>
      <c r="Y169" s="5"/>
      <c r="Z169" s="5"/>
      <c r="AA169" s="5">
        <f t="shared" si="455"/>
        <v>0</v>
      </c>
      <c r="AC169" s="11">
        <v>0</v>
      </c>
      <c r="AD169" s="5"/>
      <c r="AE169" s="5"/>
      <c r="AF169" s="5"/>
      <c r="AG169" s="5"/>
      <c r="AH169" s="5"/>
      <c r="AI169" s="5"/>
      <c r="AJ169" s="5">
        <f t="shared" si="456"/>
        <v>0</v>
      </c>
      <c r="AL169" s="11">
        <v>0</v>
      </c>
      <c r="AM169" s="5"/>
      <c r="AN169" s="5"/>
      <c r="AO169" s="5"/>
      <c r="AP169" s="5"/>
      <c r="AQ169" s="5"/>
      <c r="AR169" s="5"/>
      <c r="AS169" s="5">
        <f t="shared" si="457"/>
        <v>0</v>
      </c>
      <c r="AU169" s="11">
        <v>0</v>
      </c>
      <c r="AV169" s="5"/>
      <c r="AW169" s="5"/>
      <c r="AX169" s="5"/>
      <c r="AY169" s="5"/>
      <c r="AZ169" s="5"/>
      <c r="BA169" s="5"/>
      <c r="BB169" s="5">
        <f t="shared" si="458"/>
        <v>0</v>
      </c>
      <c r="BD169" s="11">
        <v>0</v>
      </c>
      <c r="BE169" s="5"/>
      <c r="BF169" s="5"/>
      <c r="BG169" s="5"/>
      <c r="BH169" s="5"/>
      <c r="BI169" s="5"/>
      <c r="BJ169" s="5"/>
      <c r="BK169" s="5">
        <f t="shared" si="459"/>
        <v>0</v>
      </c>
      <c r="BM169" s="11">
        <v>0</v>
      </c>
      <c r="BN169" s="5"/>
      <c r="BO169" s="5"/>
      <c r="BP169" s="5"/>
      <c r="BQ169" s="5"/>
      <c r="BR169" s="5"/>
      <c r="BS169" s="5"/>
      <c r="BT169" s="5">
        <f t="shared" si="460"/>
        <v>0</v>
      </c>
      <c r="BV169" s="5">
        <f t="shared" si="461"/>
        <v>0</v>
      </c>
      <c r="BW169" s="5">
        <f t="shared" si="461"/>
        <v>0</v>
      </c>
      <c r="BX169" s="5">
        <f t="shared" si="461"/>
        <v>0</v>
      </c>
      <c r="BY169" s="5">
        <f t="shared" si="461"/>
        <v>0</v>
      </c>
      <c r="BZ169" s="5">
        <f t="shared" si="461"/>
        <v>0</v>
      </c>
      <c r="CA169" s="5">
        <f t="shared" si="461"/>
        <v>0</v>
      </c>
      <c r="CB169" s="5"/>
      <c r="CC169" s="5">
        <f t="shared" si="462"/>
        <v>0</v>
      </c>
    </row>
    <row r="170" spans="1:81" ht="15">
      <c r="A170" s="70" t="s">
        <v>150</v>
      </c>
      <c r="B170" s="71">
        <f>SUM(B156:B169)</f>
        <v>808800.96250000002</v>
      </c>
      <c r="C170" s="71">
        <f t="shared" ref="C170:H170" si="463">SUM(C156:C169)</f>
        <v>538222.875</v>
      </c>
      <c r="D170" s="71">
        <f t="shared" si="463"/>
        <v>0</v>
      </c>
      <c r="E170" s="71">
        <f t="shared" si="463"/>
        <v>0</v>
      </c>
      <c r="F170" s="71">
        <f t="shared" si="463"/>
        <v>0</v>
      </c>
      <c r="G170" s="71">
        <f t="shared" si="463"/>
        <v>0</v>
      </c>
      <c r="H170" s="71">
        <f t="shared" si="463"/>
        <v>0</v>
      </c>
      <c r="I170" s="71">
        <f>SUM(I156:I169)</f>
        <v>1347023.8374999999</v>
      </c>
      <c r="J170" s="7"/>
      <c r="K170" s="71">
        <f>SUM(K156:K169)</f>
        <v>936260.4375</v>
      </c>
      <c r="L170" s="71">
        <f t="shared" ref="L170:Q170" si="464">SUM(L156:L169)</f>
        <v>168592.875</v>
      </c>
      <c r="M170" s="71">
        <f t="shared" si="464"/>
        <v>0</v>
      </c>
      <c r="N170" s="71">
        <f t="shared" si="464"/>
        <v>0</v>
      </c>
      <c r="O170" s="71">
        <f t="shared" si="464"/>
        <v>0</v>
      </c>
      <c r="P170" s="71">
        <f t="shared" si="464"/>
        <v>0</v>
      </c>
      <c r="Q170" s="71">
        <f t="shared" si="464"/>
        <v>0</v>
      </c>
      <c r="R170" s="71">
        <f>SUM(R156:R169)</f>
        <v>1104853.3125</v>
      </c>
      <c r="T170" s="71">
        <f>SUM(T156:T169)</f>
        <v>1063608.5</v>
      </c>
      <c r="U170" s="71">
        <f t="shared" ref="U170:Z170" si="465">SUM(U156:U169)</f>
        <v>103651.6875</v>
      </c>
      <c r="V170" s="71">
        <f t="shared" si="465"/>
        <v>0</v>
      </c>
      <c r="W170" s="71">
        <f t="shared" si="465"/>
        <v>0</v>
      </c>
      <c r="X170" s="71">
        <f t="shared" si="465"/>
        <v>0</v>
      </c>
      <c r="Y170" s="71">
        <f t="shared" si="465"/>
        <v>0</v>
      </c>
      <c r="Z170" s="71">
        <f t="shared" si="465"/>
        <v>0</v>
      </c>
      <c r="AA170" s="71">
        <f>SUM(AA156:AA169)</f>
        <v>1167260.1875</v>
      </c>
      <c r="AC170" s="71">
        <f>SUM(AC156:AC169)</f>
        <v>2114084.6875</v>
      </c>
      <c r="AD170" s="71">
        <f t="shared" ref="AD170:AI170" si="466">SUM(AD156:AD169)</f>
        <v>364543.375</v>
      </c>
      <c r="AE170" s="71">
        <f t="shared" si="466"/>
        <v>0</v>
      </c>
      <c r="AF170" s="71">
        <f t="shared" si="466"/>
        <v>0</v>
      </c>
      <c r="AG170" s="71">
        <f t="shared" si="466"/>
        <v>0</v>
      </c>
      <c r="AH170" s="71">
        <f t="shared" si="466"/>
        <v>0</v>
      </c>
      <c r="AI170" s="71">
        <f t="shared" si="466"/>
        <v>0</v>
      </c>
      <c r="AJ170" s="71">
        <f>SUM(AJ156:AJ169)</f>
        <v>2478628.0625</v>
      </c>
      <c r="AL170" s="71">
        <f>SUM(AL156:AL169)</f>
        <v>1987299.0625</v>
      </c>
      <c r="AM170" s="71">
        <f t="shared" ref="AM170:AR170" si="467">SUM(AM156:AM169)</f>
        <v>546816.9375</v>
      </c>
      <c r="AN170" s="71">
        <f t="shared" si="467"/>
        <v>0</v>
      </c>
      <c r="AO170" s="71">
        <f t="shared" si="467"/>
        <v>0</v>
      </c>
      <c r="AP170" s="71">
        <f t="shared" si="467"/>
        <v>0</v>
      </c>
      <c r="AQ170" s="71">
        <f t="shared" si="467"/>
        <v>0</v>
      </c>
      <c r="AR170" s="71">
        <f t="shared" si="467"/>
        <v>0</v>
      </c>
      <c r="AS170" s="71">
        <f>SUM(AS156:AS169)</f>
        <v>2534116</v>
      </c>
      <c r="AU170" s="71">
        <f>SUM(AU156:AU169)</f>
        <v>447673.6875</v>
      </c>
      <c r="AV170" s="71">
        <f t="shared" ref="AV170:BA170" si="468">SUM(AV156:AV169)</f>
        <v>29212.75</v>
      </c>
      <c r="AW170" s="71">
        <f t="shared" si="468"/>
        <v>0</v>
      </c>
      <c r="AX170" s="71">
        <f t="shared" si="468"/>
        <v>0</v>
      </c>
      <c r="AY170" s="71">
        <f t="shared" si="468"/>
        <v>0</v>
      </c>
      <c r="AZ170" s="71">
        <f t="shared" si="468"/>
        <v>0</v>
      </c>
      <c r="BA170" s="71">
        <f t="shared" si="468"/>
        <v>0</v>
      </c>
      <c r="BB170" s="71">
        <f>SUM(BB156:BB169)</f>
        <v>476886.4375</v>
      </c>
      <c r="BD170" s="71">
        <f>SUM(BD156:BD169)</f>
        <v>406286.6875</v>
      </c>
      <c r="BE170" s="71">
        <f t="shared" ref="BE170:BJ170" si="469">SUM(BE156:BE169)</f>
        <v>432868.21875</v>
      </c>
      <c r="BF170" s="71">
        <f t="shared" si="469"/>
        <v>0</v>
      </c>
      <c r="BG170" s="71">
        <f t="shared" si="469"/>
        <v>0</v>
      </c>
      <c r="BH170" s="71">
        <f t="shared" si="469"/>
        <v>0</v>
      </c>
      <c r="BI170" s="71">
        <f t="shared" si="469"/>
        <v>0</v>
      </c>
      <c r="BJ170" s="71">
        <f t="shared" si="469"/>
        <v>0</v>
      </c>
      <c r="BK170" s="71">
        <f>SUM(BK156:BK169)</f>
        <v>839154.90625</v>
      </c>
      <c r="BM170" s="71">
        <f>SUM(BM156:BM169)</f>
        <v>2315.25</v>
      </c>
      <c r="BN170" s="71">
        <f t="shared" ref="BN170:BS170" si="470">SUM(BN156:BN169)</f>
        <v>0</v>
      </c>
      <c r="BO170" s="71">
        <f t="shared" si="470"/>
        <v>0</v>
      </c>
      <c r="BP170" s="71">
        <f t="shared" si="470"/>
        <v>0</v>
      </c>
      <c r="BQ170" s="71">
        <f t="shared" si="470"/>
        <v>0</v>
      </c>
      <c r="BR170" s="71">
        <f t="shared" si="470"/>
        <v>0</v>
      </c>
      <c r="BS170" s="71">
        <f t="shared" si="470"/>
        <v>0</v>
      </c>
      <c r="BT170" s="71">
        <f>SUM(BT156:BT169)</f>
        <v>2315.25</v>
      </c>
      <c r="BV170" s="71">
        <f>SUM(BV156:BV169)</f>
        <v>7766329.2750000004</v>
      </c>
      <c r="BW170" s="71">
        <f t="shared" ref="BW170:CB170" si="471">SUM(BW156:BW169)</f>
        <v>2183908.71875</v>
      </c>
      <c r="BX170" s="71">
        <f t="shared" si="471"/>
        <v>0</v>
      </c>
      <c r="BY170" s="71">
        <f t="shared" si="471"/>
        <v>0</v>
      </c>
      <c r="BZ170" s="71">
        <f t="shared" si="471"/>
        <v>0</v>
      </c>
      <c r="CA170" s="71">
        <f t="shared" si="471"/>
        <v>0</v>
      </c>
      <c r="CB170" s="71">
        <f t="shared" si="471"/>
        <v>0</v>
      </c>
      <c r="CC170" s="71">
        <f>SUM(CC156:CC169)</f>
        <v>9950237.9937500004</v>
      </c>
    </row>
    <row r="171" spans="1:81" ht="15">
      <c r="A171" s="75" t="s">
        <v>151</v>
      </c>
      <c r="B171" s="18" t="str">
        <f t="shared" ref="B171:I171" si="472">B1</f>
        <v>Operating</v>
      </c>
      <c r="C171" s="18" t="str">
        <f t="shared" si="472"/>
        <v>SPED</v>
      </c>
      <c r="D171" s="18" t="str">
        <f t="shared" si="472"/>
        <v>NSLP</v>
      </c>
      <c r="E171" s="18" t="str">
        <f t="shared" si="472"/>
        <v>Other</v>
      </c>
      <c r="F171" s="18" t="str">
        <f t="shared" si="472"/>
        <v>Title I</v>
      </c>
      <c r="G171" s="18" t="str">
        <f t="shared" si="472"/>
        <v>SGF</v>
      </c>
      <c r="H171" s="18" t="str">
        <f t="shared" si="472"/>
        <v>Title III</v>
      </c>
      <c r="I171" s="18" t="str">
        <f t="shared" si="472"/>
        <v>Horizon</v>
      </c>
      <c r="J171" s="7"/>
      <c r="K171" s="18" t="str">
        <f t="shared" ref="K171:R171" si="473">K1</f>
        <v>Operating</v>
      </c>
      <c r="L171" s="18" t="str">
        <f t="shared" si="473"/>
        <v>SPED</v>
      </c>
      <c r="M171" s="18" t="str">
        <f t="shared" si="473"/>
        <v>NSLP</v>
      </c>
      <c r="N171" s="18" t="str">
        <f t="shared" si="473"/>
        <v>Other</v>
      </c>
      <c r="O171" s="18" t="str">
        <f t="shared" si="473"/>
        <v>Title I</v>
      </c>
      <c r="P171" s="18" t="str">
        <f t="shared" si="473"/>
        <v>SGF</v>
      </c>
      <c r="Q171" s="18" t="str">
        <f t="shared" si="473"/>
        <v>Title III</v>
      </c>
      <c r="R171" s="18" t="str">
        <f t="shared" si="473"/>
        <v>St. Rose</v>
      </c>
      <c r="T171" s="18" t="str">
        <f t="shared" ref="T171:AA171" si="474">T1</f>
        <v>Operating</v>
      </c>
      <c r="U171" s="18" t="str">
        <f t="shared" si="474"/>
        <v>SPED</v>
      </c>
      <c r="V171" s="18" t="str">
        <f t="shared" si="474"/>
        <v>NSLP</v>
      </c>
      <c r="W171" s="18" t="str">
        <f t="shared" si="474"/>
        <v>Other</v>
      </c>
      <c r="X171" s="18" t="str">
        <f t="shared" si="474"/>
        <v>Title I</v>
      </c>
      <c r="Y171" s="18" t="str">
        <f t="shared" si="474"/>
        <v>SGF</v>
      </c>
      <c r="Z171" s="18" t="str">
        <f t="shared" si="474"/>
        <v>Title III</v>
      </c>
      <c r="AA171" s="18" t="str">
        <f t="shared" si="474"/>
        <v>Inspirada</v>
      </c>
      <c r="AC171" s="18" t="str">
        <f t="shared" ref="AC171:AJ171" si="475">AC1</f>
        <v>Operating</v>
      </c>
      <c r="AD171" s="18" t="str">
        <f t="shared" si="475"/>
        <v>SPED</v>
      </c>
      <c r="AE171" s="18" t="str">
        <f t="shared" si="475"/>
        <v>NSLP</v>
      </c>
      <c r="AF171" s="18" t="str">
        <f t="shared" si="475"/>
        <v>Other</v>
      </c>
      <c r="AG171" s="18" t="str">
        <f t="shared" si="475"/>
        <v>Title I</v>
      </c>
      <c r="AH171" s="18" t="str">
        <f t="shared" si="475"/>
        <v>SGF</v>
      </c>
      <c r="AI171" s="18" t="str">
        <f t="shared" si="475"/>
        <v>Title III</v>
      </c>
      <c r="AJ171" s="18" t="str">
        <f t="shared" si="475"/>
        <v>Cadence</v>
      </c>
      <c r="AL171" s="18" t="str">
        <f t="shared" ref="AL171:AS171" si="476">AL1</f>
        <v>Operating</v>
      </c>
      <c r="AM171" s="18" t="str">
        <f t="shared" si="476"/>
        <v>SPED</v>
      </c>
      <c r="AN171" s="18" t="str">
        <f t="shared" si="476"/>
        <v>NSLP</v>
      </c>
      <c r="AO171" s="18" t="str">
        <f t="shared" si="476"/>
        <v>Other</v>
      </c>
      <c r="AP171" s="18" t="str">
        <f t="shared" si="476"/>
        <v>Title I</v>
      </c>
      <c r="AQ171" s="18" t="str">
        <f t="shared" si="476"/>
        <v>SGF</v>
      </c>
      <c r="AR171" s="18" t="str">
        <f t="shared" si="476"/>
        <v>Title III</v>
      </c>
      <c r="AS171" s="18" t="str">
        <f t="shared" si="476"/>
        <v>Sloan</v>
      </c>
      <c r="AU171" s="18" t="str">
        <f t="shared" ref="AU171:BB171" si="477">AU1</f>
        <v>Operating</v>
      </c>
      <c r="AV171" s="18" t="str">
        <f t="shared" si="477"/>
        <v>SPED</v>
      </c>
      <c r="AW171" s="18" t="str">
        <f t="shared" si="477"/>
        <v>NSLP</v>
      </c>
      <c r="AX171" s="18" t="str">
        <f t="shared" si="477"/>
        <v>Other</v>
      </c>
      <c r="AY171" s="18" t="str">
        <f t="shared" si="477"/>
        <v>Title I</v>
      </c>
      <c r="AZ171" s="18" t="str">
        <f t="shared" si="477"/>
        <v>SGF</v>
      </c>
      <c r="BA171" s="18" t="str">
        <f t="shared" si="477"/>
        <v>Title III</v>
      </c>
      <c r="BB171" s="18" t="str">
        <f t="shared" si="477"/>
        <v>Virtual</v>
      </c>
      <c r="BD171" s="18" t="str">
        <f t="shared" ref="BD171:BK171" si="478">BD1</f>
        <v>Operating</v>
      </c>
      <c r="BE171" s="18" t="str">
        <f t="shared" si="478"/>
        <v>SPED</v>
      </c>
      <c r="BF171" s="18" t="str">
        <f t="shared" si="478"/>
        <v>NSLP</v>
      </c>
      <c r="BG171" s="18" t="str">
        <f t="shared" si="478"/>
        <v>Other</v>
      </c>
      <c r="BH171" s="18" t="str">
        <f t="shared" si="478"/>
        <v>Title I</v>
      </c>
      <c r="BI171" s="18" t="str">
        <f t="shared" si="478"/>
        <v>SGF</v>
      </c>
      <c r="BJ171" s="18" t="str">
        <f t="shared" si="478"/>
        <v>Title III</v>
      </c>
      <c r="BK171" s="18" t="str">
        <f t="shared" si="478"/>
        <v>Springs</v>
      </c>
      <c r="BM171" s="18" t="str">
        <f t="shared" ref="BM171:BT171" si="479">BM1</f>
        <v>Operating</v>
      </c>
      <c r="BN171" s="18" t="str">
        <f t="shared" si="479"/>
        <v>SPED</v>
      </c>
      <c r="BO171" s="18" t="str">
        <f t="shared" si="479"/>
        <v>NSLP</v>
      </c>
      <c r="BP171" s="18" t="str">
        <f t="shared" si="479"/>
        <v>Other</v>
      </c>
      <c r="BQ171" s="18" t="str">
        <f t="shared" si="479"/>
        <v>Title I</v>
      </c>
      <c r="BR171" s="18" t="str">
        <f t="shared" si="479"/>
        <v>SGF</v>
      </c>
      <c r="BS171" s="18" t="str">
        <f t="shared" si="479"/>
        <v>Title III</v>
      </c>
      <c r="BT171" s="18" t="str">
        <f t="shared" si="479"/>
        <v>Exec. Office</v>
      </c>
      <c r="BV171" s="18" t="str">
        <f t="shared" ref="BV171:CC171" si="480">BV1</f>
        <v>Operating</v>
      </c>
      <c r="BW171" s="18" t="str">
        <f t="shared" si="480"/>
        <v>SPED</v>
      </c>
      <c r="BX171" s="18" t="str">
        <f t="shared" si="480"/>
        <v>NSLP</v>
      </c>
      <c r="BY171" s="18" t="str">
        <f t="shared" si="480"/>
        <v>Other</v>
      </c>
      <c r="BZ171" s="18" t="str">
        <f t="shared" si="480"/>
        <v>Title I</v>
      </c>
      <c r="CA171" s="18" t="str">
        <f t="shared" si="480"/>
        <v>SGF</v>
      </c>
      <c r="CB171" s="18" t="str">
        <f t="shared" si="480"/>
        <v>Title III</v>
      </c>
      <c r="CC171" s="18" t="str">
        <f t="shared" si="480"/>
        <v>Systemwide</v>
      </c>
    </row>
    <row r="172" spans="1:81">
      <c r="A172" s="81" t="s">
        <v>152</v>
      </c>
      <c r="B172" s="62">
        <f>'26-27'!B172*1.05</f>
        <v>3255.8203125</v>
      </c>
      <c r="C172" s="5"/>
      <c r="D172" s="5"/>
      <c r="E172" s="5"/>
      <c r="F172" s="5"/>
      <c r="G172" s="5"/>
      <c r="H172" s="5"/>
      <c r="I172" s="5">
        <f t="shared" ref="I172:I178" si="481">SUM(B172:H172)</f>
        <v>3255.8203125</v>
      </c>
      <c r="K172" s="62">
        <f>'26-27'!K172*1.05</f>
        <v>4167.45</v>
      </c>
      <c r="L172" s="5"/>
      <c r="M172" s="5"/>
      <c r="N172" s="5"/>
      <c r="O172" s="5"/>
      <c r="P172" s="5"/>
      <c r="Q172" s="5"/>
      <c r="R172" s="5">
        <f t="shared" ref="R172:R178" si="482">SUM(K172:Q172)</f>
        <v>4167.45</v>
      </c>
      <c r="T172" s="62">
        <f>'26-27'!T172*1.05</f>
        <v>3125.5875000000001</v>
      </c>
      <c r="U172" s="5"/>
      <c r="V172" s="5"/>
      <c r="W172" s="5"/>
      <c r="X172" s="5"/>
      <c r="Y172" s="5"/>
      <c r="Z172" s="5"/>
      <c r="AA172" s="5">
        <f t="shared" ref="AA172:AA178" si="483">SUM(T172:Z172)</f>
        <v>3125.5875000000001</v>
      </c>
      <c r="AC172" s="62">
        <f>'26-27'!AC172*1.05</f>
        <v>7640.3250000000007</v>
      </c>
      <c r="AD172" s="5"/>
      <c r="AE172" s="5"/>
      <c r="AF172" s="5"/>
      <c r="AG172" s="5"/>
      <c r="AH172" s="5"/>
      <c r="AI172" s="5"/>
      <c r="AJ172" s="5">
        <f t="shared" ref="AJ172:AJ178" si="484">SUM(AC172:AI172)</f>
        <v>7640.3250000000007</v>
      </c>
      <c r="AL172" s="62">
        <f>'26-27'!AL172*1.05</f>
        <v>7640.3250000000007</v>
      </c>
      <c r="AM172" s="5"/>
      <c r="AN172" s="5"/>
      <c r="AO172" s="5"/>
      <c r="AP172" s="5"/>
      <c r="AQ172" s="5"/>
      <c r="AR172" s="5"/>
      <c r="AS172" s="5">
        <f t="shared" ref="AS172:AS178" si="485">SUM(AL172:AR172)</f>
        <v>7640.3250000000007</v>
      </c>
      <c r="AU172" s="79"/>
      <c r="AV172" s="5"/>
      <c r="AW172" s="5"/>
      <c r="AX172" s="5"/>
      <c r="AY172" s="5"/>
      <c r="AZ172" s="5"/>
      <c r="BA172" s="5"/>
      <c r="BB172" s="5">
        <f t="shared" ref="BB172:BB178" si="486">SUM(AU172:BA172)</f>
        <v>0</v>
      </c>
      <c r="BD172" s="62">
        <f>'26-27'!BD172*1.05</f>
        <v>2778.3</v>
      </c>
      <c r="BE172" s="5"/>
      <c r="BF172" s="5"/>
      <c r="BG172" s="5"/>
      <c r="BH172" s="5"/>
      <c r="BI172" s="5"/>
      <c r="BJ172" s="5"/>
      <c r="BK172" s="5">
        <f t="shared" ref="BK172:BK178" si="487">SUM(BD172:BJ172)</f>
        <v>2778.3</v>
      </c>
      <c r="BM172" s="79"/>
      <c r="BN172" s="5"/>
      <c r="BO172" s="5"/>
      <c r="BP172" s="5"/>
      <c r="BQ172" s="5"/>
      <c r="BR172" s="5"/>
      <c r="BS172" s="5"/>
      <c r="BT172" s="5">
        <f t="shared" ref="BT172:BT178" si="488">SUM(BM172:BS172)</f>
        <v>0</v>
      </c>
      <c r="BV172" s="5">
        <f t="shared" ref="BV172:CA187" si="489">B172+K172+T172+AC172+AL172+AU172+BD172+BM172</f>
        <v>28607.807812500003</v>
      </c>
      <c r="BW172" s="5">
        <f t="shared" si="489"/>
        <v>0</v>
      </c>
      <c r="BX172" s="5">
        <f t="shared" si="489"/>
        <v>0</v>
      </c>
      <c r="BY172" s="5">
        <f t="shared" si="489"/>
        <v>0</v>
      </c>
      <c r="BZ172" s="5">
        <f t="shared" si="489"/>
        <v>0</v>
      </c>
      <c r="CA172" s="5">
        <f t="shared" si="489"/>
        <v>0</v>
      </c>
      <c r="CB172" s="5"/>
      <c r="CC172" s="5">
        <f t="shared" ref="CC172:CC178" si="490">SUM(BV172:CB172)</f>
        <v>28607.807812500003</v>
      </c>
    </row>
    <row r="173" spans="1:81">
      <c r="A173" s="29" t="s">
        <v>153</v>
      </c>
      <c r="B173" s="62">
        <f>'26-27'!B173*1.05</f>
        <v>21705.46875</v>
      </c>
      <c r="C173" s="5"/>
      <c r="D173" s="5"/>
      <c r="E173" s="5"/>
      <c r="F173" s="5"/>
      <c r="G173" s="5"/>
      <c r="H173" s="5"/>
      <c r="I173" s="5">
        <f t="shared" si="481"/>
        <v>21705.46875</v>
      </c>
      <c r="K173" s="62">
        <f>'26-27'!K173*1.05</f>
        <v>20316.318750000002</v>
      </c>
      <c r="L173" s="5"/>
      <c r="M173" s="5"/>
      <c r="N173" s="5"/>
      <c r="O173" s="5"/>
      <c r="P173" s="5"/>
      <c r="Q173" s="5"/>
      <c r="R173" s="5">
        <f t="shared" si="482"/>
        <v>20316.318750000002</v>
      </c>
      <c r="T173" s="62">
        <f>'26-27'!T173*1.05</f>
        <v>30561.300000000003</v>
      </c>
      <c r="U173" s="5"/>
      <c r="V173" s="5"/>
      <c r="W173" s="5"/>
      <c r="X173" s="5"/>
      <c r="Y173" s="5"/>
      <c r="Z173" s="5"/>
      <c r="AA173" s="5">
        <f t="shared" si="483"/>
        <v>30561.300000000003</v>
      </c>
      <c r="AC173" s="62">
        <f>'26-27'!AC173*1.05</f>
        <v>18058.95</v>
      </c>
      <c r="AD173" s="5"/>
      <c r="AE173" s="5"/>
      <c r="AF173" s="5"/>
      <c r="AG173" s="5"/>
      <c r="AH173" s="5"/>
      <c r="AI173" s="5"/>
      <c r="AJ173" s="5">
        <f t="shared" si="484"/>
        <v>18058.95</v>
      </c>
      <c r="AL173" s="62">
        <f>'26-27'!AL173*1.05</f>
        <v>17364.375</v>
      </c>
      <c r="AM173" s="5"/>
      <c r="AN173" s="5"/>
      <c r="AO173" s="5"/>
      <c r="AP173" s="5"/>
      <c r="AQ173" s="5"/>
      <c r="AR173" s="5"/>
      <c r="AS173" s="5">
        <f t="shared" si="485"/>
        <v>17364.375</v>
      </c>
      <c r="AU173" s="62"/>
      <c r="AV173" s="5"/>
      <c r="AW173" s="5"/>
      <c r="AX173" s="5"/>
      <c r="AY173" s="5"/>
      <c r="AZ173" s="5"/>
      <c r="BA173" s="5"/>
      <c r="BB173" s="5">
        <f t="shared" si="486"/>
        <v>0</v>
      </c>
      <c r="BD173" s="62">
        <f>'26-27'!BD173*1.05</f>
        <v>9932.4225000000006</v>
      </c>
      <c r="BE173" s="5"/>
      <c r="BF173" s="5"/>
      <c r="BG173" s="5"/>
      <c r="BH173" s="5"/>
      <c r="BI173" s="5"/>
      <c r="BJ173" s="5"/>
      <c r="BK173" s="5">
        <f t="shared" si="487"/>
        <v>9932.4225000000006</v>
      </c>
      <c r="BM173" s="62"/>
      <c r="BN173" s="5"/>
      <c r="BO173" s="5"/>
      <c r="BP173" s="5"/>
      <c r="BQ173" s="5"/>
      <c r="BR173" s="5"/>
      <c r="BS173" s="5"/>
      <c r="BT173" s="5">
        <f t="shared" si="488"/>
        <v>0</v>
      </c>
      <c r="BV173" s="5">
        <f t="shared" si="489"/>
        <v>117938.83500000001</v>
      </c>
      <c r="BW173" s="5">
        <f t="shared" si="489"/>
        <v>0</v>
      </c>
      <c r="BX173" s="5">
        <f t="shared" si="489"/>
        <v>0</v>
      </c>
      <c r="BY173" s="5">
        <f t="shared" si="489"/>
        <v>0</v>
      </c>
      <c r="BZ173" s="5">
        <f t="shared" si="489"/>
        <v>0</v>
      </c>
      <c r="CA173" s="5">
        <f t="shared" si="489"/>
        <v>0</v>
      </c>
      <c r="CB173" s="5"/>
      <c r="CC173" s="5">
        <f t="shared" si="490"/>
        <v>117938.83500000001</v>
      </c>
    </row>
    <row r="174" spans="1:81">
      <c r="A174" s="29" t="s">
        <v>154</v>
      </c>
      <c r="B174" s="79"/>
      <c r="C174" s="5"/>
      <c r="D174" s="5"/>
      <c r="E174" s="5"/>
      <c r="F174" s="5"/>
      <c r="G174" s="5"/>
      <c r="H174" s="5"/>
      <c r="I174" s="5">
        <f t="shared" si="481"/>
        <v>0</v>
      </c>
      <c r="K174" s="79"/>
      <c r="L174" s="5"/>
      <c r="M174" s="5"/>
      <c r="N174" s="5"/>
      <c r="O174" s="5"/>
      <c r="P174" s="5"/>
      <c r="Q174" s="5"/>
      <c r="R174" s="5">
        <f t="shared" si="482"/>
        <v>0</v>
      </c>
      <c r="T174" s="79"/>
      <c r="U174" s="5"/>
      <c r="V174" s="5"/>
      <c r="W174" s="5"/>
      <c r="X174" s="5"/>
      <c r="Y174" s="5"/>
      <c r="Z174" s="5"/>
      <c r="AA174" s="5">
        <f t="shared" si="483"/>
        <v>0</v>
      </c>
      <c r="AC174" s="79"/>
      <c r="AD174" s="5"/>
      <c r="AE174" s="5"/>
      <c r="AF174" s="5"/>
      <c r="AG174" s="5"/>
      <c r="AH174" s="5"/>
      <c r="AI174" s="5"/>
      <c r="AJ174" s="5">
        <f t="shared" si="484"/>
        <v>0</v>
      </c>
      <c r="AL174" s="79"/>
      <c r="AM174" s="5"/>
      <c r="AN174" s="5"/>
      <c r="AO174" s="5"/>
      <c r="AP174" s="5"/>
      <c r="AQ174" s="5"/>
      <c r="AR174" s="5"/>
      <c r="AS174" s="5">
        <f t="shared" si="485"/>
        <v>0</v>
      </c>
      <c r="AU174" s="79"/>
      <c r="AV174" s="5"/>
      <c r="AW174" s="5"/>
      <c r="AX174" s="5"/>
      <c r="AY174" s="5"/>
      <c r="AZ174" s="5"/>
      <c r="BA174" s="5"/>
      <c r="BB174" s="5">
        <f t="shared" si="486"/>
        <v>0</v>
      </c>
      <c r="BD174" s="79"/>
      <c r="BE174" s="5"/>
      <c r="BF174" s="5"/>
      <c r="BG174" s="5"/>
      <c r="BH174" s="5"/>
      <c r="BI174" s="5"/>
      <c r="BJ174" s="5"/>
      <c r="BK174" s="5">
        <f t="shared" si="487"/>
        <v>0</v>
      </c>
      <c r="BM174" s="79"/>
      <c r="BN174" s="5"/>
      <c r="BO174" s="5"/>
      <c r="BP174" s="5"/>
      <c r="BQ174" s="5"/>
      <c r="BR174" s="5"/>
      <c r="BS174" s="5"/>
      <c r="BT174" s="5">
        <f t="shared" si="488"/>
        <v>0</v>
      </c>
      <c r="BV174" s="5">
        <f t="shared" si="489"/>
        <v>0</v>
      </c>
      <c r="BW174" s="5">
        <f t="shared" si="489"/>
        <v>0</v>
      </c>
      <c r="BX174" s="5">
        <f t="shared" si="489"/>
        <v>0</v>
      </c>
      <c r="BY174" s="5">
        <f t="shared" si="489"/>
        <v>0</v>
      </c>
      <c r="BZ174" s="5">
        <f t="shared" si="489"/>
        <v>0</v>
      </c>
      <c r="CA174" s="5">
        <f t="shared" si="489"/>
        <v>0</v>
      </c>
      <c r="CB174" s="5"/>
      <c r="CC174" s="5">
        <f t="shared" si="490"/>
        <v>0</v>
      </c>
    </row>
    <row r="175" spans="1:81">
      <c r="A175" s="29" t="s">
        <v>155</v>
      </c>
      <c r="B175" s="79">
        <v>1100</v>
      </c>
      <c r="C175" s="5"/>
      <c r="D175" s="5"/>
      <c r="E175" s="5"/>
      <c r="F175" s="5"/>
      <c r="G175" s="5"/>
      <c r="H175" s="5"/>
      <c r="I175" s="5">
        <f t="shared" si="481"/>
        <v>1100</v>
      </c>
      <c r="K175" s="79">
        <v>1250</v>
      </c>
      <c r="L175" s="5"/>
      <c r="M175" s="5"/>
      <c r="N175" s="5"/>
      <c r="O175" s="5"/>
      <c r="P175" s="5"/>
      <c r="Q175" s="5"/>
      <c r="R175" s="5">
        <f t="shared" si="482"/>
        <v>1250</v>
      </c>
      <c r="T175" s="79">
        <v>1250</v>
      </c>
      <c r="U175" s="5"/>
      <c r="V175" s="5"/>
      <c r="W175" s="5"/>
      <c r="X175" s="5"/>
      <c r="Y175" s="5"/>
      <c r="Z175" s="5"/>
      <c r="AA175" s="5">
        <f t="shared" si="483"/>
        <v>1250</v>
      </c>
      <c r="AC175" s="79">
        <v>2000</v>
      </c>
      <c r="AD175" s="5"/>
      <c r="AE175" s="5"/>
      <c r="AF175" s="5"/>
      <c r="AG175" s="5"/>
      <c r="AH175" s="5"/>
      <c r="AI175" s="5"/>
      <c r="AJ175" s="5">
        <f t="shared" si="484"/>
        <v>2000</v>
      </c>
      <c r="AL175" s="79">
        <v>1250</v>
      </c>
      <c r="AM175" s="5"/>
      <c r="AN175" s="5"/>
      <c r="AO175" s="5"/>
      <c r="AP175" s="5"/>
      <c r="AQ175" s="5"/>
      <c r="AR175" s="5"/>
      <c r="AS175" s="5">
        <f t="shared" si="485"/>
        <v>1250</v>
      </c>
      <c r="AU175" s="79"/>
      <c r="AV175" s="5"/>
      <c r="AW175" s="5"/>
      <c r="AX175" s="5"/>
      <c r="AY175" s="5"/>
      <c r="AZ175" s="5"/>
      <c r="BA175" s="5"/>
      <c r="BB175" s="5">
        <f t="shared" si="486"/>
        <v>0</v>
      </c>
      <c r="BD175" s="79">
        <v>1000</v>
      </c>
      <c r="BE175" s="5"/>
      <c r="BF175" s="5"/>
      <c r="BG175" s="5"/>
      <c r="BH175" s="5"/>
      <c r="BI175" s="5"/>
      <c r="BJ175" s="5"/>
      <c r="BK175" s="5">
        <f t="shared" si="487"/>
        <v>1000</v>
      </c>
      <c r="BM175" s="79"/>
      <c r="BN175" s="5"/>
      <c r="BO175" s="5"/>
      <c r="BP175" s="5"/>
      <c r="BQ175" s="5"/>
      <c r="BR175" s="5"/>
      <c r="BS175" s="5"/>
      <c r="BT175" s="5">
        <f t="shared" si="488"/>
        <v>0</v>
      </c>
      <c r="BV175" s="5">
        <f t="shared" si="489"/>
        <v>7850</v>
      </c>
      <c r="BW175" s="5">
        <f t="shared" si="489"/>
        <v>0</v>
      </c>
      <c r="BX175" s="5">
        <f t="shared" si="489"/>
        <v>0</v>
      </c>
      <c r="BY175" s="5">
        <f t="shared" si="489"/>
        <v>0</v>
      </c>
      <c r="BZ175" s="5">
        <f t="shared" si="489"/>
        <v>0</v>
      </c>
      <c r="CA175" s="5">
        <f t="shared" si="489"/>
        <v>0</v>
      </c>
      <c r="CB175" s="5"/>
      <c r="CC175" s="5">
        <f t="shared" si="490"/>
        <v>7850</v>
      </c>
    </row>
    <row r="176" spans="1:81">
      <c r="A176" s="29" t="s">
        <v>156</v>
      </c>
      <c r="B176" s="62">
        <f>'26-27'!B176*1.05</f>
        <v>7524.5625</v>
      </c>
      <c r="C176" s="5"/>
      <c r="D176" s="5"/>
      <c r="E176" s="5"/>
      <c r="F176" s="5"/>
      <c r="G176" s="5"/>
      <c r="H176" s="5"/>
      <c r="I176" s="5">
        <f t="shared" si="481"/>
        <v>7524.5625</v>
      </c>
      <c r="K176" s="62">
        <f>'26-27'!K176*1.05</f>
        <v>7524.5625</v>
      </c>
      <c r="L176" s="5"/>
      <c r="M176" s="5"/>
      <c r="N176" s="5"/>
      <c r="O176" s="5"/>
      <c r="P176" s="5"/>
      <c r="Q176" s="5"/>
      <c r="R176" s="5">
        <f t="shared" si="482"/>
        <v>7524.5625</v>
      </c>
      <c r="T176" s="62">
        <f>'26-27'!T176*1.05</f>
        <v>7524.5625</v>
      </c>
      <c r="U176" s="5"/>
      <c r="V176" s="5"/>
      <c r="W176" s="5"/>
      <c r="X176" s="5"/>
      <c r="Y176" s="5"/>
      <c r="Z176" s="5"/>
      <c r="AA176" s="5">
        <f t="shared" si="483"/>
        <v>7524.5625</v>
      </c>
      <c r="AC176" s="62">
        <f>'26-27'!AC176*1.05</f>
        <v>7524.5625</v>
      </c>
      <c r="AD176" s="5"/>
      <c r="AE176" s="5"/>
      <c r="AF176" s="5"/>
      <c r="AG176" s="5"/>
      <c r="AH176" s="5"/>
      <c r="AI176" s="5"/>
      <c r="AJ176" s="5">
        <f t="shared" si="484"/>
        <v>7524.5625</v>
      </c>
      <c r="AL176" s="62">
        <f>'26-27'!AL176*1.05</f>
        <v>6366.9375</v>
      </c>
      <c r="AM176" s="5"/>
      <c r="AN176" s="5"/>
      <c r="AO176" s="5"/>
      <c r="AP176" s="5"/>
      <c r="AQ176" s="5"/>
      <c r="AR176" s="5"/>
      <c r="AS176" s="5">
        <f t="shared" si="485"/>
        <v>6366.9375</v>
      </c>
      <c r="AU176" s="62">
        <f>'26-27'!AU176*1.05</f>
        <v>7524.5625</v>
      </c>
      <c r="AV176" s="5"/>
      <c r="AW176" s="5"/>
      <c r="AX176" s="5"/>
      <c r="AY176" s="5"/>
      <c r="AZ176" s="5"/>
      <c r="BA176" s="5"/>
      <c r="BB176" s="5">
        <f t="shared" si="486"/>
        <v>7524.5625</v>
      </c>
      <c r="BD176" s="62">
        <f>'26-27'!BD176*1.05</f>
        <v>7524.5625</v>
      </c>
      <c r="BE176" s="5"/>
      <c r="BF176" s="5"/>
      <c r="BG176" s="5"/>
      <c r="BH176" s="5"/>
      <c r="BI176" s="5"/>
      <c r="BJ176" s="5"/>
      <c r="BK176" s="5">
        <f t="shared" si="487"/>
        <v>7524.5625</v>
      </c>
      <c r="BM176" s="79"/>
      <c r="BN176" s="5"/>
      <c r="BO176" s="5"/>
      <c r="BP176" s="5"/>
      <c r="BQ176" s="5"/>
      <c r="BR176" s="5"/>
      <c r="BS176" s="5"/>
      <c r="BT176" s="5">
        <f t="shared" si="488"/>
        <v>0</v>
      </c>
      <c r="BV176" s="5">
        <f t="shared" si="489"/>
        <v>51514.3125</v>
      </c>
      <c r="BW176" s="5">
        <f t="shared" si="489"/>
        <v>0</v>
      </c>
      <c r="BX176" s="5">
        <f t="shared" si="489"/>
        <v>0</v>
      </c>
      <c r="BY176" s="5">
        <f t="shared" si="489"/>
        <v>0</v>
      </c>
      <c r="BZ176" s="5">
        <f t="shared" si="489"/>
        <v>0</v>
      </c>
      <c r="CA176" s="5">
        <f t="shared" si="489"/>
        <v>0</v>
      </c>
      <c r="CB176" s="5"/>
      <c r="CC176" s="5">
        <f t="shared" si="490"/>
        <v>51514.3125</v>
      </c>
    </row>
    <row r="177" spans="1:81">
      <c r="A177" s="29" t="s">
        <v>157</v>
      </c>
      <c r="B177" s="62">
        <f>'26-27'!B177*1.05</f>
        <v>52093.125</v>
      </c>
      <c r="C177" s="5"/>
      <c r="D177" s="5"/>
      <c r="E177" s="5"/>
      <c r="F177" s="5"/>
      <c r="G177" s="5"/>
      <c r="H177" s="5"/>
      <c r="I177" s="5">
        <f t="shared" si="481"/>
        <v>52093.125</v>
      </c>
      <c r="K177" s="62">
        <f>'26-27'!K177*1.05</f>
        <v>57881.25</v>
      </c>
      <c r="L177" s="5"/>
      <c r="M177" s="5"/>
      <c r="N177" s="5"/>
      <c r="O177" s="5"/>
      <c r="P177" s="5"/>
      <c r="Q177" s="5"/>
      <c r="R177" s="5">
        <f t="shared" si="482"/>
        <v>57881.25</v>
      </c>
      <c r="T177" s="62">
        <f>'26-27'!T177*1.05</f>
        <v>69457.5</v>
      </c>
      <c r="U177" s="5"/>
      <c r="V177" s="5"/>
      <c r="W177" s="5"/>
      <c r="X177" s="5"/>
      <c r="Y177" s="5"/>
      <c r="Z177" s="5"/>
      <c r="AA177" s="5">
        <f t="shared" si="483"/>
        <v>69457.5</v>
      </c>
      <c r="AC177" s="62">
        <f>'26-27'!AC177*1.05</f>
        <v>115762.5</v>
      </c>
      <c r="AD177" s="5"/>
      <c r="AE177" s="5"/>
      <c r="AF177" s="5"/>
      <c r="AG177" s="5"/>
      <c r="AH177" s="5"/>
      <c r="AI177" s="5"/>
      <c r="AJ177" s="5">
        <f t="shared" si="484"/>
        <v>115762.5</v>
      </c>
      <c r="AL177" s="62">
        <f>'26-27'!AL177*1.05</f>
        <v>115762.5</v>
      </c>
      <c r="AM177" s="5"/>
      <c r="AN177" s="5"/>
      <c r="AO177" s="5"/>
      <c r="AP177" s="5"/>
      <c r="AQ177" s="5"/>
      <c r="AR177" s="5"/>
      <c r="AS177" s="5">
        <f t="shared" si="485"/>
        <v>115762.5</v>
      </c>
      <c r="AU177" s="62"/>
      <c r="AV177" s="5"/>
      <c r="AW177" s="5"/>
      <c r="AX177" s="5"/>
      <c r="AY177" s="5"/>
      <c r="AZ177" s="5"/>
      <c r="BA177" s="5"/>
      <c r="BB177" s="5">
        <f t="shared" si="486"/>
        <v>0</v>
      </c>
      <c r="BD177" s="62">
        <f>'26-27'!BD177*1.05</f>
        <v>8682.1875</v>
      </c>
      <c r="BE177" s="5"/>
      <c r="BF177" s="5"/>
      <c r="BG177" s="5"/>
      <c r="BH177" s="5"/>
      <c r="BI177" s="5"/>
      <c r="BJ177" s="5"/>
      <c r="BK177" s="5">
        <f t="shared" si="487"/>
        <v>8682.1875</v>
      </c>
      <c r="BM177" s="62"/>
      <c r="BN177" s="5"/>
      <c r="BO177" s="5"/>
      <c r="BP177" s="5"/>
      <c r="BQ177" s="5"/>
      <c r="BR177" s="5"/>
      <c r="BS177" s="5"/>
      <c r="BT177" s="5">
        <f t="shared" si="488"/>
        <v>0</v>
      </c>
      <c r="BV177" s="5">
        <f t="shared" si="489"/>
        <v>419639.0625</v>
      </c>
      <c r="BW177" s="5">
        <f t="shared" si="489"/>
        <v>0</v>
      </c>
      <c r="BX177" s="5">
        <f t="shared" si="489"/>
        <v>0</v>
      </c>
      <c r="BY177" s="5">
        <f t="shared" si="489"/>
        <v>0</v>
      </c>
      <c r="BZ177" s="5">
        <f t="shared" si="489"/>
        <v>0</v>
      </c>
      <c r="CA177" s="5">
        <f t="shared" si="489"/>
        <v>0</v>
      </c>
      <c r="CB177" s="5"/>
      <c r="CC177" s="5">
        <f t="shared" si="490"/>
        <v>419639.0625</v>
      </c>
    </row>
    <row r="178" spans="1:81">
      <c r="A178" s="29" t="s">
        <v>158</v>
      </c>
      <c r="B178" s="62">
        <f>'26-27'!B178*1.05</f>
        <v>6060.1668750000008</v>
      </c>
      <c r="C178" s="5"/>
      <c r="D178" s="5"/>
      <c r="E178" s="5"/>
      <c r="F178" s="5"/>
      <c r="G178" s="5"/>
      <c r="H178" s="5"/>
      <c r="I178" s="5">
        <f t="shared" si="481"/>
        <v>6060.1668750000008</v>
      </c>
      <c r="K178" s="62">
        <f>'26-27'!K178*1.05</f>
        <v>6841.5637500000012</v>
      </c>
      <c r="L178" s="5"/>
      <c r="M178" s="5"/>
      <c r="N178" s="5"/>
      <c r="O178" s="5"/>
      <c r="P178" s="5"/>
      <c r="Q178" s="5"/>
      <c r="R178" s="5">
        <f t="shared" si="482"/>
        <v>6841.5637500000012</v>
      </c>
      <c r="T178" s="62">
        <f>'26-27'!T178*1.05</f>
        <v>7981.8243750000001</v>
      </c>
      <c r="U178" s="5"/>
      <c r="V178" s="5"/>
      <c r="W178" s="5"/>
      <c r="X178" s="5"/>
      <c r="Y178" s="5"/>
      <c r="Z178" s="5"/>
      <c r="AA178" s="5">
        <f t="shared" si="483"/>
        <v>7981.8243750000001</v>
      </c>
      <c r="AC178" s="62">
        <f>'26-27'!AC178*1.05</f>
        <v>15645.301875000001</v>
      </c>
      <c r="AD178" s="5"/>
      <c r="AE178" s="5"/>
      <c r="AF178" s="5"/>
      <c r="AG178" s="5"/>
      <c r="AH178" s="5"/>
      <c r="AI178" s="5"/>
      <c r="AJ178" s="5">
        <f t="shared" si="484"/>
        <v>15645.301875000001</v>
      </c>
      <c r="AL178" s="62">
        <f>'26-27'!AL178*1.05</f>
        <v>15170.675625000002</v>
      </c>
      <c r="AM178" s="5"/>
      <c r="AN178" s="5"/>
      <c r="AO178" s="5"/>
      <c r="AP178" s="5"/>
      <c r="AQ178" s="5"/>
      <c r="AR178" s="5"/>
      <c r="AS178" s="5">
        <f t="shared" si="485"/>
        <v>15170.675625000002</v>
      </c>
      <c r="AU178" s="62">
        <v>800</v>
      </c>
      <c r="AV178" s="5"/>
      <c r="AW178" s="5"/>
      <c r="AX178" s="5"/>
      <c r="AY178" s="5"/>
      <c r="AZ178" s="5"/>
      <c r="BA178" s="5"/>
      <c r="BB178" s="5">
        <f t="shared" si="486"/>
        <v>800</v>
      </c>
      <c r="BD178" s="62">
        <f>'26-27'!BD178*1.05</f>
        <v>1782.7425000000003</v>
      </c>
      <c r="BE178" s="5"/>
      <c r="BF178" s="5"/>
      <c r="BG178" s="5"/>
      <c r="BH178" s="5"/>
      <c r="BI178" s="5"/>
      <c r="BJ178" s="5"/>
      <c r="BK178" s="5">
        <f t="shared" si="487"/>
        <v>1782.7425000000003</v>
      </c>
      <c r="BM178" s="62"/>
      <c r="BN178" s="5"/>
      <c r="BO178" s="5"/>
      <c r="BP178" s="5"/>
      <c r="BQ178" s="5"/>
      <c r="BR178" s="5"/>
      <c r="BS178" s="5"/>
      <c r="BT178" s="5">
        <f t="shared" si="488"/>
        <v>0</v>
      </c>
      <c r="BV178" s="5">
        <f t="shared" si="489"/>
        <v>54282.275000000001</v>
      </c>
      <c r="BW178" s="5">
        <f t="shared" si="489"/>
        <v>0</v>
      </c>
      <c r="BX178" s="5">
        <f t="shared" si="489"/>
        <v>0</v>
      </c>
      <c r="BY178" s="5">
        <f t="shared" si="489"/>
        <v>0</v>
      </c>
      <c r="BZ178" s="5">
        <f t="shared" si="489"/>
        <v>0</v>
      </c>
      <c r="CA178" s="5">
        <f t="shared" si="489"/>
        <v>0</v>
      </c>
      <c r="CB178" s="5"/>
      <c r="CC178" s="5">
        <f t="shared" si="490"/>
        <v>54282.275000000001</v>
      </c>
    </row>
    <row r="179" spans="1:81">
      <c r="A179" s="29" t="s">
        <v>159</v>
      </c>
      <c r="B179" s="62"/>
      <c r="C179" s="5"/>
      <c r="D179" s="5"/>
      <c r="E179" s="5"/>
      <c r="F179" s="5"/>
      <c r="G179" s="5"/>
      <c r="H179" s="5"/>
      <c r="I179" s="5">
        <f>SUM(B179:H179)</f>
        <v>0</v>
      </c>
      <c r="K179" s="62"/>
      <c r="L179" s="5"/>
      <c r="M179" s="5"/>
      <c r="N179" s="5"/>
      <c r="O179" s="5"/>
      <c r="P179" s="5"/>
      <c r="Q179" s="5"/>
      <c r="R179" s="5">
        <f>SUM(K179:Q179)</f>
        <v>0</v>
      </c>
      <c r="T179" s="62"/>
      <c r="U179" s="5"/>
      <c r="V179" s="5"/>
      <c r="W179" s="5"/>
      <c r="X179" s="5"/>
      <c r="Y179" s="5"/>
      <c r="Z179" s="5"/>
      <c r="AA179" s="5">
        <f>SUM(T179:Z179)</f>
        <v>0</v>
      </c>
      <c r="AC179" s="62"/>
      <c r="AD179" s="5"/>
      <c r="AE179" s="5"/>
      <c r="AF179" s="5"/>
      <c r="AG179" s="5"/>
      <c r="AH179" s="5"/>
      <c r="AI179" s="5"/>
      <c r="AJ179" s="5">
        <f>SUM(AC179:AI179)</f>
        <v>0</v>
      </c>
      <c r="AL179" s="62"/>
      <c r="AM179" s="5"/>
      <c r="AN179" s="5"/>
      <c r="AO179" s="5"/>
      <c r="AP179" s="5"/>
      <c r="AQ179" s="5"/>
      <c r="AR179" s="5"/>
      <c r="AS179" s="5">
        <f>SUM(AL179:AR179)</f>
        <v>0</v>
      </c>
      <c r="AU179" s="62"/>
      <c r="AV179" s="5"/>
      <c r="AW179" s="5"/>
      <c r="AX179" s="5"/>
      <c r="AY179" s="5"/>
      <c r="AZ179" s="5"/>
      <c r="BA179" s="5"/>
      <c r="BB179" s="5">
        <f>SUM(AU179:BA179)</f>
        <v>0</v>
      </c>
      <c r="BD179" s="62"/>
      <c r="BE179" s="5"/>
      <c r="BF179" s="5"/>
      <c r="BG179" s="5"/>
      <c r="BH179" s="5"/>
      <c r="BI179" s="5"/>
      <c r="BJ179" s="5"/>
      <c r="BK179" s="5">
        <f>SUM(BD179:BJ179)</f>
        <v>0</v>
      </c>
      <c r="BM179" s="62"/>
      <c r="BN179" s="5"/>
      <c r="BO179" s="5"/>
      <c r="BP179" s="5"/>
      <c r="BQ179" s="5"/>
      <c r="BR179" s="5"/>
      <c r="BS179" s="5"/>
      <c r="BT179" s="5">
        <f>SUM(BM179:BS179)</f>
        <v>0</v>
      </c>
      <c r="BV179" s="5">
        <f t="shared" si="489"/>
        <v>0</v>
      </c>
      <c r="BW179" s="5">
        <f t="shared" si="489"/>
        <v>0</v>
      </c>
      <c r="BX179" s="5">
        <f t="shared" si="489"/>
        <v>0</v>
      </c>
      <c r="BY179" s="5">
        <f t="shared" si="489"/>
        <v>0</v>
      </c>
      <c r="BZ179" s="5">
        <f t="shared" si="489"/>
        <v>0</v>
      </c>
      <c r="CA179" s="5">
        <f t="shared" si="489"/>
        <v>0</v>
      </c>
      <c r="CB179" s="5"/>
      <c r="CC179" s="5">
        <f>SUM(BV179:CB179)</f>
        <v>0</v>
      </c>
    </row>
    <row r="180" spans="1:81">
      <c r="A180" s="29" t="s">
        <v>160</v>
      </c>
      <c r="B180" s="79"/>
      <c r="C180" s="5"/>
      <c r="D180" s="5"/>
      <c r="E180" s="5"/>
      <c r="F180" s="5"/>
      <c r="G180" s="5"/>
      <c r="H180" s="5"/>
      <c r="I180" s="5">
        <f>SUM(B180:H180)</f>
        <v>0</v>
      </c>
      <c r="K180" s="79"/>
      <c r="L180" s="5"/>
      <c r="M180" s="5"/>
      <c r="N180" s="5"/>
      <c r="O180" s="5"/>
      <c r="P180" s="5"/>
      <c r="Q180" s="5"/>
      <c r="R180" s="5">
        <f>SUM(K180:Q180)</f>
        <v>0</v>
      </c>
      <c r="T180" s="79"/>
      <c r="U180" s="5"/>
      <c r="V180" s="5"/>
      <c r="W180" s="5"/>
      <c r="X180" s="5"/>
      <c r="Y180" s="5"/>
      <c r="Z180" s="5"/>
      <c r="AA180" s="5">
        <f>SUM(T180:Z180)</f>
        <v>0</v>
      </c>
      <c r="AC180" s="79"/>
      <c r="AD180" s="5"/>
      <c r="AE180" s="5"/>
      <c r="AF180" s="5"/>
      <c r="AG180" s="5"/>
      <c r="AH180" s="5"/>
      <c r="AI180" s="5"/>
      <c r="AJ180" s="5">
        <f>SUM(AC180:AI180)</f>
        <v>0</v>
      </c>
      <c r="AL180" s="79"/>
      <c r="AM180" s="5"/>
      <c r="AN180" s="5"/>
      <c r="AO180" s="5"/>
      <c r="AP180" s="5"/>
      <c r="AQ180" s="5"/>
      <c r="AR180" s="5"/>
      <c r="AS180" s="5">
        <f>SUM(AL180:AR180)</f>
        <v>0</v>
      </c>
      <c r="AU180" s="79"/>
      <c r="AV180" s="5"/>
      <c r="AW180" s="5"/>
      <c r="AX180" s="5"/>
      <c r="AY180" s="5"/>
      <c r="AZ180" s="5"/>
      <c r="BA180" s="5"/>
      <c r="BB180" s="5">
        <f>SUM(AU180:BA180)</f>
        <v>0</v>
      </c>
      <c r="BD180" s="62"/>
      <c r="BE180" s="5"/>
      <c r="BF180" s="5"/>
      <c r="BG180" s="5"/>
      <c r="BH180" s="5"/>
      <c r="BI180" s="5"/>
      <c r="BJ180" s="5"/>
      <c r="BK180" s="5">
        <f>SUM(BD180:BJ180)</f>
        <v>0</v>
      </c>
      <c r="BM180" s="79"/>
      <c r="BN180" s="5"/>
      <c r="BO180" s="5"/>
      <c r="BP180" s="5"/>
      <c r="BQ180" s="5"/>
      <c r="BR180" s="5"/>
      <c r="BS180" s="5"/>
      <c r="BT180" s="5">
        <f>SUM(BM180:BS180)</f>
        <v>0</v>
      </c>
      <c r="BV180" s="5">
        <f t="shared" si="489"/>
        <v>0</v>
      </c>
      <c r="BW180" s="5">
        <f t="shared" si="489"/>
        <v>0</v>
      </c>
      <c r="BX180" s="5">
        <f t="shared" si="489"/>
        <v>0</v>
      </c>
      <c r="BY180" s="5">
        <f t="shared" si="489"/>
        <v>0</v>
      </c>
      <c r="BZ180" s="5">
        <f t="shared" si="489"/>
        <v>0</v>
      </c>
      <c r="CA180" s="5">
        <f t="shared" si="489"/>
        <v>0</v>
      </c>
      <c r="CB180" s="5"/>
      <c r="CC180" s="5">
        <f>SUM(BV180:CB180)</f>
        <v>0</v>
      </c>
    </row>
    <row r="181" spans="1:81">
      <c r="A181" s="29" t="s">
        <v>161</v>
      </c>
      <c r="B181" s="62">
        <f>'26-27'!B181*1.05</f>
        <v>61354.125</v>
      </c>
      <c r="C181" s="5"/>
      <c r="D181" s="5"/>
      <c r="E181" s="5"/>
      <c r="F181" s="5"/>
      <c r="G181" s="5"/>
      <c r="H181" s="5"/>
      <c r="I181" s="5">
        <f>SUM(B181:H181)</f>
        <v>61354.125</v>
      </c>
      <c r="K181" s="62">
        <f>'26-27'!K181*1.05</f>
        <v>69573.262499999997</v>
      </c>
      <c r="L181" s="5"/>
      <c r="M181" s="5"/>
      <c r="N181" s="5"/>
      <c r="O181" s="5"/>
      <c r="P181" s="5"/>
      <c r="Q181" s="5"/>
      <c r="R181" s="5">
        <f>SUM(K181:Q181)</f>
        <v>69573.262499999997</v>
      </c>
      <c r="T181" s="62">
        <f>'26-27'!T181*1.05</f>
        <v>81033.75</v>
      </c>
      <c r="U181" s="5"/>
      <c r="V181" s="5"/>
      <c r="W181" s="5"/>
      <c r="X181" s="5"/>
      <c r="Y181" s="5"/>
      <c r="Z181" s="5"/>
      <c r="AA181" s="5">
        <f>SUM(T181:Z181)</f>
        <v>81033.75</v>
      </c>
      <c r="AC181" s="62">
        <f>'26-27'!AC181*1.05</f>
        <v>156279.375</v>
      </c>
      <c r="AD181" s="5"/>
      <c r="AE181" s="5"/>
      <c r="AF181" s="5"/>
      <c r="AG181" s="5"/>
      <c r="AH181" s="5"/>
      <c r="AI181" s="5"/>
      <c r="AJ181" s="5">
        <f>SUM(AC181:AI181)</f>
        <v>156279.375</v>
      </c>
      <c r="AL181" s="62">
        <f>'26-27'!AL181*1.05</f>
        <v>133850.390625</v>
      </c>
      <c r="AM181" s="5"/>
      <c r="AN181" s="5"/>
      <c r="AO181" s="5"/>
      <c r="AP181" s="5"/>
      <c r="AQ181" s="5"/>
      <c r="AR181" s="5"/>
      <c r="AS181" s="5">
        <f>SUM(AL181:AR181)</f>
        <v>133850.390625</v>
      </c>
      <c r="AU181" s="62">
        <f>'26-27'!AU181*1.05</f>
        <v>10418.625</v>
      </c>
      <c r="AV181" s="5"/>
      <c r="AW181" s="5"/>
      <c r="AX181" s="5"/>
      <c r="AY181" s="5"/>
      <c r="AZ181" s="5"/>
      <c r="BA181" s="5"/>
      <c r="BB181" s="5">
        <f>SUM(AU181:BA181)</f>
        <v>10418.625</v>
      </c>
      <c r="BD181" s="62">
        <f>'26-27'!BD181*1.05</f>
        <v>12733.875</v>
      </c>
      <c r="BE181" s="5"/>
      <c r="BF181" s="5"/>
      <c r="BG181" s="5"/>
      <c r="BH181" s="5"/>
      <c r="BI181" s="5"/>
      <c r="BJ181" s="5"/>
      <c r="BK181" s="5">
        <f>SUM(BD181:BJ181)</f>
        <v>12733.875</v>
      </c>
      <c r="BM181" s="79"/>
      <c r="BN181" s="5"/>
      <c r="BO181" s="5"/>
      <c r="BP181" s="5"/>
      <c r="BQ181" s="5"/>
      <c r="BR181" s="5"/>
      <c r="BS181" s="5"/>
      <c r="BT181" s="5">
        <f>SUM(BM181:BS181)</f>
        <v>0</v>
      </c>
      <c r="BV181" s="5">
        <f t="shared" si="489"/>
        <v>525243.40312499995</v>
      </c>
      <c r="BW181" s="5">
        <f t="shared" si="489"/>
        <v>0</v>
      </c>
      <c r="BX181" s="5">
        <f t="shared" si="489"/>
        <v>0</v>
      </c>
      <c r="BY181" s="5">
        <f t="shared" si="489"/>
        <v>0</v>
      </c>
      <c r="BZ181" s="5">
        <f t="shared" si="489"/>
        <v>0</v>
      </c>
      <c r="CA181" s="5">
        <f t="shared" si="489"/>
        <v>0</v>
      </c>
      <c r="CB181" s="5"/>
      <c r="CC181" s="5">
        <f>SUM(BV181:CB181)</f>
        <v>525243.40312499995</v>
      </c>
    </row>
    <row r="182" spans="1:81">
      <c r="A182" s="29" t="s">
        <v>162</v>
      </c>
      <c r="B182" s="5"/>
      <c r="C182" s="5"/>
      <c r="D182" s="5"/>
      <c r="E182" s="5"/>
      <c r="F182" s="5"/>
      <c r="G182" s="5"/>
      <c r="H182" s="5"/>
      <c r="I182" s="5">
        <f t="shared" ref="I182:I190" si="491">SUM(B182:H182)</f>
        <v>0</v>
      </c>
      <c r="J182" s="82"/>
      <c r="K182" s="5"/>
      <c r="L182" s="5"/>
      <c r="M182" s="5">
        <v>0</v>
      </c>
      <c r="N182" s="5"/>
      <c r="O182" s="5"/>
      <c r="P182" s="5"/>
      <c r="Q182" s="5"/>
      <c r="R182" s="5">
        <f t="shared" ref="R182:R190" si="492">SUM(K182:Q182)</f>
        <v>0</v>
      </c>
      <c r="T182" s="5"/>
      <c r="U182" s="5"/>
      <c r="V182" s="5"/>
      <c r="W182" s="5"/>
      <c r="X182" s="5"/>
      <c r="Y182" s="5"/>
      <c r="Z182" s="5"/>
      <c r="AA182" s="5">
        <f t="shared" ref="AA182:AA190" si="493">SUM(T182:Z182)</f>
        <v>0</v>
      </c>
      <c r="AC182" s="5"/>
      <c r="AD182" s="5"/>
      <c r="AE182" s="5"/>
      <c r="AF182" s="5"/>
      <c r="AG182" s="5"/>
      <c r="AH182" s="5"/>
      <c r="AI182" s="5"/>
      <c r="AJ182" s="5">
        <f t="shared" ref="AJ182:AJ190" si="494">SUM(AC182:AI182)</f>
        <v>0</v>
      </c>
      <c r="AL182" s="5"/>
      <c r="AM182" s="5"/>
      <c r="AN182" s="5"/>
      <c r="AO182" s="5"/>
      <c r="AP182" s="5"/>
      <c r="AQ182" s="5"/>
      <c r="AR182" s="5"/>
      <c r="AS182" s="5">
        <f t="shared" ref="AS182:AS190" si="495">SUM(AL182:AR182)</f>
        <v>0</v>
      </c>
      <c r="AU182" s="5"/>
      <c r="AV182" s="5"/>
      <c r="AW182" s="5"/>
      <c r="AX182" s="5"/>
      <c r="AY182" s="5"/>
      <c r="AZ182" s="5"/>
      <c r="BA182" s="5"/>
      <c r="BB182" s="5">
        <f t="shared" ref="BB182:BB190" si="496">SUM(AU182:BA182)</f>
        <v>0</v>
      </c>
      <c r="BD182" s="5"/>
      <c r="BE182" s="5"/>
      <c r="BF182" s="11">
        <f>((BD17*0.93)*2.3*180)</f>
        <v>190969.91999999998</v>
      </c>
      <c r="BG182" s="5"/>
      <c r="BH182" s="5"/>
      <c r="BI182" s="5"/>
      <c r="BJ182" s="5"/>
      <c r="BK182" s="5">
        <f t="shared" ref="BK182:BK190" si="497">SUM(BD182:BJ182)</f>
        <v>190969.91999999998</v>
      </c>
      <c r="BM182" s="5"/>
      <c r="BN182" s="5"/>
      <c r="BO182" s="5"/>
      <c r="BP182" s="5"/>
      <c r="BQ182" s="5"/>
      <c r="BR182" s="5"/>
      <c r="BS182" s="5"/>
      <c r="BT182" s="5">
        <f t="shared" ref="BT182:BT190" si="498">SUM(BM182:BS182)</f>
        <v>0</v>
      </c>
      <c r="BV182" s="5">
        <f t="shared" si="489"/>
        <v>0</v>
      </c>
      <c r="BW182" s="5">
        <f t="shared" si="489"/>
        <v>0</v>
      </c>
      <c r="BX182" s="5">
        <f t="shared" si="489"/>
        <v>190969.91999999998</v>
      </c>
      <c r="BY182" s="5">
        <f t="shared" si="489"/>
        <v>0</v>
      </c>
      <c r="BZ182" s="5">
        <f t="shared" si="489"/>
        <v>0</v>
      </c>
      <c r="CA182" s="5">
        <f t="shared" si="489"/>
        <v>0</v>
      </c>
      <c r="CB182" s="5"/>
      <c r="CC182" s="5">
        <f t="shared" ref="CC182:CC190" si="499">SUM(BV182:CB182)</f>
        <v>190969.91999999998</v>
      </c>
    </row>
    <row r="183" spans="1:81">
      <c r="A183" s="29" t="s">
        <v>163</v>
      </c>
      <c r="B183" s="5"/>
      <c r="C183" s="5"/>
      <c r="D183" s="5">
        <f>((B17*0.5)*3.75*180)</f>
        <v>313875</v>
      </c>
      <c r="E183" s="5"/>
      <c r="F183" s="5"/>
      <c r="G183" s="5"/>
      <c r="H183" s="5"/>
      <c r="I183" s="5">
        <f t="shared" si="491"/>
        <v>313875</v>
      </c>
      <c r="J183" s="82"/>
      <c r="K183" s="5"/>
      <c r="L183" s="5"/>
      <c r="M183" s="11">
        <f>((K17*0.34)*3.75*180)</f>
        <v>236844.00000000003</v>
      </c>
      <c r="N183" s="5"/>
      <c r="O183" s="5"/>
      <c r="P183" s="5"/>
      <c r="Q183" s="5"/>
      <c r="R183" s="5">
        <f t="shared" si="492"/>
        <v>236844.00000000003</v>
      </c>
      <c r="T183" s="5"/>
      <c r="U183" s="5"/>
      <c r="V183" s="11">
        <f>((T17*0.165)*3.75*180)</f>
        <v>138661.875</v>
      </c>
      <c r="W183" s="5"/>
      <c r="X183" s="5"/>
      <c r="Y183" s="5"/>
      <c r="Z183" s="5"/>
      <c r="AA183" s="5">
        <f t="shared" si="493"/>
        <v>138661.875</v>
      </c>
      <c r="AC183" s="5"/>
      <c r="AD183" s="5"/>
      <c r="AE183" s="5">
        <f>((AC17*0.44)*3.75*180)</f>
        <v>756161.99999999988</v>
      </c>
      <c r="AF183" s="5"/>
      <c r="AG183" s="5"/>
      <c r="AH183" s="5"/>
      <c r="AI183" s="5"/>
      <c r="AJ183" s="5">
        <f t="shared" si="494"/>
        <v>756161.99999999988</v>
      </c>
      <c r="AL183" s="5"/>
      <c r="AM183" s="5"/>
      <c r="AN183" s="11">
        <f>((AL17*0.3)*3.75*180)</f>
        <v>486405</v>
      </c>
      <c r="AO183" s="5"/>
      <c r="AP183" s="5"/>
      <c r="AQ183" s="5"/>
      <c r="AR183" s="5"/>
      <c r="AS183" s="5">
        <f t="shared" si="495"/>
        <v>486405</v>
      </c>
      <c r="AU183" s="5"/>
      <c r="AV183" s="5"/>
      <c r="AW183" s="5">
        <f>((AU17*0.03)*3.75*180)</f>
        <v>2835</v>
      </c>
      <c r="AX183" s="5"/>
      <c r="AY183" s="5"/>
      <c r="AZ183" s="5"/>
      <c r="BA183" s="5"/>
      <c r="BB183" s="5">
        <f t="shared" si="496"/>
        <v>2835</v>
      </c>
      <c r="BD183" s="5"/>
      <c r="BE183" s="5"/>
      <c r="BF183" s="11">
        <f>((BD17*0.97)*3.75*180)</f>
        <v>324756</v>
      </c>
      <c r="BG183" s="5"/>
      <c r="BH183" s="5"/>
      <c r="BI183" s="5"/>
      <c r="BJ183" s="5"/>
      <c r="BK183" s="5">
        <f t="shared" si="497"/>
        <v>324756</v>
      </c>
      <c r="BM183" s="5"/>
      <c r="BN183" s="5"/>
      <c r="BO183" s="5">
        <f>((BM17*0.25)*3.75*180)</f>
        <v>0</v>
      </c>
      <c r="BP183" s="5"/>
      <c r="BQ183" s="5"/>
      <c r="BR183" s="5"/>
      <c r="BS183" s="5"/>
      <c r="BT183" s="5">
        <f t="shared" si="498"/>
        <v>0</v>
      </c>
      <c r="BV183" s="5">
        <f t="shared" si="489"/>
        <v>0</v>
      </c>
      <c r="BW183" s="5">
        <f t="shared" si="489"/>
        <v>0</v>
      </c>
      <c r="BX183" s="5">
        <f t="shared" si="489"/>
        <v>2259538.875</v>
      </c>
      <c r="BY183" s="5">
        <f t="shared" si="489"/>
        <v>0</v>
      </c>
      <c r="BZ183" s="5">
        <f t="shared" si="489"/>
        <v>0</v>
      </c>
      <c r="CA183" s="5">
        <f t="shared" si="489"/>
        <v>0</v>
      </c>
      <c r="CB183" s="5"/>
      <c r="CC183" s="5">
        <f t="shared" si="499"/>
        <v>2259538.875</v>
      </c>
    </row>
    <row r="184" spans="1:81">
      <c r="A184" s="29" t="s">
        <v>164</v>
      </c>
      <c r="B184" s="5">
        <v>7500</v>
      </c>
      <c r="C184" s="5"/>
      <c r="D184" s="5"/>
      <c r="E184" s="5"/>
      <c r="F184" s="5"/>
      <c r="G184" s="5"/>
      <c r="H184" s="5"/>
      <c r="I184" s="5">
        <f t="shared" si="491"/>
        <v>7500</v>
      </c>
      <c r="K184" s="5">
        <v>7500</v>
      </c>
      <c r="L184" s="5"/>
      <c r="M184" s="5"/>
      <c r="N184" s="5"/>
      <c r="O184" s="5"/>
      <c r="P184" s="5"/>
      <c r="Q184" s="5"/>
      <c r="R184" s="5">
        <f t="shared" si="492"/>
        <v>7500</v>
      </c>
      <c r="T184" s="5">
        <v>7500</v>
      </c>
      <c r="U184" s="5"/>
      <c r="V184" s="5"/>
      <c r="W184" s="5"/>
      <c r="X184" s="5"/>
      <c r="Y184" s="5"/>
      <c r="Z184" s="5"/>
      <c r="AA184" s="5">
        <f t="shared" si="493"/>
        <v>7500</v>
      </c>
      <c r="AC184" s="5">
        <v>10000</v>
      </c>
      <c r="AD184" s="5"/>
      <c r="AE184" s="5"/>
      <c r="AF184" s="5"/>
      <c r="AG184" s="5"/>
      <c r="AH184" s="5"/>
      <c r="AI184" s="5"/>
      <c r="AJ184" s="5">
        <f t="shared" si="494"/>
        <v>10000</v>
      </c>
      <c r="AL184" s="5">
        <v>7500</v>
      </c>
      <c r="AM184" s="5"/>
      <c r="AN184" s="5"/>
      <c r="AO184" s="5"/>
      <c r="AP184" s="5"/>
      <c r="AQ184" s="5"/>
      <c r="AR184" s="5"/>
      <c r="AS184" s="5">
        <f t="shared" si="495"/>
        <v>7500</v>
      </c>
      <c r="AU184" s="5">
        <v>15000</v>
      </c>
      <c r="AV184" s="5"/>
      <c r="AW184" s="5"/>
      <c r="AX184" s="5"/>
      <c r="AY184" s="5"/>
      <c r="AZ184" s="5"/>
      <c r="BA184" s="5"/>
      <c r="BB184" s="5">
        <f t="shared" si="496"/>
        <v>15000</v>
      </c>
      <c r="BD184" s="5">
        <v>5000</v>
      </c>
      <c r="BE184" s="5"/>
      <c r="BF184" s="5">
        <v>0</v>
      </c>
      <c r="BG184" s="5"/>
      <c r="BH184" s="5"/>
      <c r="BI184" s="5"/>
      <c r="BJ184" s="5"/>
      <c r="BK184" s="5">
        <f t="shared" si="497"/>
        <v>5000</v>
      </c>
      <c r="BM184" s="5"/>
      <c r="BN184" s="5"/>
      <c r="BO184" s="5"/>
      <c r="BP184" s="5"/>
      <c r="BQ184" s="5"/>
      <c r="BR184" s="5"/>
      <c r="BS184" s="5"/>
      <c r="BT184" s="5">
        <f t="shared" si="498"/>
        <v>0</v>
      </c>
      <c r="BV184" s="5">
        <f t="shared" si="489"/>
        <v>60000</v>
      </c>
      <c r="BW184" s="5">
        <f t="shared" si="489"/>
        <v>0</v>
      </c>
      <c r="BX184" s="5">
        <f t="shared" si="489"/>
        <v>0</v>
      </c>
      <c r="BY184" s="5">
        <f t="shared" si="489"/>
        <v>0</v>
      </c>
      <c r="BZ184" s="5">
        <f t="shared" si="489"/>
        <v>0</v>
      </c>
      <c r="CA184" s="5">
        <f t="shared" si="489"/>
        <v>0</v>
      </c>
      <c r="CB184" s="5"/>
      <c r="CC184" s="5">
        <f t="shared" si="499"/>
        <v>60000</v>
      </c>
    </row>
    <row r="185" spans="1:81">
      <c r="A185" s="29" t="s">
        <v>165</v>
      </c>
      <c r="B185" s="5">
        <v>2000</v>
      </c>
      <c r="C185" s="5"/>
      <c r="D185" s="5"/>
      <c r="E185" s="5"/>
      <c r="F185" s="5"/>
      <c r="G185" s="5"/>
      <c r="H185" s="5"/>
      <c r="I185" s="5">
        <f t="shared" si="491"/>
        <v>2000</v>
      </c>
      <c r="K185" s="5">
        <v>2000</v>
      </c>
      <c r="L185" s="5"/>
      <c r="M185" s="5"/>
      <c r="N185" s="5"/>
      <c r="O185" s="5"/>
      <c r="P185" s="5"/>
      <c r="Q185" s="5"/>
      <c r="R185" s="5">
        <f t="shared" si="492"/>
        <v>2000</v>
      </c>
      <c r="T185" s="5">
        <v>2000</v>
      </c>
      <c r="U185" s="5"/>
      <c r="V185" s="5"/>
      <c r="W185" s="5"/>
      <c r="X185" s="5"/>
      <c r="Y185" s="5"/>
      <c r="Z185" s="5"/>
      <c r="AA185" s="5">
        <f t="shared" si="493"/>
        <v>2000</v>
      </c>
      <c r="AC185" s="5">
        <v>2000</v>
      </c>
      <c r="AD185" s="5"/>
      <c r="AE185" s="5"/>
      <c r="AF185" s="5"/>
      <c r="AG185" s="5"/>
      <c r="AH185" s="5"/>
      <c r="AI185" s="5"/>
      <c r="AJ185" s="5">
        <f t="shared" si="494"/>
        <v>2000</v>
      </c>
      <c r="AL185" s="5">
        <v>2500</v>
      </c>
      <c r="AM185" s="5"/>
      <c r="AN185" s="5"/>
      <c r="AO185" s="5"/>
      <c r="AP185" s="5"/>
      <c r="AQ185" s="5"/>
      <c r="AR185" s="5"/>
      <c r="AS185" s="5">
        <f t="shared" si="495"/>
        <v>2500</v>
      </c>
      <c r="AU185" s="5">
        <v>1200</v>
      </c>
      <c r="AV185" s="5"/>
      <c r="AW185" s="5"/>
      <c r="AX185" s="5"/>
      <c r="AY185" s="5"/>
      <c r="AZ185" s="5"/>
      <c r="BA185" s="5"/>
      <c r="BB185" s="5">
        <f t="shared" si="496"/>
        <v>1200</v>
      </c>
      <c r="BD185" s="5">
        <v>1000</v>
      </c>
      <c r="BE185" s="5"/>
      <c r="BF185" s="5"/>
      <c r="BG185" s="5"/>
      <c r="BH185" s="5"/>
      <c r="BI185" s="5"/>
      <c r="BJ185" s="5"/>
      <c r="BK185" s="5">
        <f t="shared" si="497"/>
        <v>1000</v>
      </c>
      <c r="BM185" s="5">
        <v>2500</v>
      </c>
      <c r="BN185" s="5"/>
      <c r="BO185" s="5"/>
      <c r="BP185" s="5"/>
      <c r="BQ185" s="5"/>
      <c r="BR185" s="5"/>
      <c r="BS185" s="5"/>
      <c r="BT185" s="5">
        <f t="shared" si="498"/>
        <v>2500</v>
      </c>
      <c r="BV185" s="5">
        <f t="shared" si="489"/>
        <v>15200</v>
      </c>
      <c r="BW185" s="5">
        <f t="shared" si="489"/>
        <v>0</v>
      </c>
      <c r="BX185" s="5">
        <f t="shared" si="489"/>
        <v>0</v>
      </c>
      <c r="BY185" s="5">
        <f t="shared" si="489"/>
        <v>0</v>
      </c>
      <c r="BZ185" s="5">
        <f t="shared" si="489"/>
        <v>0</v>
      </c>
      <c r="CA185" s="5">
        <f t="shared" si="489"/>
        <v>0</v>
      </c>
      <c r="CB185" s="5"/>
      <c r="CC185" s="5">
        <f t="shared" si="499"/>
        <v>15200</v>
      </c>
    </row>
    <row r="186" spans="1:81">
      <c r="A186" s="29" t="s">
        <v>166</v>
      </c>
      <c r="B186" s="5">
        <v>1250</v>
      </c>
      <c r="C186" s="5">
        <v>0</v>
      </c>
      <c r="D186" s="5">
        <v>0</v>
      </c>
      <c r="E186" s="5"/>
      <c r="F186" s="5">
        <v>0</v>
      </c>
      <c r="G186" s="5">
        <v>0</v>
      </c>
      <c r="H186" s="5">
        <v>0</v>
      </c>
      <c r="I186" s="5">
        <f t="shared" si="491"/>
        <v>1250</v>
      </c>
      <c r="K186" s="5">
        <v>1500</v>
      </c>
      <c r="L186" s="5">
        <v>0</v>
      </c>
      <c r="M186" s="5">
        <v>0</v>
      </c>
      <c r="N186" s="5"/>
      <c r="O186" s="5">
        <v>0</v>
      </c>
      <c r="P186" s="5">
        <v>0</v>
      </c>
      <c r="Q186" s="5">
        <v>0</v>
      </c>
      <c r="R186" s="5">
        <f t="shared" si="492"/>
        <v>1500</v>
      </c>
      <c r="T186" s="5">
        <v>1500</v>
      </c>
      <c r="U186" s="5"/>
      <c r="V186" s="5"/>
      <c r="W186" s="5"/>
      <c r="X186" s="5">
        <v>0</v>
      </c>
      <c r="Y186" s="5">
        <v>0</v>
      </c>
      <c r="Z186" s="5">
        <v>0</v>
      </c>
      <c r="AA186" s="5">
        <f t="shared" si="493"/>
        <v>1500</v>
      </c>
      <c r="AC186" s="5">
        <v>5000</v>
      </c>
      <c r="AD186" s="5">
        <v>0</v>
      </c>
      <c r="AE186" s="5">
        <v>0</v>
      </c>
      <c r="AF186" s="5"/>
      <c r="AG186" s="5">
        <v>0</v>
      </c>
      <c r="AH186" s="5">
        <v>0</v>
      </c>
      <c r="AI186" s="5">
        <v>0</v>
      </c>
      <c r="AJ186" s="5">
        <f t="shared" si="494"/>
        <v>5000</v>
      </c>
      <c r="AL186" s="5">
        <v>2500</v>
      </c>
      <c r="AM186" s="5">
        <v>0</v>
      </c>
      <c r="AN186" s="5">
        <v>0</v>
      </c>
      <c r="AO186" s="5"/>
      <c r="AP186" s="5">
        <v>0</v>
      </c>
      <c r="AQ186" s="5">
        <v>0</v>
      </c>
      <c r="AR186" s="5">
        <v>0</v>
      </c>
      <c r="AS186" s="5">
        <f t="shared" si="495"/>
        <v>2500</v>
      </c>
      <c r="AU186" s="5">
        <v>500</v>
      </c>
      <c r="AV186" s="5">
        <v>0</v>
      </c>
      <c r="AW186" s="5">
        <v>0</v>
      </c>
      <c r="AX186" s="5"/>
      <c r="AY186" s="5">
        <v>0</v>
      </c>
      <c r="AZ186" s="5">
        <v>0</v>
      </c>
      <c r="BA186" s="5">
        <v>0</v>
      </c>
      <c r="BB186" s="5">
        <f t="shared" si="496"/>
        <v>500</v>
      </c>
      <c r="BD186" s="5">
        <v>800</v>
      </c>
      <c r="BE186" s="5">
        <v>0</v>
      </c>
      <c r="BF186" s="5">
        <v>0</v>
      </c>
      <c r="BG186" s="5"/>
      <c r="BH186" s="5">
        <v>0</v>
      </c>
      <c r="BI186" s="5">
        <v>0</v>
      </c>
      <c r="BJ186" s="5">
        <v>0</v>
      </c>
      <c r="BK186" s="5">
        <f t="shared" si="497"/>
        <v>800</v>
      </c>
      <c r="BM186" s="5"/>
      <c r="BN186" s="5">
        <v>0</v>
      </c>
      <c r="BO186" s="5">
        <v>0</v>
      </c>
      <c r="BP186" s="5"/>
      <c r="BQ186" s="5">
        <v>0</v>
      </c>
      <c r="BR186" s="5">
        <v>0</v>
      </c>
      <c r="BS186" s="5">
        <v>0</v>
      </c>
      <c r="BT186" s="5">
        <f t="shared" si="498"/>
        <v>0</v>
      </c>
      <c r="BV186" s="5">
        <f t="shared" si="489"/>
        <v>13050</v>
      </c>
      <c r="BW186" s="5">
        <f t="shared" si="489"/>
        <v>0</v>
      </c>
      <c r="BX186" s="5">
        <f t="shared" si="489"/>
        <v>0</v>
      </c>
      <c r="BY186" s="5">
        <f t="shared" si="489"/>
        <v>0</v>
      </c>
      <c r="BZ186" s="5">
        <f t="shared" si="489"/>
        <v>0</v>
      </c>
      <c r="CA186" s="5">
        <f t="shared" si="489"/>
        <v>0</v>
      </c>
      <c r="CB186" s="5">
        <v>0</v>
      </c>
      <c r="CC186" s="5">
        <f t="shared" si="499"/>
        <v>13050</v>
      </c>
    </row>
    <row r="187" spans="1:81">
      <c r="A187" s="29" t="s">
        <v>167</v>
      </c>
      <c r="B187" s="11">
        <f>(5*B17)+2000+3000+2000+2500</f>
        <v>14150</v>
      </c>
      <c r="C187" s="5"/>
      <c r="D187" s="5"/>
      <c r="E187" s="5"/>
      <c r="F187" s="5"/>
      <c r="G187" s="5"/>
      <c r="H187" s="5"/>
      <c r="I187" s="5">
        <f t="shared" si="491"/>
        <v>14150</v>
      </c>
      <c r="K187" s="11">
        <f>(5*K17)+1200+2000+3000+2500</f>
        <v>13860</v>
      </c>
      <c r="L187" s="5"/>
      <c r="M187" s="5"/>
      <c r="N187" s="5"/>
      <c r="O187" s="5"/>
      <c r="P187" s="5"/>
      <c r="Q187" s="5"/>
      <c r="R187" s="5">
        <f t="shared" si="492"/>
        <v>13860</v>
      </c>
      <c r="T187" s="11">
        <f>(5*T17)+2000+3000+2000+1500</f>
        <v>14725</v>
      </c>
      <c r="U187" s="5"/>
      <c r="V187" s="5"/>
      <c r="W187" s="5"/>
      <c r="X187" s="5"/>
      <c r="Y187" s="5"/>
      <c r="Z187" s="5"/>
      <c r="AA187" s="5">
        <f t="shared" si="493"/>
        <v>14725</v>
      </c>
      <c r="AC187" s="11">
        <f>(5*AC17)+3000+5000+2000+2000+2500</f>
        <v>27230</v>
      </c>
      <c r="AD187" s="5"/>
      <c r="AE187" s="5"/>
      <c r="AF187" s="5"/>
      <c r="AG187" s="5"/>
      <c r="AH187" s="5"/>
      <c r="AI187" s="5"/>
      <c r="AJ187" s="5">
        <f t="shared" si="494"/>
        <v>27230</v>
      </c>
      <c r="AL187" s="11">
        <f>(5*AL17)+3000+3000+2000+1500</f>
        <v>21510</v>
      </c>
      <c r="AM187" s="5"/>
      <c r="AN187" s="5"/>
      <c r="AO187" s="5"/>
      <c r="AP187" s="5"/>
      <c r="AQ187" s="5"/>
      <c r="AR187" s="5"/>
      <c r="AS187" s="5">
        <f t="shared" si="495"/>
        <v>21510</v>
      </c>
      <c r="AU187" s="11">
        <f>(5*AU17)+1200</f>
        <v>1900</v>
      </c>
      <c r="AV187" s="5"/>
      <c r="AW187" s="5"/>
      <c r="AX187" s="5"/>
      <c r="AY187" s="5"/>
      <c r="AZ187" s="5"/>
      <c r="BA187" s="5"/>
      <c r="BB187" s="5">
        <f t="shared" si="496"/>
        <v>1900</v>
      </c>
      <c r="BD187" s="11">
        <f>(5*BD17)+1200+1500</f>
        <v>5180</v>
      </c>
      <c r="BE187" s="5"/>
      <c r="BF187" s="5"/>
      <c r="BG187" s="5"/>
      <c r="BH187" s="5"/>
      <c r="BI187" s="5"/>
      <c r="BJ187" s="5"/>
      <c r="BK187" s="5">
        <f t="shared" si="497"/>
        <v>5180</v>
      </c>
      <c r="BM187" s="11"/>
      <c r="BN187" s="5"/>
      <c r="BO187" s="5"/>
      <c r="BP187" s="5"/>
      <c r="BQ187" s="5"/>
      <c r="BR187" s="5"/>
      <c r="BS187" s="5"/>
      <c r="BT187" s="5">
        <f t="shared" si="498"/>
        <v>0</v>
      </c>
      <c r="BV187" s="5">
        <f t="shared" si="489"/>
        <v>98555</v>
      </c>
      <c r="BW187" s="5">
        <f t="shared" si="489"/>
        <v>0</v>
      </c>
      <c r="BX187" s="5">
        <f t="shared" si="489"/>
        <v>0</v>
      </c>
      <c r="BY187" s="5">
        <f t="shared" si="489"/>
        <v>0</v>
      </c>
      <c r="BZ187" s="5">
        <f t="shared" si="489"/>
        <v>0</v>
      </c>
      <c r="CA187" s="5">
        <f t="shared" si="489"/>
        <v>0</v>
      </c>
      <c r="CB187" s="5"/>
      <c r="CC187" s="5">
        <f t="shared" si="499"/>
        <v>98555</v>
      </c>
    </row>
    <row r="188" spans="1:81">
      <c r="A188" s="29" t="s">
        <v>168</v>
      </c>
      <c r="B188" s="11"/>
      <c r="C188" s="5"/>
      <c r="D188" s="5"/>
      <c r="E188" s="5"/>
      <c r="F188" s="5"/>
      <c r="G188" s="5"/>
      <c r="H188" s="5"/>
      <c r="I188" s="5">
        <f t="shared" si="491"/>
        <v>0</v>
      </c>
      <c r="K188" s="11"/>
      <c r="L188" s="5"/>
      <c r="M188" s="5"/>
      <c r="N188" s="5"/>
      <c r="O188" s="5"/>
      <c r="P188" s="5"/>
      <c r="Q188" s="5"/>
      <c r="R188" s="5">
        <f t="shared" si="492"/>
        <v>0</v>
      </c>
      <c r="T188" s="11"/>
      <c r="U188" s="5"/>
      <c r="V188" s="5"/>
      <c r="W188" s="5"/>
      <c r="X188" s="5"/>
      <c r="Y188" s="5"/>
      <c r="Z188" s="5"/>
      <c r="AA188" s="5">
        <f t="shared" si="493"/>
        <v>0</v>
      </c>
      <c r="AC188" s="11"/>
      <c r="AD188" s="5"/>
      <c r="AE188" s="5"/>
      <c r="AF188" s="5"/>
      <c r="AG188" s="5"/>
      <c r="AH188" s="5"/>
      <c r="AI188" s="5"/>
      <c r="AJ188" s="5">
        <f t="shared" si="494"/>
        <v>0</v>
      </c>
      <c r="AL188" s="11"/>
      <c r="AM188" s="5"/>
      <c r="AN188" s="5"/>
      <c r="AO188" s="5"/>
      <c r="AP188" s="5"/>
      <c r="AQ188" s="5"/>
      <c r="AR188" s="5"/>
      <c r="AS188" s="5">
        <f t="shared" si="495"/>
        <v>0</v>
      </c>
      <c r="AU188" s="11"/>
      <c r="AV188" s="5"/>
      <c r="AW188" s="5"/>
      <c r="AX188" s="5"/>
      <c r="AY188" s="5"/>
      <c r="AZ188" s="5"/>
      <c r="BA188" s="5"/>
      <c r="BB188" s="5">
        <f t="shared" si="496"/>
        <v>0</v>
      </c>
      <c r="BD188" s="11"/>
      <c r="BE188" s="5"/>
      <c r="BF188" s="5"/>
      <c r="BG188" s="5"/>
      <c r="BH188" s="5"/>
      <c r="BI188" s="5"/>
      <c r="BJ188" s="5"/>
      <c r="BK188" s="5">
        <f t="shared" si="497"/>
        <v>0</v>
      </c>
      <c r="BM188" s="11"/>
      <c r="BN188" s="5"/>
      <c r="BO188" s="5"/>
      <c r="BP188" s="5"/>
      <c r="BQ188" s="5"/>
      <c r="BR188" s="5"/>
      <c r="BS188" s="5"/>
      <c r="BT188" s="5">
        <f t="shared" si="498"/>
        <v>0</v>
      </c>
      <c r="BV188" s="5">
        <f t="shared" ref="BV188:CA196" si="500">B188+K188+T188+AC188+AL188+AU188+BD188+BM188</f>
        <v>0</v>
      </c>
      <c r="BW188" s="5">
        <f t="shared" si="500"/>
        <v>0</v>
      </c>
      <c r="BX188" s="5">
        <f t="shared" si="500"/>
        <v>0</v>
      </c>
      <c r="BY188" s="5">
        <f t="shared" si="500"/>
        <v>0</v>
      </c>
      <c r="BZ188" s="5">
        <f t="shared" si="500"/>
        <v>0</v>
      </c>
      <c r="CA188" s="5">
        <f t="shared" si="500"/>
        <v>0</v>
      </c>
      <c r="CB188" s="5"/>
      <c r="CC188" s="5">
        <f t="shared" si="499"/>
        <v>0</v>
      </c>
    </row>
    <row r="189" spans="1:81">
      <c r="A189" s="29" t="s">
        <v>169</v>
      </c>
      <c r="B189" s="5"/>
      <c r="C189" s="5"/>
      <c r="D189" s="5"/>
      <c r="E189" s="5"/>
      <c r="F189" s="5"/>
      <c r="G189" s="5"/>
      <c r="H189" s="5"/>
      <c r="I189" s="5">
        <f t="shared" si="491"/>
        <v>0</v>
      </c>
      <c r="K189" s="5"/>
      <c r="L189" s="5"/>
      <c r="M189" s="5"/>
      <c r="N189" s="5"/>
      <c r="O189" s="5"/>
      <c r="P189" s="5"/>
      <c r="Q189" s="5"/>
      <c r="R189" s="5">
        <f t="shared" si="492"/>
        <v>0</v>
      </c>
      <c r="T189" s="5"/>
      <c r="U189" s="5"/>
      <c r="V189" s="5"/>
      <c r="W189" s="5"/>
      <c r="X189" s="5"/>
      <c r="Y189" s="5"/>
      <c r="Z189" s="5"/>
      <c r="AA189" s="5">
        <f t="shared" si="493"/>
        <v>0</v>
      </c>
      <c r="AC189" s="5">
        <v>30000</v>
      </c>
      <c r="AD189" s="5"/>
      <c r="AE189" s="5"/>
      <c r="AF189" s="5"/>
      <c r="AG189" s="5"/>
      <c r="AH189" s="5"/>
      <c r="AI189" s="5"/>
      <c r="AJ189" s="5">
        <f t="shared" si="494"/>
        <v>30000</v>
      </c>
      <c r="AL189" s="5">
        <v>30000</v>
      </c>
      <c r="AM189" s="5"/>
      <c r="AN189" s="5"/>
      <c r="AO189" s="5"/>
      <c r="AP189" s="5"/>
      <c r="AQ189" s="5"/>
      <c r="AR189" s="5"/>
      <c r="AS189" s="5">
        <f t="shared" si="495"/>
        <v>30000</v>
      </c>
      <c r="AU189" s="5"/>
      <c r="AV189" s="5"/>
      <c r="AW189" s="5"/>
      <c r="AX189" s="5"/>
      <c r="AY189" s="5"/>
      <c r="AZ189" s="5"/>
      <c r="BA189" s="5"/>
      <c r="BB189" s="5">
        <f t="shared" si="496"/>
        <v>0</v>
      </c>
      <c r="BD189" s="5"/>
      <c r="BE189" s="5"/>
      <c r="BF189" s="5"/>
      <c r="BG189" s="5"/>
      <c r="BH189" s="5"/>
      <c r="BI189" s="5"/>
      <c r="BJ189" s="5"/>
      <c r="BK189" s="5">
        <f t="shared" si="497"/>
        <v>0</v>
      </c>
      <c r="BM189" s="5"/>
      <c r="BN189" s="5"/>
      <c r="BO189" s="5"/>
      <c r="BP189" s="5"/>
      <c r="BQ189" s="5"/>
      <c r="BR189" s="5"/>
      <c r="BS189" s="5"/>
      <c r="BT189" s="5">
        <f t="shared" si="498"/>
        <v>0</v>
      </c>
      <c r="BV189" s="5">
        <f t="shared" si="500"/>
        <v>60000</v>
      </c>
      <c r="BW189" s="5">
        <f t="shared" si="500"/>
        <v>0</v>
      </c>
      <c r="BX189" s="5">
        <f t="shared" si="500"/>
        <v>0</v>
      </c>
      <c r="BY189" s="5">
        <f t="shared" si="500"/>
        <v>0</v>
      </c>
      <c r="BZ189" s="5">
        <f t="shared" si="500"/>
        <v>0</v>
      </c>
      <c r="CA189" s="5">
        <f t="shared" si="500"/>
        <v>0</v>
      </c>
      <c r="CB189" s="5"/>
      <c r="CC189" s="5">
        <f t="shared" si="499"/>
        <v>60000</v>
      </c>
    </row>
    <row r="190" spans="1:81">
      <c r="A190" s="29" t="s">
        <v>170</v>
      </c>
      <c r="B190" s="11">
        <v>0</v>
      </c>
      <c r="C190" s="5"/>
      <c r="D190" s="5"/>
      <c r="E190" s="5"/>
      <c r="F190" s="5"/>
      <c r="G190" s="5"/>
      <c r="H190" s="5"/>
      <c r="I190" s="5">
        <f t="shared" si="491"/>
        <v>0</v>
      </c>
      <c r="K190" s="11">
        <v>0</v>
      </c>
      <c r="L190" s="5"/>
      <c r="M190" s="5"/>
      <c r="N190" s="5"/>
      <c r="O190" s="5"/>
      <c r="P190" s="5"/>
      <c r="Q190" s="5"/>
      <c r="R190" s="5">
        <f t="shared" si="492"/>
        <v>0</v>
      </c>
      <c r="T190" s="11">
        <v>0</v>
      </c>
      <c r="U190" s="5"/>
      <c r="V190" s="5"/>
      <c r="W190" s="5"/>
      <c r="X190" s="5"/>
      <c r="Y190" s="5"/>
      <c r="Z190" s="5"/>
      <c r="AA190" s="5">
        <f t="shared" si="493"/>
        <v>0</v>
      </c>
      <c r="AC190" s="11">
        <v>0</v>
      </c>
      <c r="AD190" s="5"/>
      <c r="AE190" s="5"/>
      <c r="AF190" s="5"/>
      <c r="AG190" s="5"/>
      <c r="AH190" s="5"/>
      <c r="AI190" s="5"/>
      <c r="AJ190" s="5">
        <f t="shared" si="494"/>
        <v>0</v>
      </c>
      <c r="AL190" s="11">
        <v>0</v>
      </c>
      <c r="AM190" s="5"/>
      <c r="AN190" s="5"/>
      <c r="AO190" s="5"/>
      <c r="AP190" s="5"/>
      <c r="AQ190" s="5"/>
      <c r="AR190" s="5"/>
      <c r="AS190" s="5">
        <f t="shared" si="495"/>
        <v>0</v>
      </c>
      <c r="AU190" s="11">
        <v>0</v>
      </c>
      <c r="AV190" s="5"/>
      <c r="AW190" s="5"/>
      <c r="AX190" s="5"/>
      <c r="AY190" s="5"/>
      <c r="AZ190" s="5"/>
      <c r="BA190" s="5"/>
      <c r="BB190" s="5">
        <f t="shared" si="496"/>
        <v>0</v>
      </c>
      <c r="BD190" s="11">
        <v>0</v>
      </c>
      <c r="BE190" s="5"/>
      <c r="BF190" s="5"/>
      <c r="BG190" s="5"/>
      <c r="BH190" s="5"/>
      <c r="BI190" s="5"/>
      <c r="BJ190" s="5"/>
      <c r="BK190" s="5">
        <f t="shared" si="497"/>
        <v>0</v>
      </c>
      <c r="BM190" s="11"/>
      <c r="BN190" s="5"/>
      <c r="BO190" s="5"/>
      <c r="BP190" s="5"/>
      <c r="BQ190" s="5"/>
      <c r="BR190" s="5"/>
      <c r="BS190" s="5"/>
      <c r="BT190" s="5">
        <f t="shared" si="498"/>
        <v>0</v>
      </c>
      <c r="BV190" s="5">
        <f t="shared" si="500"/>
        <v>0</v>
      </c>
      <c r="BW190" s="5">
        <f t="shared" si="500"/>
        <v>0</v>
      </c>
      <c r="BX190" s="5">
        <f t="shared" si="500"/>
        <v>0</v>
      </c>
      <c r="BY190" s="5">
        <f t="shared" si="500"/>
        <v>0</v>
      </c>
      <c r="BZ190" s="5">
        <f t="shared" si="500"/>
        <v>0</v>
      </c>
      <c r="CA190" s="5">
        <f t="shared" si="500"/>
        <v>0</v>
      </c>
      <c r="CB190" s="5"/>
      <c r="CC190" s="5">
        <f t="shared" si="499"/>
        <v>0</v>
      </c>
    </row>
    <row r="191" spans="1:81">
      <c r="A191" s="29" t="s">
        <v>171</v>
      </c>
      <c r="B191" s="11">
        <v>0</v>
      </c>
      <c r="C191" s="11"/>
      <c r="D191" s="11"/>
      <c r="E191" s="11"/>
      <c r="F191" s="11"/>
      <c r="G191" s="11"/>
      <c r="H191" s="11"/>
      <c r="I191" s="5">
        <f>SUM(B191:H191)</f>
        <v>0</v>
      </c>
      <c r="K191" s="11">
        <v>0</v>
      </c>
      <c r="L191" s="11"/>
      <c r="M191" s="11"/>
      <c r="N191" s="11"/>
      <c r="O191" s="11"/>
      <c r="P191" s="11"/>
      <c r="Q191" s="11"/>
      <c r="R191" s="5">
        <f>SUM(K191:Q191)</f>
        <v>0</v>
      </c>
      <c r="T191" s="11">
        <v>0</v>
      </c>
      <c r="U191" s="11"/>
      <c r="V191" s="11"/>
      <c r="W191" s="11"/>
      <c r="X191" s="11"/>
      <c r="Y191" s="11"/>
      <c r="Z191" s="11"/>
      <c r="AA191" s="5">
        <f>SUM(T191:Z191)</f>
        <v>0</v>
      </c>
      <c r="AC191" s="11">
        <v>0</v>
      </c>
      <c r="AD191" s="11"/>
      <c r="AE191" s="11"/>
      <c r="AF191" s="11"/>
      <c r="AG191" s="11"/>
      <c r="AH191" s="11"/>
      <c r="AI191" s="11"/>
      <c r="AJ191" s="5">
        <f>SUM(AC191:AI191)</f>
        <v>0</v>
      </c>
      <c r="AL191" s="11">
        <v>100000</v>
      </c>
      <c r="AM191" s="11"/>
      <c r="AN191" s="11"/>
      <c r="AO191" s="11"/>
      <c r="AP191" s="11"/>
      <c r="AQ191" s="11"/>
      <c r="AR191" s="11"/>
      <c r="AS191" s="5">
        <f>SUM(AL191:AR191)</f>
        <v>100000</v>
      </c>
      <c r="AU191" s="11"/>
      <c r="AV191" s="11"/>
      <c r="AW191" s="11"/>
      <c r="AX191" s="11"/>
      <c r="AY191" s="11"/>
      <c r="AZ191" s="11"/>
      <c r="BA191" s="11"/>
      <c r="BB191" s="5">
        <f>SUM(AU191:BA191)</f>
        <v>0</v>
      </c>
      <c r="BD191" s="11">
        <v>0</v>
      </c>
      <c r="BE191" s="11"/>
      <c r="BF191" s="11"/>
      <c r="BG191" s="11"/>
      <c r="BH191" s="11"/>
      <c r="BI191" s="11"/>
      <c r="BJ191" s="11"/>
      <c r="BK191" s="5">
        <f>SUM(BD191:BJ191)</f>
        <v>0</v>
      </c>
      <c r="BM191" s="11"/>
      <c r="BN191" s="11"/>
      <c r="BO191" s="11"/>
      <c r="BP191" s="11"/>
      <c r="BQ191" s="11"/>
      <c r="BR191" s="11"/>
      <c r="BS191" s="11"/>
      <c r="BT191" s="5">
        <f>SUM(BM191:BS191)</f>
        <v>0</v>
      </c>
      <c r="BV191" s="5">
        <f t="shared" si="500"/>
        <v>100000</v>
      </c>
      <c r="BW191" s="5">
        <f t="shared" si="500"/>
        <v>0</v>
      </c>
      <c r="BX191" s="5">
        <f t="shared" si="500"/>
        <v>0</v>
      </c>
      <c r="BY191" s="5">
        <f t="shared" si="500"/>
        <v>0</v>
      </c>
      <c r="BZ191" s="5">
        <f t="shared" si="500"/>
        <v>0</v>
      </c>
      <c r="CA191" s="5">
        <f t="shared" si="500"/>
        <v>0</v>
      </c>
      <c r="CB191" s="11"/>
      <c r="CC191" s="5">
        <f>SUM(BV191:CB191)</f>
        <v>100000</v>
      </c>
    </row>
    <row r="192" spans="1:81">
      <c r="A192" s="29" t="s">
        <v>172</v>
      </c>
      <c r="B192" s="11"/>
      <c r="C192" s="5"/>
      <c r="D192" s="5"/>
      <c r="E192" s="5"/>
      <c r="F192" s="5"/>
      <c r="G192" s="5"/>
      <c r="H192" s="5"/>
      <c r="I192" s="5">
        <f t="shared" ref="I192:I196" si="501">SUM(B192:H192)</f>
        <v>0</v>
      </c>
      <c r="K192" s="11"/>
      <c r="L192" s="5"/>
      <c r="M192" s="5"/>
      <c r="N192" s="5"/>
      <c r="O192" s="5"/>
      <c r="P192" s="5"/>
      <c r="Q192" s="5"/>
      <c r="R192" s="5">
        <f t="shared" ref="R192:R196" si="502">SUM(K192:Q192)</f>
        <v>0</v>
      </c>
      <c r="T192" s="11"/>
      <c r="U192" s="5"/>
      <c r="V192" s="5"/>
      <c r="W192" s="5"/>
      <c r="X192" s="5"/>
      <c r="Y192" s="5"/>
      <c r="Z192" s="5"/>
      <c r="AA192" s="5">
        <f t="shared" ref="AA192:AA196" si="503">SUM(T192:Z192)</f>
        <v>0</v>
      </c>
      <c r="AC192" s="11"/>
      <c r="AD192" s="5"/>
      <c r="AE192" s="5"/>
      <c r="AF192" s="5"/>
      <c r="AG192" s="5"/>
      <c r="AH192" s="5"/>
      <c r="AI192" s="5"/>
      <c r="AJ192" s="5">
        <f t="shared" ref="AJ192:AJ196" si="504">SUM(AC192:AI192)</f>
        <v>0</v>
      </c>
      <c r="AL192" s="11"/>
      <c r="AM192" s="5"/>
      <c r="AN192" s="5"/>
      <c r="AO192" s="5"/>
      <c r="AP192" s="5"/>
      <c r="AQ192" s="5"/>
      <c r="AR192" s="5"/>
      <c r="AS192" s="5">
        <f t="shared" ref="AS192:AS196" si="505">SUM(AL192:AR192)</f>
        <v>0</v>
      </c>
      <c r="AU192" s="11"/>
      <c r="AV192" s="5"/>
      <c r="AW192" s="5"/>
      <c r="AX192" s="5"/>
      <c r="AY192" s="5"/>
      <c r="AZ192" s="5"/>
      <c r="BA192" s="5"/>
      <c r="BB192" s="5">
        <f t="shared" ref="BB192:BB196" si="506">SUM(AU192:BA192)</f>
        <v>0</v>
      </c>
      <c r="BD192" s="11"/>
      <c r="BE192" s="5"/>
      <c r="BF192" s="5"/>
      <c r="BG192" s="5"/>
      <c r="BH192" s="5"/>
      <c r="BI192" s="5"/>
      <c r="BJ192" s="5"/>
      <c r="BK192" s="5">
        <f t="shared" ref="BK192:BK196" si="507">SUM(BD192:BJ192)</f>
        <v>0</v>
      </c>
      <c r="BM192" s="11"/>
      <c r="BN192" s="5"/>
      <c r="BO192" s="5"/>
      <c r="BP192" s="5"/>
      <c r="BQ192" s="5"/>
      <c r="BR192" s="5"/>
      <c r="BS192" s="5"/>
      <c r="BT192" s="5">
        <f t="shared" ref="BT192:BT196" si="508">SUM(BM192:BS192)</f>
        <v>0</v>
      </c>
      <c r="BV192" s="5">
        <f t="shared" si="500"/>
        <v>0</v>
      </c>
      <c r="BW192" s="5">
        <f t="shared" si="500"/>
        <v>0</v>
      </c>
      <c r="BX192" s="5">
        <f t="shared" si="500"/>
        <v>0</v>
      </c>
      <c r="BY192" s="5">
        <f t="shared" si="500"/>
        <v>0</v>
      </c>
      <c r="BZ192" s="5">
        <f t="shared" si="500"/>
        <v>0</v>
      </c>
      <c r="CA192" s="5">
        <f t="shared" si="500"/>
        <v>0</v>
      </c>
      <c r="CB192" s="5"/>
      <c r="CC192" s="5">
        <f t="shared" ref="CC192:CC196" si="509">SUM(BV192:CB192)</f>
        <v>0</v>
      </c>
    </row>
    <row r="193" spans="1:82">
      <c r="A193" s="29" t="s">
        <v>173</v>
      </c>
      <c r="B193" s="11">
        <v>0</v>
      </c>
      <c r="C193" s="5"/>
      <c r="D193" s="5"/>
      <c r="E193" s="5"/>
      <c r="F193" s="5"/>
      <c r="G193" s="5"/>
      <c r="H193" s="5"/>
      <c r="I193" s="5">
        <f t="shared" si="501"/>
        <v>0</v>
      </c>
      <c r="K193" s="11">
        <v>0</v>
      </c>
      <c r="L193" s="5"/>
      <c r="M193" s="5"/>
      <c r="N193" s="5"/>
      <c r="O193" s="5"/>
      <c r="P193" s="5"/>
      <c r="Q193" s="5"/>
      <c r="R193" s="5">
        <f t="shared" si="502"/>
        <v>0</v>
      </c>
      <c r="T193" s="11">
        <v>0</v>
      </c>
      <c r="U193" s="5"/>
      <c r="V193" s="5"/>
      <c r="W193" s="5"/>
      <c r="X193" s="5"/>
      <c r="Y193" s="5"/>
      <c r="Z193" s="5"/>
      <c r="AA193" s="5">
        <f t="shared" si="503"/>
        <v>0</v>
      </c>
      <c r="AC193" s="11">
        <v>0</v>
      </c>
      <c r="AD193" s="5"/>
      <c r="AE193" s="5"/>
      <c r="AF193" s="5"/>
      <c r="AG193" s="5"/>
      <c r="AH193" s="5"/>
      <c r="AI193" s="5"/>
      <c r="AJ193" s="5">
        <f t="shared" si="504"/>
        <v>0</v>
      </c>
      <c r="AL193" s="11">
        <v>0</v>
      </c>
      <c r="AM193" s="5"/>
      <c r="AN193" s="5"/>
      <c r="AO193" s="5"/>
      <c r="AP193" s="5"/>
      <c r="AQ193" s="5"/>
      <c r="AR193" s="5"/>
      <c r="AS193" s="5">
        <f t="shared" si="505"/>
        <v>0</v>
      </c>
      <c r="AU193" s="11">
        <v>0</v>
      </c>
      <c r="AV193" s="5"/>
      <c r="AW193" s="5"/>
      <c r="AX193" s="5"/>
      <c r="AY193" s="5"/>
      <c r="AZ193" s="5"/>
      <c r="BA193" s="5"/>
      <c r="BB193" s="5">
        <f t="shared" si="506"/>
        <v>0</v>
      </c>
      <c r="BD193" s="11">
        <v>0</v>
      </c>
      <c r="BE193" s="5"/>
      <c r="BF193" s="5"/>
      <c r="BG193" s="5"/>
      <c r="BH193" s="5"/>
      <c r="BI193" s="5"/>
      <c r="BJ193" s="5"/>
      <c r="BK193" s="5">
        <f t="shared" si="507"/>
        <v>0</v>
      </c>
      <c r="BM193" s="11"/>
      <c r="BN193" s="5"/>
      <c r="BO193" s="5"/>
      <c r="BP193" s="5"/>
      <c r="BQ193" s="5"/>
      <c r="BR193" s="5"/>
      <c r="BS193" s="5"/>
      <c r="BT193" s="5">
        <f t="shared" si="508"/>
        <v>0</v>
      </c>
      <c r="BV193" s="5">
        <f t="shared" si="500"/>
        <v>0</v>
      </c>
      <c r="BW193" s="5">
        <f t="shared" si="500"/>
        <v>0</v>
      </c>
      <c r="BX193" s="5">
        <f t="shared" si="500"/>
        <v>0</v>
      </c>
      <c r="BY193" s="5">
        <f t="shared" si="500"/>
        <v>0</v>
      </c>
      <c r="BZ193" s="5">
        <f t="shared" si="500"/>
        <v>0</v>
      </c>
      <c r="CA193" s="5">
        <f t="shared" si="500"/>
        <v>0</v>
      </c>
      <c r="CB193" s="5"/>
      <c r="CC193" s="5">
        <f t="shared" si="509"/>
        <v>0</v>
      </c>
    </row>
    <row r="194" spans="1:82">
      <c r="A194" s="29" t="s">
        <v>174</v>
      </c>
      <c r="B194" s="11"/>
      <c r="C194" s="5"/>
      <c r="D194" s="5"/>
      <c r="E194" s="5"/>
      <c r="F194" s="5"/>
      <c r="G194" s="5">
        <v>275000</v>
      </c>
      <c r="H194" s="5"/>
      <c r="I194" s="5">
        <f t="shared" si="501"/>
        <v>275000</v>
      </c>
      <c r="K194" s="11"/>
      <c r="L194" s="5"/>
      <c r="M194" s="5"/>
      <c r="N194" s="5"/>
      <c r="O194" s="5"/>
      <c r="P194" s="5">
        <v>800000</v>
      </c>
      <c r="Q194" s="5"/>
      <c r="R194" s="5">
        <f t="shared" si="502"/>
        <v>800000</v>
      </c>
      <c r="T194" s="11"/>
      <c r="U194" s="5"/>
      <c r="V194" s="5"/>
      <c r="W194" s="5"/>
      <c r="X194" s="5"/>
      <c r="Y194" s="5">
        <v>800000</v>
      </c>
      <c r="Z194" s="5"/>
      <c r="AA194" s="5">
        <f t="shared" si="503"/>
        <v>800000</v>
      </c>
      <c r="AC194" s="11"/>
      <c r="AD194" s="5"/>
      <c r="AE194" s="5"/>
      <c r="AF194" s="5"/>
      <c r="AG194" s="5"/>
      <c r="AH194" s="5">
        <v>1250000</v>
      </c>
      <c r="AI194" s="5"/>
      <c r="AJ194" s="5">
        <f t="shared" si="504"/>
        <v>1250000</v>
      </c>
      <c r="AL194" s="11"/>
      <c r="AM194" s="5"/>
      <c r="AN194" s="5"/>
      <c r="AO194" s="5"/>
      <c r="AP194" s="5"/>
      <c r="AQ194" s="5">
        <v>2000000</v>
      </c>
      <c r="AR194" s="5"/>
      <c r="AS194" s="5">
        <f t="shared" si="505"/>
        <v>2000000</v>
      </c>
      <c r="AU194" s="11"/>
      <c r="AV194" s="5"/>
      <c r="AW194" s="5"/>
      <c r="AX194" s="5"/>
      <c r="AY194" s="5"/>
      <c r="AZ194" s="5"/>
      <c r="BA194" s="5"/>
      <c r="BB194" s="5"/>
      <c r="BD194" s="11"/>
      <c r="BE194" s="5"/>
      <c r="BF194" s="5"/>
      <c r="BG194" s="5"/>
      <c r="BH194" s="5"/>
      <c r="BI194" s="5">
        <v>50000</v>
      </c>
      <c r="BJ194" s="5"/>
      <c r="BK194" s="5">
        <f t="shared" si="507"/>
        <v>50000</v>
      </c>
      <c r="BM194" s="11"/>
      <c r="BN194" s="5"/>
      <c r="BO194" s="5"/>
      <c r="BP194" s="5"/>
      <c r="BQ194" s="5"/>
      <c r="BR194" s="5"/>
      <c r="BS194" s="5"/>
      <c r="BT194" s="5"/>
      <c r="BV194" s="5">
        <f t="shared" si="500"/>
        <v>0</v>
      </c>
      <c r="BW194" s="5">
        <f t="shared" si="500"/>
        <v>0</v>
      </c>
      <c r="BX194" s="5">
        <f t="shared" si="500"/>
        <v>0</v>
      </c>
      <c r="BY194" s="5">
        <f t="shared" si="500"/>
        <v>0</v>
      </c>
      <c r="BZ194" s="5">
        <f t="shared" si="500"/>
        <v>0</v>
      </c>
      <c r="CA194" s="5">
        <f t="shared" si="500"/>
        <v>5175000</v>
      </c>
      <c r="CB194" s="5"/>
      <c r="CC194" s="5">
        <f t="shared" si="509"/>
        <v>5175000</v>
      </c>
    </row>
    <row r="195" spans="1:82">
      <c r="A195" s="29" t="s">
        <v>175</v>
      </c>
      <c r="B195" s="11">
        <v>12000</v>
      </c>
      <c r="C195" s="5"/>
      <c r="D195" s="5"/>
      <c r="E195" s="5"/>
      <c r="F195" s="5"/>
      <c r="G195" s="5"/>
      <c r="H195" s="5"/>
      <c r="I195" s="5">
        <f t="shared" si="501"/>
        <v>12000</v>
      </c>
      <c r="K195" s="11">
        <v>15000</v>
      </c>
      <c r="L195" s="5"/>
      <c r="M195" s="5"/>
      <c r="N195" s="5"/>
      <c r="O195" s="5"/>
      <c r="P195" s="5"/>
      <c r="Q195" s="5"/>
      <c r="R195" s="5">
        <f t="shared" si="502"/>
        <v>15000</v>
      </c>
      <c r="T195" s="11">
        <v>12500</v>
      </c>
      <c r="U195" s="5"/>
      <c r="V195" s="5"/>
      <c r="W195" s="5"/>
      <c r="X195" s="5"/>
      <c r="Y195" s="5"/>
      <c r="Z195" s="5"/>
      <c r="AA195" s="5">
        <f t="shared" si="503"/>
        <v>12500</v>
      </c>
      <c r="AC195" s="11">
        <v>20000</v>
      </c>
      <c r="AD195" s="5"/>
      <c r="AE195" s="5"/>
      <c r="AF195" s="5"/>
      <c r="AG195" s="5"/>
      <c r="AH195" s="5"/>
      <c r="AI195" s="5"/>
      <c r="AJ195" s="5">
        <f t="shared" si="504"/>
        <v>20000</v>
      </c>
      <c r="AL195" s="11">
        <v>12000</v>
      </c>
      <c r="AM195" s="5"/>
      <c r="AN195" s="5"/>
      <c r="AO195" s="5"/>
      <c r="AP195" s="5"/>
      <c r="AQ195" s="5"/>
      <c r="AR195" s="5"/>
      <c r="AS195" s="5">
        <f t="shared" si="505"/>
        <v>12000</v>
      </c>
      <c r="AU195" s="11">
        <v>2000</v>
      </c>
      <c r="AV195" s="5"/>
      <c r="AW195" s="5"/>
      <c r="AX195" s="5"/>
      <c r="AY195" s="5"/>
      <c r="AZ195" s="5"/>
      <c r="BA195" s="5"/>
      <c r="BB195" s="5">
        <f t="shared" si="506"/>
        <v>2000</v>
      </c>
      <c r="BD195" s="11">
        <v>3000</v>
      </c>
      <c r="BE195" s="5"/>
      <c r="BF195" s="5"/>
      <c r="BG195" s="5"/>
      <c r="BH195" s="5"/>
      <c r="BI195" s="5"/>
      <c r="BJ195" s="5"/>
      <c r="BK195" s="5">
        <f t="shared" si="507"/>
        <v>3000</v>
      </c>
      <c r="BM195" s="11"/>
      <c r="BN195" s="5"/>
      <c r="BO195" s="5"/>
      <c r="BP195" s="5"/>
      <c r="BQ195" s="5"/>
      <c r="BR195" s="5"/>
      <c r="BS195" s="5"/>
      <c r="BT195" s="5">
        <f t="shared" si="508"/>
        <v>0</v>
      </c>
      <c r="BV195" s="5">
        <f t="shared" si="500"/>
        <v>76500</v>
      </c>
      <c r="BW195" s="5">
        <f t="shared" si="500"/>
        <v>0</v>
      </c>
      <c r="BX195" s="5">
        <f t="shared" si="500"/>
        <v>0</v>
      </c>
      <c r="BY195" s="5">
        <f t="shared" si="500"/>
        <v>0</v>
      </c>
      <c r="BZ195" s="5">
        <f t="shared" si="500"/>
        <v>0</v>
      </c>
      <c r="CA195" s="5">
        <f t="shared" si="500"/>
        <v>0</v>
      </c>
      <c r="CB195" s="5"/>
      <c r="CC195" s="5">
        <f t="shared" si="509"/>
        <v>76500</v>
      </c>
    </row>
    <row r="196" spans="1:82">
      <c r="A196" s="78" t="s">
        <v>176</v>
      </c>
      <c r="B196" s="5">
        <f>B74*0.02</f>
        <v>183210</v>
      </c>
      <c r="C196" s="5"/>
      <c r="D196" s="5"/>
      <c r="E196" s="5"/>
      <c r="F196" s="5"/>
      <c r="G196" s="5"/>
      <c r="H196" s="5"/>
      <c r="I196" s="5">
        <f t="shared" si="501"/>
        <v>183210</v>
      </c>
      <c r="J196" s="63">
        <f>I196/I74</f>
        <v>0.02</v>
      </c>
      <c r="K196" s="5">
        <f>K74*0.05</f>
        <v>508260</v>
      </c>
      <c r="L196" s="5"/>
      <c r="M196" s="5"/>
      <c r="N196" s="5"/>
      <c r="O196" s="5"/>
      <c r="P196" s="5"/>
      <c r="Q196" s="5"/>
      <c r="R196" s="5">
        <f t="shared" si="502"/>
        <v>508260</v>
      </c>
      <c r="S196" s="63">
        <f>R196/R74</f>
        <v>0.05</v>
      </c>
      <c r="T196" s="5">
        <f>T74*0.05</f>
        <v>613162.5</v>
      </c>
      <c r="U196" s="5"/>
      <c r="V196" s="5"/>
      <c r="W196" s="5"/>
      <c r="X196" s="5"/>
      <c r="Y196" s="5"/>
      <c r="Z196" s="5"/>
      <c r="AA196" s="5">
        <f t="shared" si="503"/>
        <v>613162.5</v>
      </c>
      <c r="AB196" s="63">
        <f>AA196/AA74</f>
        <v>0.05</v>
      </c>
      <c r="AC196" s="5">
        <f>AC74*0.05</f>
        <v>1253905</v>
      </c>
      <c r="AD196" s="5"/>
      <c r="AE196" s="5"/>
      <c r="AF196" s="5"/>
      <c r="AG196" s="5"/>
      <c r="AH196" s="5"/>
      <c r="AI196" s="5"/>
      <c r="AJ196" s="5">
        <f t="shared" si="504"/>
        <v>1253905</v>
      </c>
      <c r="AK196" s="63">
        <f>AJ196/AJ74</f>
        <v>0.05</v>
      </c>
      <c r="AL196" s="5">
        <f>AL74*0.0125</f>
        <v>295746.25</v>
      </c>
      <c r="AM196" s="5"/>
      <c r="AN196" s="5"/>
      <c r="AO196" s="5"/>
      <c r="AP196" s="5"/>
      <c r="AQ196" s="5"/>
      <c r="AR196" s="5"/>
      <c r="AS196" s="5">
        <f t="shared" si="505"/>
        <v>295746.25</v>
      </c>
      <c r="AT196" s="63">
        <f>AS196/AS74</f>
        <v>1.2500000000000001E-2</v>
      </c>
      <c r="AU196" s="5">
        <f>AU74*0.1</f>
        <v>137900</v>
      </c>
      <c r="AV196" s="5"/>
      <c r="AW196" s="5"/>
      <c r="AX196" s="5"/>
      <c r="AY196" s="5"/>
      <c r="AZ196" s="5"/>
      <c r="BA196" s="5"/>
      <c r="BB196" s="5">
        <f t="shared" si="506"/>
        <v>137900</v>
      </c>
      <c r="BC196" s="63">
        <f>BB196/BB74</f>
        <v>0.1</v>
      </c>
      <c r="BD196" s="5">
        <f>BD74*0.05</f>
        <v>244280</v>
      </c>
      <c r="BE196" s="5"/>
      <c r="BF196" s="5"/>
      <c r="BG196" s="5"/>
      <c r="BH196" s="5"/>
      <c r="BI196" s="5"/>
      <c r="BJ196" s="5"/>
      <c r="BK196" s="5">
        <f t="shared" si="507"/>
        <v>244280</v>
      </c>
      <c r="BL196" s="63">
        <f>BK196/BK74</f>
        <v>0.05</v>
      </c>
      <c r="BM196" s="5"/>
      <c r="BN196" s="5"/>
      <c r="BO196" s="5"/>
      <c r="BP196" s="5"/>
      <c r="BQ196" s="5"/>
      <c r="BR196" s="5"/>
      <c r="BS196" s="5"/>
      <c r="BT196" s="5">
        <f t="shared" si="508"/>
        <v>0</v>
      </c>
      <c r="BU196" s="63" t="e">
        <f>BT196/BT74</f>
        <v>#DIV/0!</v>
      </c>
      <c r="BV196" s="5">
        <f t="shared" si="500"/>
        <v>3236463.75</v>
      </c>
      <c r="BW196" s="5">
        <f t="shared" si="500"/>
        <v>0</v>
      </c>
      <c r="BX196" s="5">
        <f t="shared" si="500"/>
        <v>0</v>
      </c>
      <c r="BY196" s="5">
        <f t="shared" si="500"/>
        <v>0</v>
      </c>
      <c r="BZ196" s="5">
        <f t="shared" si="500"/>
        <v>0</v>
      </c>
      <c r="CA196" s="5">
        <f t="shared" si="500"/>
        <v>0</v>
      </c>
      <c r="CB196" s="5"/>
      <c r="CC196" s="5">
        <f t="shared" si="509"/>
        <v>3236463.75</v>
      </c>
      <c r="CD196" s="63">
        <f>CC196/CC74</f>
        <v>3.7376293936981005E-2</v>
      </c>
    </row>
    <row r="197" spans="1:82" ht="15">
      <c r="A197" s="70" t="s">
        <v>177</v>
      </c>
      <c r="B197" s="71">
        <f>SUM(B172:B196)</f>
        <v>373203.2684375</v>
      </c>
      <c r="C197" s="71">
        <f t="shared" ref="C197:I197" si="510">SUM(C172:C196)</f>
        <v>0</v>
      </c>
      <c r="D197" s="71">
        <f t="shared" si="510"/>
        <v>313875</v>
      </c>
      <c r="E197" s="71">
        <f t="shared" si="510"/>
        <v>0</v>
      </c>
      <c r="F197" s="71">
        <f t="shared" si="510"/>
        <v>0</v>
      </c>
      <c r="G197" s="71">
        <f t="shared" si="510"/>
        <v>275000</v>
      </c>
      <c r="H197" s="71">
        <f t="shared" si="510"/>
        <v>0</v>
      </c>
      <c r="I197" s="71">
        <f t="shared" si="510"/>
        <v>962078.2684375</v>
      </c>
      <c r="J197" s="7"/>
      <c r="K197" s="71">
        <f>SUM(K172:K196)</f>
        <v>715674.40749999997</v>
      </c>
      <c r="L197" s="71">
        <f t="shared" ref="L197:R197" si="511">SUM(L172:L196)</f>
        <v>0</v>
      </c>
      <c r="M197" s="71">
        <f t="shared" si="511"/>
        <v>236844.00000000003</v>
      </c>
      <c r="N197" s="71">
        <f t="shared" si="511"/>
        <v>0</v>
      </c>
      <c r="O197" s="71">
        <f t="shared" si="511"/>
        <v>0</v>
      </c>
      <c r="P197" s="71">
        <f t="shared" si="511"/>
        <v>800000</v>
      </c>
      <c r="Q197" s="71">
        <f t="shared" si="511"/>
        <v>0</v>
      </c>
      <c r="R197" s="71">
        <f t="shared" si="511"/>
        <v>1752518.4075</v>
      </c>
      <c r="T197" s="71">
        <f t="shared" ref="T197:AA197" si="512">SUM(T172:T196)</f>
        <v>852322.02437500004</v>
      </c>
      <c r="U197" s="71">
        <f t="shared" si="512"/>
        <v>0</v>
      </c>
      <c r="V197" s="71">
        <f t="shared" si="512"/>
        <v>138661.875</v>
      </c>
      <c r="W197" s="71">
        <f t="shared" si="512"/>
        <v>0</v>
      </c>
      <c r="X197" s="71">
        <f t="shared" si="512"/>
        <v>0</v>
      </c>
      <c r="Y197" s="71">
        <f t="shared" si="512"/>
        <v>800000</v>
      </c>
      <c r="Z197" s="71">
        <f t="shared" si="512"/>
        <v>0</v>
      </c>
      <c r="AA197" s="71">
        <f t="shared" si="512"/>
        <v>1790983.899375</v>
      </c>
      <c r="AC197" s="71">
        <f>SUM(AC172:AC196)</f>
        <v>1671046.014375</v>
      </c>
      <c r="AD197" s="71">
        <f t="shared" ref="AD197:AJ197" si="513">SUM(AD172:AD196)</f>
        <v>0</v>
      </c>
      <c r="AE197" s="71">
        <f t="shared" si="513"/>
        <v>756161.99999999988</v>
      </c>
      <c r="AF197" s="71">
        <f t="shared" si="513"/>
        <v>0</v>
      </c>
      <c r="AG197" s="71">
        <f t="shared" si="513"/>
        <v>0</v>
      </c>
      <c r="AH197" s="71">
        <f t="shared" si="513"/>
        <v>1250000</v>
      </c>
      <c r="AI197" s="71">
        <f t="shared" si="513"/>
        <v>0</v>
      </c>
      <c r="AJ197" s="71">
        <f t="shared" si="513"/>
        <v>3677208.0143749998</v>
      </c>
      <c r="AL197" s="71">
        <f>SUM(AL172:AL196)</f>
        <v>769161.45374999999</v>
      </c>
      <c r="AM197" s="71">
        <f t="shared" ref="AM197:AS197" si="514">SUM(AM172:AM196)</f>
        <v>0</v>
      </c>
      <c r="AN197" s="71">
        <f t="shared" si="514"/>
        <v>486405</v>
      </c>
      <c r="AO197" s="71">
        <f t="shared" si="514"/>
        <v>0</v>
      </c>
      <c r="AP197" s="71">
        <f t="shared" si="514"/>
        <v>0</v>
      </c>
      <c r="AQ197" s="71">
        <f t="shared" si="514"/>
        <v>2000000</v>
      </c>
      <c r="AR197" s="71">
        <f t="shared" si="514"/>
        <v>0</v>
      </c>
      <c r="AS197" s="71">
        <f t="shared" si="514"/>
        <v>3255566.4537499999</v>
      </c>
      <c r="AU197" s="71">
        <f>SUM(AU172:AU196)</f>
        <v>177243.1875</v>
      </c>
      <c r="AV197" s="71">
        <f t="shared" ref="AV197:BB197" si="515">SUM(AV172:AV196)</f>
        <v>0</v>
      </c>
      <c r="AW197" s="71">
        <f t="shared" si="515"/>
        <v>2835</v>
      </c>
      <c r="AX197" s="71">
        <f t="shared" si="515"/>
        <v>0</v>
      </c>
      <c r="AY197" s="71">
        <f t="shared" si="515"/>
        <v>0</v>
      </c>
      <c r="AZ197" s="71">
        <f t="shared" si="515"/>
        <v>0</v>
      </c>
      <c r="BA197" s="71">
        <f t="shared" si="515"/>
        <v>0</v>
      </c>
      <c r="BB197" s="71">
        <f t="shared" si="515"/>
        <v>180078.1875</v>
      </c>
      <c r="BD197" s="71">
        <f>SUM(BD172:BD196)</f>
        <v>303694.08999999997</v>
      </c>
      <c r="BE197" s="71">
        <f t="shared" ref="BE197:BK197" si="516">SUM(BE172:BE196)</f>
        <v>0</v>
      </c>
      <c r="BF197" s="71">
        <f t="shared" si="516"/>
        <v>515725.92</v>
      </c>
      <c r="BG197" s="71">
        <f t="shared" si="516"/>
        <v>0</v>
      </c>
      <c r="BH197" s="71">
        <f t="shared" si="516"/>
        <v>0</v>
      </c>
      <c r="BI197" s="71">
        <f t="shared" si="516"/>
        <v>50000</v>
      </c>
      <c r="BJ197" s="71">
        <f t="shared" si="516"/>
        <v>0</v>
      </c>
      <c r="BK197" s="71">
        <f t="shared" si="516"/>
        <v>869420.01</v>
      </c>
      <c r="BM197" s="71">
        <f>SUM(BM172:BM196)</f>
        <v>2500</v>
      </c>
      <c r="BN197" s="71">
        <f t="shared" ref="BN197:BT197" si="517">SUM(BN172:BN196)</f>
        <v>0</v>
      </c>
      <c r="BO197" s="71">
        <f t="shared" si="517"/>
        <v>0</v>
      </c>
      <c r="BP197" s="71">
        <f t="shared" si="517"/>
        <v>0</v>
      </c>
      <c r="BQ197" s="71">
        <f t="shared" si="517"/>
        <v>0</v>
      </c>
      <c r="BR197" s="71">
        <f t="shared" si="517"/>
        <v>0</v>
      </c>
      <c r="BS197" s="71">
        <f t="shared" si="517"/>
        <v>0</v>
      </c>
      <c r="BT197" s="71">
        <f t="shared" si="517"/>
        <v>2500</v>
      </c>
      <c r="BV197" s="71">
        <f>SUM(BV172:BV196)</f>
        <v>4864844.4459374994</v>
      </c>
      <c r="BW197" s="71">
        <f t="shared" ref="BW197:CB197" si="518">SUM(BW172:BW196)</f>
        <v>0</v>
      </c>
      <c r="BX197" s="71">
        <f t="shared" si="518"/>
        <v>2450508.7949999999</v>
      </c>
      <c r="BY197" s="71">
        <f t="shared" si="518"/>
        <v>0</v>
      </c>
      <c r="BZ197" s="71">
        <f t="shared" si="518"/>
        <v>0</v>
      </c>
      <c r="CA197" s="71">
        <f t="shared" si="518"/>
        <v>5175000</v>
      </c>
      <c r="CB197" s="71">
        <f t="shared" si="518"/>
        <v>0</v>
      </c>
      <c r="CC197" s="71">
        <f>SUM(CC172:CC196)</f>
        <v>12490353.240937499</v>
      </c>
    </row>
    <row r="198" spans="1:82" ht="15">
      <c r="A198" s="75" t="s">
        <v>178</v>
      </c>
      <c r="B198" s="18" t="str">
        <f t="shared" ref="B198:I198" si="519">B1</f>
        <v>Operating</v>
      </c>
      <c r="C198" s="18" t="str">
        <f t="shared" si="519"/>
        <v>SPED</v>
      </c>
      <c r="D198" s="18" t="str">
        <f t="shared" si="519"/>
        <v>NSLP</v>
      </c>
      <c r="E198" s="18" t="str">
        <f t="shared" si="519"/>
        <v>Other</v>
      </c>
      <c r="F198" s="18" t="str">
        <f t="shared" si="519"/>
        <v>Title I</v>
      </c>
      <c r="G198" s="18" t="str">
        <f t="shared" si="519"/>
        <v>SGF</v>
      </c>
      <c r="H198" s="18" t="str">
        <f t="shared" si="519"/>
        <v>Title III</v>
      </c>
      <c r="I198" s="18" t="str">
        <f t="shared" si="519"/>
        <v>Horizon</v>
      </c>
      <c r="J198" s="7"/>
      <c r="K198" s="18" t="str">
        <f t="shared" ref="K198:R198" si="520">K1</f>
        <v>Operating</v>
      </c>
      <c r="L198" s="18" t="str">
        <f t="shared" si="520"/>
        <v>SPED</v>
      </c>
      <c r="M198" s="18" t="str">
        <f t="shared" si="520"/>
        <v>NSLP</v>
      </c>
      <c r="N198" s="18" t="str">
        <f t="shared" si="520"/>
        <v>Other</v>
      </c>
      <c r="O198" s="18" t="str">
        <f t="shared" si="520"/>
        <v>Title I</v>
      </c>
      <c r="P198" s="18" t="str">
        <f t="shared" si="520"/>
        <v>SGF</v>
      </c>
      <c r="Q198" s="18" t="str">
        <f t="shared" si="520"/>
        <v>Title III</v>
      </c>
      <c r="R198" s="18" t="str">
        <f t="shared" si="520"/>
        <v>St. Rose</v>
      </c>
      <c r="T198" s="18" t="str">
        <f t="shared" ref="T198:AA198" si="521">T1</f>
        <v>Operating</v>
      </c>
      <c r="U198" s="18" t="str">
        <f t="shared" si="521"/>
        <v>SPED</v>
      </c>
      <c r="V198" s="18" t="str">
        <f t="shared" si="521"/>
        <v>NSLP</v>
      </c>
      <c r="W198" s="18" t="str">
        <f t="shared" si="521"/>
        <v>Other</v>
      </c>
      <c r="X198" s="18" t="str">
        <f t="shared" si="521"/>
        <v>Title I</v>
      </c>
      <c r="Y198" s="18" t="str">
        <f t="shared" si="521"/>
        <v>SGF</v>
      </c>
      <c r="Z198" s="18" t="str">
        <f t="shared" si="521"/>
        <v>Title III</v>
      </c>
      <c r="AA198" s="18" t="str">
        <f t="shared" si="521"/>
        <v>Inspirada</v>
      </c>
      <c r="AC198" s="18" t="str">
        <f t="shared" ref="AC198:AJ198" si="522">AC1</f>
        <v>Operating</v>
      </c>
      <c r="AD198" s="18" t="str">
        <f t="shared" si="522"/>
        <v>SPED</v>
      </c>
      <c r="AE198" s="18" t="str">
        <f t="shared" si="522"/>
        <v>NSLP</v>
      </c>
      <c r="AF198" s="18" t="str">
        <f t="shared" si="522"/>
        <v>Other</v>
      </c>
      <c r="AG198" s="18" t="str">
        <f t="shared" si="522"/>
        <v>Title I</v>
      </c>
      <c r="AH198" s="18" t="str">
        <f t="shared" si="522"/>
        <v>SGF</v>
      </c>
      <c r="AI198" s="18" t="str">
        <f t="shared" si="522"/>
        <v>Title III</v>
      </c>
      <c r="AJ198" s="18" t="str">
        <f t="shared" si="522"/>
        <v>Cadence</v>
      </c>
      <c r="AL198" s="18" t="str">
        <f t="shared" ref="AL198:AS198" si="523">AL1</f>
        <v>Operating</v>
      </c>
      <c r="AM198" s="18" t="str">
        <f t="shared" si="523"/>
        <v>SPED</v>
      </c>
      <c r="AN198" s="18" t="str">
        <f t="shared" si="523"/>
        <v>NSLP</v>
      </c>
      <c r="AO198" s="18" t="str">
        <f t="shared" si="523"/>
        <v>Other</v>
      </c>
      <c r="AP198" s="18" t="str">
        <f t="shared" si="523"/>
        <v>Title I</v>
      </c>
      <c r="AQ198" s="18" t="str">
        <f t="shared" si="523"/>
        <v>SGF</v>
      </c>
      <c r="AR198" s="18" t="str">
        <f t="shared" si="523"/>
        <v>Title III</v>
      </c>
      <c r="AS198" s="18" t="str">
        <f t="shared" si="523"/>
        <v>Sloan</v>
      </c>
      <c r="AU198" s="18" t="str">
        <f t="shared" ref="AU198:BB198" si="524">AU1</f>
        <v>Operating</v>
      </c>
      <c r="AV198" s="18" t="str">
        <f t="shared" si="524"/>
        <v>SPED</v>
      </c>
      <c r="AW198" s="18" t="str">
        <f t="shared" si="524"/>
        <v>NSLP</v>
      </c>
      <c r="AX198" s="18" t="str">
        <f t="shared" si="524"/>
        <v>Other</v>
      </c>
      <c r="AY198" s="18" t="str">
        <f t="shared" si="524"/>
        <v>Title I</v>
      </c>
      <c r="AZ198" s="18" t="str">
        <f t="shared" si="524"/>
        <v>SGF</v>
      </c>
      <c r="BA198" s="18" t="str">
        <f t="shared" si="524"/>
        <v>Title III</v>
      </c>
      <c r="BB198" s="18" t="str">
        <f t="shared" si="524"/>
        <v>Virtual</v>
      </c>
      <c r="BD198" s="18" t="str">
        <f t="shared" ref="BD198:BK198" si="525">BD1</f>
        <v>Operating</v>
      </c>
      <c r="BE198" s="18" t="str">
        <f t="shared" si="525"/>
        <v>SPED</v>
      </c>
      <c r="BF198" s="18" t="str">
        <f t="shared" si="525"/>
        <v>NSLP</v>
      </c>
      <c r="BG198" s="18" t="str">
        <f t="shared" si="525"/>
        <v>Other</v>
      </c>
      <c r="BH198" s="18" t="str">
        <f t="shared" si="525"/>
        <v>Title I</v>
      </c>
      <c r="BI198" s="18" t="str">
        <f t="shared" si="525"/>
        <v>SGF</v>
      </c>
      <c r="BJ198" s="18" t="str">
        <f t="shared" si="525"/>
        <v>Title III</v>
      </c>
      <c r="BK198" s="18" t="str">
        <f t="shared" si="525"/>
        <v>Springs</v>
      </c>
      <c r="BM198" s="18" t="str">
        <f t="shared" ref="BM198:BT198" si="526">BM1</f>
        <v>Operating</v>
      </c>
      <c r="BN198" s="18" t="str">
        <f t="shared" si="526"/>
        <v>SPED</v>
      </c>
      <c r="BO198" s="18" t="str">
        <f t="shared" si="526"/>
        <v>NSLP</v>
      </c>
      <c r="BP198" s="18" t="str">
        <f t="shared" si="526"/>
        <v>Other</v>
      </c>
      <c r="BQ198" s="18" t="str">
        <f t="shared" si="526"/>
        <v>Title I</v>
      </c>
      <c r="BR198" s="18" t="str">
        <f t="shared" si="526"/>
        <v>SGF</v>
      </c>
      <c r="BS198" s="18" t="str">
        <f t="shared" si="526"/>
        <v>Title III</v>
      </c>
      <c r="BT198" s="18" t="str">
        <f t="shared" si="526"/>
        <v>Exec. Office</v>
      </c>
      <c r="BV198" s="18" t="str">
        <f t="shared" ref="BV198:CC198" si="527">BV1</f>
        <v>Operating</v>
      </c>
      <c r="BW198" s="18" t="str">
        <f t="shared" si="527"/>
        <v>SPED</v>
      </c>
      <c r="BX198" s="18" t="str">
        <f t="shared" si="527"/>
        <v>NSLP</v>
      </c>
      <c r="BY198" s="18" t="str">
        <f t="shared" si="527"/>
        <v>Other</v>
      </c>
      <c r="BZ198" s="18" t="str">
        <f t="shared" si="527"/>
        <v>Title I</v>
      </c>
      <c r="CA198" s="18" t="str">
        <f t="shared" si="527"/>
        <v>SGF</v>
      </c>
      <c r="CB198" s="18" t="str">
        <f t="shared" si="527"/>
        <v>Title III</v>
      </c>
      <c r="CC198" s="18" t="str">
        <f t="shared" si="527"/>
        <v>Systemwide</v>
      </c>
    </row>
    <row r="199" spans="1:82">
      <c r="A199" s="81" t="s">
        <v>179</v>
      </c>
      <c r="B199" s="62">
        <f>'26-27'!B199*1.03</f>
        <v>131127.24</v>
      </c>
      <c r="C199" s="5"/>
      <c r="D199" s="5"/>
      <c r="E199" s="5"/>
      <c r="F199" s="5"/>
      <c r="G199" s="5"/>
      <c r="H199" s="5"/>
      <c r="I199" s="5">
        <f t="shared" ref="I199:I208" si="528">SUM(B199:H199)</f>
        <v>131127.24</v>
      </c>
      <c r="J199" s="6"/>
      <c r="K199" s="62">
        <f>'26-27'!K199*1.03</f>
        <v>114736.33500000001</v>
      </c>
      <c r="L199" s="5"/>
      <c r="M199" s="5"/>
      <c r="N199" s="5"/>
      <c r="O199" s="5"/>
      <c r="P199" s="5"/>
      <c r="Q199" s="5"/>
      <c r="R199" s="5">
        <f t="shared" ref="R199:R208" si="529">SUM(K199:Q199)</f>
        <v>114736.33500000001</v>
      </c>
      <c r="T199" s="62">
        <f>'26-27'!T199*1.03</f>
        <v>131127.24</v>
      </c>
      <c r="U199" s="5"/>
      <c r="V199" s="5"/>
      <c r="W199" s="5"/>
      <c r="X199" s="5"/>
      <c r="Y199" s="5"/>
      <c r="Z199" s="5"/>
      <c r="AA199" s="5">
        <f t="shared" ref="AA199:AA208" si="530">SUM(T199:Z199)</f>
        <v>131127.24</v>
      </c>
      <c r="AC199" s="62">
        <f>'26-27'!AC199*1.03</f>
        <v>316890.83</v>
      </c>
      <c r="AD199" s="5"/>
      <c r="AE199" s="5"/>
      <c r="AF199" s="5"/>
      <c r="AG199" s="5"/>
      <c r="AH199" s="5"/>
      <c r="AI199" s="5"/>
      <c r="AJ199" s="5">
        <f t="shared" ref="AJ199:AJ208" si="531">SUM(AC199:AI199)</f>
        <v>316890.83</v>
      </c>
      <c r="AL199" s="62">
        <f>'26-27'!AL199*1.03</f>
        <v>316890.83</v>
      </c>
      <c r="AM199" s="5"/>
      <c r="AN199" s="5"/>
      <c r="AO199" s="5"/>
      <c r="AP199" s="5"/>
      <c r="AQ199" s="5"/>
      <c r="AR199" s="5"/>
      <c r="AS199" s="5">
        <f t="shared" ref="AS199:AS208" si="532">SUM(AL199:AR199)</f>
        <v>316890.83</v>
      </c>
      <c r="AU199" s="83"/>
      <c r="AV199" s="5"/>
      <c r="AW199" s="5"/>
      <c r="AX199" s="5"/>
      <c r="AY199" s="5"/>
      <c r="AZ199" s="5"/>
      <c r="BA199" s="5"/>
      <c r="BB199" s="5">
        <f t="shared" ref="BB199:BB208" si="533">SUM(AU199:BA199)</f>
        <v>0</v>
      </c>
      <c r="BD199" s="62">
        <f>'26-27'!BD199*1.05</f>
        <v>18797.625</v>
      </c>
      <c r="BE199" s="5"/>
      <c r="BF199" s="5"/>
      <c r="BG199" s="5"/>
      <c r="BH199" s="5"/>
      <c r="BI199" s="5"/>
      <c r="BJ199" s="5"/>
      <c r="BK199" s="5">
        <f t="shared" ref="BK199:BK208" si="534">SUM(BD199:BJ199)</f>
        <v>18797.625</v>
      </c>
      <c r="BM199" s="83"/>
      <c r="BN199" s="5"/>
      <c r="BO199" s="5"/>
      <c r="BP199" s="5"/>
      <c r="BQ199" s="5"/>
      <c r="BR199" s="5"/>
      <c r="BS199" s="5"/>
      <c r="BT199" s="5">
        <f t="shared" ref="BT199:BT208" si="535">SUM(BM199:BS199)</f>
        <v>0</v>
      </c>
      <c r="BV199" s="5">
        <f t="shared" ref="BV199:CA208" si="536">B199+K199+T199+AC199+AL199+AU199+BD199+BM199</f>
        <v>1029570.1000000001</v>
      </c>
      <c r="BW199" s="5">
        <f t="shared" si="536"/>
        <v>0</v>
      </c>
      <c r="BX199" s="5">
        <f t="shared" si="536"/>
        <v>0</v>
      </c>
      <c r="BY199" s="5">
        <f t="shared" si="536"/>
        <v>0</v>
      </c>
      <c r="BZ199" s="5">
        <f t="shared" si="536"/>
        <v>0</v>
      </c>
      <c r="CA199" s="5">
        <f t="shared" si="536"/>
        <v>0</v>
      </c>
      <c r="CB199" s="5"/>
      <c r="CC199" s="5">
        <f t="shared" ref="CC199:CC208" si="537">SUM(BV199:CB199)</f>
        <v>1029570.1000000001</v>
      </c>
    </row>
    <row r="200" spans="1:82">
      <c r="A200" s="29" t="s">
        <v>180</v>
      </c>
      <c r="B200" s="62">
        <f>'26-27'!B200*1.03</f>
        <v>9288.1795000000002</v>
      </c>
      <c r="C200" s="5"/>
      <c r="D200" s="5"/>
      <c r="E200" s="5"/>
      <c r="F200" s="5"/>
      <c r="G200" s="5"/>
      <c r="H200" s="5"/>
      <c r="I200" s="5">
        <f t="shared" si="528"/>
        <v>9288.1795000000002</v>
      </c>
      <c r="K200" s="62">
        <f>'26-27'!K200*1.03</f>
        <v>0</v>
      </c>
      <c r="L200" s="5"/>
      <c r="M200" s="5"/>
      <c r="N200" s="5"/>
      <c r="O200" s="5"/>
      <c r="P200" s="5"/>
      <c r="Q200" s="5"/>
      <c r="R200" s="5">
        <f t="shared" si="529"/>
        <v>0</v>
      </c>
      <c r="T200" s="62">
        <f>'26-27'!T200*1.03</f>
        <v>0</v>
      </c>
      <c r="U200" s="5"/>
      <c r="V200" s="5"/>
      <c r="W200" s="5"/>
      <c r="X200" s="5"/>
      <c r="Y200" s="5"/>
      <c r="Z200" s="5"/>
      <c r="AA200" s="5">
        <f t="shared" si="530"/>
        <v>0</v>
      </c>
      <c r="AC200" s="62">
        <f>'26-27'!AC200*1.03</f>
        <v>0</v>
      </c>
      <c r="AD200" s="5"/>
      <c r="AE200" s="5"/>
      <c r="AF200" s="5"/>
      <c r="AG200" s="5"/>
      <c r="AH200" s="5"/>
      <c r="AI200" s="5"/>
      <c r="AJ200" s="5">
        <f t="shared" si="531"/>
        <v>0</v>
      </c>
      <c r="AL200" s="62">
        <f>'26-27'!AL200*1.03</f>
        <v>0</v>
      </c>
      <c r="AM200" s="5"/>
      <c r="AN200" s="5"/>
      <c r="AO200" s="5"/>
      <c r="AP200" s="5"/>
      <c r="AQ200" s="5"/>
      <c r="AR200" s="5"/>
      <c r="AS200" s="5">
        <f t="shared" si="532"/>
        <v>0</v>
      </c>
      <c r="AU200" s="62"/>
      <c r="AV200" s="5"/>
      <c r="AW200" s="5"/>
      <c r="AX200" s="5"/>
      <c r="AY200" s="5"/>
      <c r="AZ200" s="5"/>
      <c r="BA200" s="5"/>
      <c r="BB200" s="5">
        <f t="shared" si="533"/>
        <v>0</v>
      </c>
      <c r="BD200" s="62">
        <f>'26-27'!BD200*1.05</f>
        <v>1515.9375</v>
      </c>
      <c r="BE200" s="5"/>
      <c r="BF200" s="5"/>
      <c r="BG200" s="5"/>
      <c r="BH200" s="5"/>
      <c r="BI200" s="5"/>
      <c r="BJ200" s="5"/>
      <c r="BK200" s="5">
        <f t="shared" si="534"/>
        <v>1515.9375</v>
      </c>
      <c r="BM200" s="62"/>
      <c r="BN200" s="5"/>
      <c r="BO200" s="5"/>
      <c r="BP200" s="5"/>
      <c r="BQ200" s="5"/>
      <c r="BR200" s="5"/>
      <c r="BS200" s="5"/>
      <c r="BT200" s="5">
        <f t="shared" si="535"/>
        <v>0</v>
      </c>
      <c r="BV200" s="5">
        <f t="shared" si="536"/>
        <v>10804.117</v>
      </c>
      <c r="BW200" s="5">
        <f t="shared" si="536"/>
        <v>0</v>
      </c>
      <c r="BX200" s="5">
        <f t="shared" si="536"/>
        <v>0</v>
      </c>
      <c r="BY200" s="5">
        <f t="shared" si="536"/>
        <v>0</v>
      </c>
      <c r="BZ200" s="5">
        <f t="shared" si="536"/>
        <v>0</v>
      </c>
      <c r="CA200" s="5">
        <f t="shared" si="536"/>
        <v>0</v>
      </c>
      <c r="CB200" s="5"/>
      <c r="CC200" s="5">
        <f t="shared" si="537"/>
        <v>10804.117</v>
      </c>
    </row>
    <row r="201" spans="1:82">
      <c r="A201" s="29" t="s">
        <v>181</v>
      </c>
      <c r="B201" s="62">
        <f>'26-27'!B201*1.03</f>
        <v>35513.627500000002</v>
      </c>
      <c r="C201" s="5"/>
      <c r="D201" s="5"/>
      <c r="E201" s="5"/>
      <c r="F201" s="5"/>
      <c r="G201" s="5"/>
      <c r="H201" s="5"/>
      <c r="I201" s="5">
        <f t="shared" si="528"/>
        <v>35513.627500000002</v>
      </c>
      <c r="K201" s="62">
        <f>'26-27'!K201*1.03</f>
        <v>25132.721000000001</v>
      </c>
      <c r="L201" s="5"/>
      <c r="M201" s="5"/>
      <c r="N201" s="5"/>
      <c r="O201" s="5"/>
      <c r="P201" s="5"/>
      <c r="Q201" s="5"/>
      <c r="R201" s="5">
        <f t="shared" si="529"/>
        <v>25132.721000000001</v>
      </c>
      <c r="T201" s="62">
        <f>'26-27'!T201*1.03</f>
        <v>25679.084500000001</v>
      </c>
      <c r="U201" s="5"/>
      <c r="V201" s="5"/>
      <c r="W201" s="5"/>
      <c r="X201" s="5"/>
      <c r="Y201" s="5"/>
      <c r="Z201" s="5"/>
      <c r="AA201" s="5">
        <f t="shared" si="530"/>
        <v>25679.084500000001</v>
      </c>
      <c r="AC201" s="62">
        <f>'26-27'!AC201*1.03</f>
        <v>57368.167500000003</v>
      </c>
      <c r="AD201" s="5"/>
      <c r="AE201" s="5"/>
      <c r="AF201" s="5"/>
      <c r="AG201" s="5"/>
      <c r="AH201" s="5"/>
      <c r="AI201" s="5"/>
      <c r="AJ201" s="5">
        <f t="shared" si="531"/>
        <v>57368.167500000003</v>
      </c>
      <c r="AL201" s="62">
        <f>'26-27'!AL201*1.03</f>
        <v>43709.08</v>
      </c>
      <c r="AM201" s="5"/>
      <c r="AN201" s="5"/>
      <c r="AO201" s="5"/>
      <c r="AP201" s="5"/>
      <c r="AQ201" s="5"/>
      <c r="AR201" s="5"/>
      <c r="AS201" s="5">
        <f t="shared" si="532"/>
        <v>43709.08</v>
      </c>
      <c r="AU201" s="79"/>
      <c r="AV201" s="5"/>
      <c r="AW201" s="5"/>
      <c r="AX201" s="5"/>
      <c r="AY201" s="5"/>
      <c r="AZ201" s="5"/>
      <c r="BA201" s="5"/>
      <c r="BB201" s="5">
        <f t="shared" si="533"/>
        <v>0</v>
      </c>
      <c r="BD201" s="62">
        <f>'26-27'!BD201*1.05</f>
        <v>16978.500000000004</v>
      </c>
      <c r="BE201" s="5"/>
      <c r="BF201" s="5"/>
      <c r="BG201" s="5"/>
      <c r="BH201" s="5"/>
      <c r="BI201" s="5"/>
      <c r="BJ201" s="5"/>
      <c r="BK201" s="5">
        <f t="shared" si="534"/>
        <v>16978.500000000004</v>
      </c>
      <c r="BM201" s="79"/>
      <c r="BN201" s="5"/>
      <c r="BO201" s="5"/>
      <c r="BP201" s="5"/>
      <c r="BQ201" s="5"/>
      <c r="BR201" s="5"/>
      <c r="BS201" s="5"/>
      <c r="BT201" s="5">
        <f t="shared" si="535"/>
        <v>0</v>
      </c>
      <c r="BV201" s="5">
        <f t="shared" si="536"/>
        <v>204381.18050000002</v>
      </c>
      <c r="BW201" s="5">
        <f t="shared" si="536"/>
        <v>0</v>
      </c>
      <c r="BX201" s="5">
        <f t="shared" si="536"/>
        <v>0</v>
      </c>
      <c r="BY201" s="5">
        <f t="shared" si="536"/>
        <v>0</v>
      </c>
      <c r="BZ201" s="5">
        <f t="shared" si="536"/>
        <v>0</v>
      </c>
      <c r="CA201" s="5">
        <f t="shared" si="536"/>
        <v>0</v>
      </c>
      <c r="CB201" s="5"/>
      <c r="CC201" s="5">
        <f t="shared" si="537"/>
        <v>204381.18050000002</v>
      </c>
    </row>
    <row r="202" spans="1:82">
      <c r="A202" s="29" t="s">
        <v>182</v>
      </c>
      <c r="B202" s="62">
        <f>'26-27'!B202*1.03</f>
        <v>26225.448000000004</v>
      </c>
      <c r="C202" s="5"/>
      <c r="D202" s="5"/>
      <c r="E202" s="5"/>
      <c r="F202" s="5"/>
      <c r="G202" s="5"/>
      <c r="H202" s="5"/>
      <c r="I202" s="5">
        <f t="shared" si="528"/>
        <v>26225.448000000004</v>
      </c>
      <c r="K202" s="62">
        <f>'26-27'!K202*1.03</f>
        <v>20761.813000000002</v>
      </c>
      <c r="L202" s="5"/>
      <c r="M202" s="5"/>
      <c r="N202" s="5"/>
      <c r="O202" s="5"/>
      <c r="P202" s="5"/>
      <c r="Q202" s="5"/>
      <c r="R202" s="5">
        <f t="shared" si="529"/>
        <v>20761.813000000002</v>
      </c>
      <c r="T202" s="62">
        <f>'26-27'!T202*1.03</f>
        <v>36059.991000000002</v>
      </c>
      <c r="U202" s="5"/>
      <c r="V202" s="5"/>
      <c r="W202" s="5"/>
      <c r="X202" s="5"/>
      <c r="Y202" s="5"/>
      <c r="Z202" s="5"/>
      <c r="AA202" s="5">
        <f t="shared" si="530"/>
        <v>36059.991000000002</v>
      </c>
      <c r="AC202" s="62">
        <f>'26-27'!AC202*1.03</f>
        <v>67749.074000000008</v>
      </c>
      <c r="AD202" s="5"/>
      <c r="AE202" s="5"/>
      <c r="AF202" s="5"/>
      <c r="AG202" s="5"/>
      <c r="AH202" s="5"/>
      <c r="AI202" s="5"/>
      <c r="AJ202" s="5">
        <f t="shared" si="531"/>
        <v>67749.074000000008</v>
      </c>
      <c r="AL202" s="62">
        <f>'26-27'!AL202*1.03</f>
        <v>68295.4375</v>
      </c>
      <c r="AM202" s="5"/>
      <c r="AN202" s="5"/>
      <c r="AO202" s="5"/>
      <c r="AP202" s="5"/>
      <c r="AQ202" s="5"/>
      <c r="AR202" s="5"/>
      <c r="AS202" s="5">
        <f t="shared" si="532"/>
        <v>68295.4375</v>
      </c>
      <c r="AU202" s="79"/>
      <c r="AV202" s="5"/>
      <c r="AW202" s="5"/>
      <c r="AX202" s="5"/>
      <c r="AY202" s="5"/>
      <c r="AZ202" s="5"/>
      <c r="BA202" s="5"/>
      <c r="BB202" s="5">
        <f t="shared" si="533"/>
        <v>0</v>
      </c>
      <c r="BD202" s="62">
        <f>'26-27'!BD202*1.05</f>
        <v>16372.125000000002</v>
      </c>
      <c r="BE202" s="5"/>
      <c r="BF202" s="5"/>
      <c r="BG202" s="5"/>
      <c r="BH202" s="5"/>
      <c r="BI202" s="5"/>
      <c r="BJ202" s="5"/>
      <c r="BK202" s="5">
        <f t="shared" si="534"/>
        <v>16372.125000000002</v>
      </c>
      <c r="BM202" s="79"/>
      <c r="BN202" s="5"/>
      <c r="BO202" s="5"/>
      <c r="BP202" s="5"/>
      <c r="BQ202" s="5"/>
      <c r="BR202" s="5"/>
      <c r="BS202" s="5"/>
      <c r="BT202" s="5">
        <f t="shared" si="535"/>
        <v>0</v>
      </c>
      <c r="BV202" s="5">
        <f t="shared" si="536"/>
        <v>235463.8885</v>
      </c>
      <c r="BW202" s="5">
        <f t="shared" si="536"/>
        <v>0</v>
      </c>
      <c r="BX202" s="5">
        <f t="shared" si="536"/>
        <v>0</v>
      </c>
      <c r="BY202" s="5">
        <f t="shared" si="536"/>
        <v>0</v>
      </c>
      <c r="BZ202" s="5">
        <f t="shared" si="536"/>
        <v>0</v>
      </c>
      <c r="CA202" s="5">
        <f t="shared" si="536"/>
        <v>0</v>
      </c>
      <c r="CB202" s="5"/>
      <c r="CC202" s="5">
        <f t="shared" si="537"/>
        <v>235463.8885</v>
      </c>
    </row>
    <row r="203" spans="1:82">
      <c r="A203" s="29" t="s">
        <v>183</v>
      </c>
      <c r="B203" s="62">
        <f>'26-27'!B203*1.03</f>
        <v>13659.0875</v>
      </c>
      <c r="C203" s="5"/>
      <c r="D203" s="5"/>
      <c r="E203" s="5"/>
      <c r="F203" s="5"/>
      <c r="G203" s="5"/>
      <c r="H203" s="5"/>
      <c r="I203" s="5">
        <f t="shared" si="528"/>
        <v>13659.0875</v>
      </c>
      <c r="K203" s="62">
        <f>'26-27'!K203*1.03</f>
        <v>9288.1795000000002</v>
      </c>
      <c r="L203" s="5"/>
      <c r="M203" s="5"/>
      <c r="N203" s="5"/>
      <c r="O203" s="5"/>
      <c r="P203" s="5"/>
      <c r="Q203" s="5"/>
      <c r="R203" s="5">
        <f t="shared" si="529"/>
        <v>9288.1795000000002</v>
      </c>
      <c r="T203" s="62">
        <f>'26-27'!T203*1.03</f>
        <v>16390.904999999999</v>
      </c>
      <c r="U203" s="5"/>
      <c r="V203" s="5"/>
      <c r="W203" s="5"/>
      <c r="X203" s="5"/>
      <c r="Y203" s="5"/>
      <c r="Z203" s="5"/>
      <c r="AA203" s="5">
        <f t="shared" si="530"/>
        <v>16390.904999999999</v>
      </c>
      <c r="AC203" s="62">
        <f>'26-27'!AC203*1.03</f>
        <v>36715.627199999995</v>
      </c>
      <c r="AD203" s="5"/>
      <c r="AE203" s="5"/>
      <c r="AF203" s="5"/>
      <c r="AG203" s="5"/>
      <c r="AH203" s="5"/>
      <c r="AI203" s="5"/>
      <c r="AJ203" s="5">
        <f t="shared" si="531"/>
        <v>36715.627199999995</v>
      </c>
      <c r="AL203" s="62">
        <f>'26-27'!AL203*1.03</f>
        <v>17898.868260000003</v>
      </c>
      <c r="AM203" s="5"/>
      <c r="AN203" s="5"/>
      <c r="AO203" s="5"/>
      <c r="AP203" s="5"/>
      <c r="AQ203" s="5"/>
      <c r="AR203" s="5"/>
      <c r="AS203" s="5">
        <f t="shared" si="532"/>
        <v>17898.868260000003</v>
      </c>
      <c r="AU203" s="79"/>
      <c r="AV203" s="5"/>
      <c r="AW203" s="5"/>
      <c r="AX203" s="5"/>
      <c r="AY203" s="5"/>
      <c r="AZ203" s="5"/>
      <c r="BA203" s="5"/>
      <c r="BB203" s="5">
        <f t="shared" si="533"/>
        <v>0</v>
      </c>
      <c r="BD203" s="62">
        <f>'26-27'!BD203*1.05</f>
        <v>7276.5000000000009</v>
      </c>
      <c r="BE203" s="5"/>
      <c r="BF203" s="5"/>
      <c r="BG203" s="5"/>
      <c r="BH203" s="5"/>
      <c r="BI203" s="5"/>
      <c r="BJ203" s="5"/>
      <c r="BK203" s="5">
        <f t="shared" si="534"/>
        <v>7276.5000000000009</v>
      </c>
      <c r="BM203" s="79"/>
      <c r="BN203" s="5"/>
      <c r="BO203" s="5"/>
      <c r="BP203" s="5"/>
      <c r="BQ203" s="5"/>
      <c r="BR203" s="5"/>
      <c r="BS203" s="5"/>
      <c r="BT203" s="5">
        <f t="shared" si="535"/>
        <v>0</v>
      </c>
      <c r="BV203" s="5">
        <f t="shared" si="536"/>
        <v>101229.16746</v>
      </c>
      <c r="BW203" s="5">
        <f t="shared" si="536"/>
        <v>0</v>
      </c>
      <c r="BX203" s="5">
        <f t="shared" si="536"/>
        <v>0</v>
      </c>
      <c r="BY203" s="5">
        <f t="shared" si="536"/>
        <v>0</v>
      </c>
      <c r="BZ203" s="5">
        <f t="shared" si="536"/>
        <v>0</v>
      </c>
      <c r="CA203" s="5">
        <f t="shared" si="536"/>
        <v>0</v>
      </c>
      <c r="CB203" s="5"/>
      <c r="CC203" s="5">
        <f t="shared" si="537"/>
        <v>101229.16746</v>
      </c>
    </row>
    <row r="204" spans="1:82">
      <c r="A204" s="29" t="s">
        <v>184</v>
      </c>
      <c r="B204" s="62">
        <f>'26-27'!B204*1.03</f>
        <v>120746.33349999999</v>
      </c>
      <c r="C204" s="5"/>
      <c r="D204" s="5"/>
      <c r="E204" s="5"/>
      <c r="F204" s="5"/>
      <c r="G204" s="5"/>
      <c r="H204" s="5"/>
      <c r="I204" s="5">
        <f t="shared" si="528"/>
        <v>120746.33349999999</v>
      </c>
      <c r="K204" s="62">
        <f>'26-27'!K204*1.03</f>
        <v>111512.79035000001</v>
      </c>
      <c r="L204" s="5"/>
      <c r="M204" s="5"/>
      <c r="N204" s="5"/>
      <c r="O204" s="5"/>
      <c r="P204" s="5"/>
      <c r="Q204" s="5"/>
      <c r="R204" s="5">
        <f t="shared" si="529"/>
        <v>111512.79035000001</v>
      </c>
      <c r="T204" s="62">
        <f>'26-27'!T204*1.03</f>
        <v>129269.60410000001</v>
      </c>
      <c r="U204" s="5"/>
      <c r="V204" s="5"/>
      <c r="W204" s="5"/>
      <c r="X204" s="5"/>
      <c r="Y204" s="5"/>
      <c r="Z204" s="5"/>
      <c r="AA204" s="5">
        <f t="shared" si="530"/>
        <v>129269.60410000001</v>
      </c>
      <c r="AC204" s="62">
        <f>'26-27'!AC204*1.03</f>
        <v>313667.28535000002</v>
      </c>
      <c r="AD204" s="5"/>
      <c r="AE204" s="5"/>
      <c r="AF204" s="5"/>
      <c r="AG204" s="5"/>
      <c r="AH204" s="5"/>
      <c r="AI204" s="5"/>
      <c r="AJ204" s="5">
        <f t="shared" si="531"/>
        <v>313667.28535000002</v>
      </c>
      <c r="AL204" s="62">
        <f>'26-27'!AL204*1.03</f>
        <v>527459.32290000003</v>
      </c>
      <c r="AM204" s="5"/>
      <c r="AN204" s="5"/>
      <c r="AO204" s="5"/>
      <c r="AP204" s="5"/>
      <c r="AQ204" s="5"/>
      <c r="AR204" s="5"/>
      <c r="AS204" s="5">
        <f t="shared" si="532"/>
        <v>527459.32290000003</v>
      </c>
      <c r="AU204" s="62"/>
      <c r="AV204" s="5"/>
      <c r="AW204" s="5"/>
      <c r="AX204" s="5"/>
      <c r="AY204" s="5"/>
      <c r="AZ204" s="5"/>
      <c r="BA204" s="5"/>
      <c r="BB204" s="5">
        <f t="shared" si="533"/>
        <v>0</v>
      </c>
      <c r="BD204" s="62">
        <f>'26-27'!BD204*1.03</f>
        <v>0</v>
      </c>
      <c r="BE204" s="5"/>
      <c r="BF204" s="5"/>
      <c r="BG204" s="5"/>
      <c r="BH204" s="5"/>
      <c r="BI204" s="5"/>
      <c r="BJ204" s="5"/>
      <c r="BK204" s="5">
        <f t="shared" si="534"/>
        <v>0</v>
      </c>
      <c r="BM204" s="62"/>
      <c r="BN204" s="5"/>
      <c r="BO204" s="5"/>
      <c r="BP204" s="5"/>
      <c r="BQ204" s="5"/>
      <c r="BR204" s="5"/>
      <c r="BS204" s="5"/>
      <c r="BT204" s="5">
        <f t="shared" si="535"/>
        <v>0</v>
      </c>
      <c r="BV204" s="5">
        <f t="shared" si="536"/>
        <v>1202655.3362</v>
      </c>
      <c r="BW204" s="5">
        <f t="shared" si="536"/>
        <v>0</v>
      </c>
      <c r="BX204" s="5">
        <f t="shared" si="536"/>
        <v>0</v>
      </c>
      <c r="BY204" s="5">
        <f t="shared" si="536"/>
        <v>0</v>
      </c>
      <c r="BZ204" s="5">
        <f t="shared" si="536"/>
        <v>0</v>
      </c>
      <c r="CA204" s="5">
        <f t="shared" si="536"/>
        <v>0</v>
      </c>
      <c r="CB204" s="5"/>
      <c r="CC204" s="5">
        <f t="shared" si="537"/>
        <v>1202655.3362</v>
      </c>
    </row>
    <row r="205" spans="1:82">
      <c r="A205" s="29" t="s">
        <v>185</v>
      </c>
      <c r="B205" s="11">
        <v>90000</v>
      </c>
      <c r="C205" s="5"/>
      <c r="D205" s="5"/>
      <c r="E205" s="5"/>
      <c r="F205" s="5"/>
      <c r="G205" s="5"/>
      <c r="H205" s="5"/>
      <c r="I205" s="5">
        <f t="shared" si="528"/>
        <v>90000</v>
      </c>
      <c r="K205" s="11">
        <v>100000</v>
      </c>
      <c r="L205" s="5"/>
      <c r="M205" s="5"/>
      <c r="N205" s="5"/>
      <c r="O205" s="5"/>
      <c r="P205" s="5"/>
      <c r="Q205" s="5"/>
      <c r="R205" s="5">
        <f t="shared" si="529"/>
        <v>100000</v>
      </c>
      <c r="T205" s="11">
        <v>145000</v>
      </c>
      <c r="U205" s="5"/>
      <c r="V205" s="5"/>
      <c r="W205" s="5"/>
      <c r="X205" s="5"/>
      <c r="Y205" s="5"/>
      <c r="Z205" s="5"/>
      <c r="AA205" s="5">
        <f t="shared" si="530"/>
        <v>145000</v>
      </c>
      <c r="AC205" s="11">
        <v>225000</v>
      </c>
      <c r="AD205" s="5"/>
      <c r="AE205" s="5"/>
      <c r="AF205" s="5">
        <v>0</v>
      </c>
      <c r="AG205" s="5"/>
      <c r="AH205" s="5"/>
      <c r="AI205" s="5"/>
      <c r="AJ205" s="5">
        <f t="shared" si="531"/>
        <v>225000</v>
      </c>
      <c r="AL205" s="11">
        <v>150000</v>
      </c>
      <c r="AM205" s="5"/>
      <c r="AN205" s="5"/>
      <c r="AO205" s="5">
        <v>0</v>
      </c>
      <c r="AP205" s="5"/>
      <c r="AQ205" s="5"/>
      <c r="AR205" s="5"/>
      <c r="AS205" s="5">
        <f t="shared" si="532"/>
        <v>150000</v>
      </c>
      <c r="AU205" s="11"/>
      <c r="AV205" s="5"/>
      <c r="AW205" s="5"/>
      <c r="AX205" s="5"/>
      <c r="AY205" s="5"/>
      <c r="AZ205" s="5"/>
      <c r="BA205" s="5"/>
      <c r="BB205" s="5">
        <f t="shared" si="533"/>
        <v>0</v>
      </c>
      <c r="BD205" s="11">
        <v>40000</v>
      </c>
      <c r="BE205" s="5"/>
      <c r="BF205" s="5"/>
      <c r="BG205" s="5"/>
      <c r="BH205" s="5"/>
      <c r="BI205" s="5"/>
      <c r="BJ205" s="5"/>
      <c r="BK205" s="5">
        <f t="shared" si="534"/>
        <v>40000</v>
      </c>
      <c r="BM205" s="11"/>
      <c r="BN205" s="5"/>
      <c r="BO205" s="5"/>
      <c r="BP205" s="5"/>
      <c r="BQ205" s="5"/>
      <c r="BR205" s="5"/>
      <c r="BS205" s="5"/>
      <c r="BT205" s="5">
        <f t="shared" si="535"/>
        <v>0</v>
      </c>
      <c r="BV205" s="5">
        <f t="shared" si="536"/>
        <v>750000</v>
      </c>
      <c r="BW205" s="5">
        <f t="shared" si="536"/>
        <v>0</v>
      </c>
      <c r="BX205" s="5">
        <f t="shared" si="536"/>
        <v>0</v>
      </c>
      <c r="BY205" s="5">
        <f t="shared" si="536"/>
        <v>0</v>
      </c>
      <c r="BZ205" s="5">
        <f t="shared" si="536"/>
        <v>0</v>
      </c>
      <c r="CA205" s="5">
        <f t="shared" si="536"/>
        <v>0</v>
      </c>
      <c r="CB205" s="5"/>
      <c r="CC205" s="5">
        <f t="shared" si="537"/>
        <v>750000</v>
      </c>
    </row>
    <row r="206" spans="1:82">
      <c r="A206" s="29" t="s">
        <v>186</v>
      </c>
      <c r="B206" s="11">
        <v>0</v>
      </c>
      <c r="C206" s="5"/>
      <c r="D206" s="5"/>
      <c r="E206" s="5"/>
      <c r="F206" s="5"/>
      <c r="G206" s="5"/>
      <c r="H206" s="5"/>
      <c r="I206" s="5">
        <f t="shared" si="528"/>
        <v>0</v>
      </c>
      <c r="K206" s="11">
        <v>0</v>
      </c>
      <c r="L206" s="5"/>
      <c r="M206" s="5"/>
      <c r="N206" s="5"/>
      <c r="O206" s="5"/>
      <c r="P206" s="5"/>
      <c r="Q206" s="5"/>
      <c r="R206" s="5">
        <f t="shared" si="529"/>
        <v>0</v>
      </c>
      <c r="T206" s="11">
        <v>0</v>
      </c>
      <c r="U206" s="5"/>
      <c r="V206" s="5"/>
      <c r="W206" s="5"/>
      <c r="X206" s="5"/>
      <c r="Y206" s="5"/>
      <c r="Z206" s="5"/>
      <c r="AA206" s="5">
        <f t="shared" si="530"/>
        <v>0</v>
      </c>
      <c r="AC206" s="11">
        <v>0</v>
      </c>
      <c r="AD206" s="5"/>
      <c r="AE206" s="5"/>
      <c r="AF206" s="5"/>
      <c r="AG206" s="5"/>
      <c r="AH206" s="5"/>
      <c r="AI206" s="5"/>
      <c r="AJ206" s="5">
        <f t="shared" si="531"/>
        <v>0</v>
      </c>
      <c r="AL206" s="11">
        <v>0</v>
      </c>
      <c r="AM206" s="5"/>
      <c r="AN206" s="5"/>
      <c r="AO206" s="5"/>
      <c r="AP206" s="5"/>
      <c r="AQ206" s="5"/>
      <c r="AR206" s="5"/>
      <c r="AS206" s="5">
        <f t="shared" si="532"/>
        <v>0</v>
      </c>
      <c r="AU206" s="11"/>
      <c r="AV206" s="5"/>
      <c r="AW206" s="5"/>
      <c r="AX206" s="5"/>
      <c r="AY206" s="5"/>
      <c r="AZ206" s="5"/>
      <c r="BA206" s="5"/>
      <c r="BB206" s="5">
        <f t="shared" si="533"/>
        <v>0</v>
      </c>
      <c r="BD206" s="11">
        <v>0</v>
      </c>
      <c r="BE206" s="5"/>
      <c r="BF206" s="5"/>
      <c r="BG206" s="5"/>
      <c r="BH206" s="5"/>
      <c r="BI206" s="5"/>
      <c r="BJ206" s="5"/>
      <c r="BK206" s="5">
        <f t="shared" si="534"/>
        <v>0</v>
      </c>
      <c r="BM206" s="11"/>
      <c r="BN206" s="5"/>
      <c r="BO206" s="5"/>
      <c r="BP206" s="5"/>
      <c r="BQ206" s="5"/>
      <c r="BR206" s="5"/>
      <c r="BS206" s="5"/>
      <c r="BT206" s="5">
        <f t="shared" si="535"/>
        <v>0</v>
      </c>
      <c r="BV206" s="5">
        <f t="shared" si="536"/>
        <v>0</v>
      </c>
      <c r="BW206" s="5">
        <f t="shared" si="536"/>
        <v>0</v>
      </c>
      <c r="BX206" s="5">
        <f t="shared" si="536"/>
        <v>0</v>
      </c>
      <c r="BY206" s="5">
        <f t="shared" si="536"/>
        <v>0</v>
      </c>
      <c r="BZ206" s="5">
        <f t="shared" si="536"/>
        <v>0</v>
      </c>
      <c r="CA206" s="5">
        <f t="shared" si="536"/>
        <v>0</v>
      </c>
      <c r="CB206" s="5"/>
      <c r="CC206" s="5">
        <f t="shared" si="537"/>
        <v>0</v>
      </c>
    </row>
    <row r="207" spans="1:82">
      <c r="A207" s="29" t="s">
        <v>187</v>
      </c>
      <c r="B207" s="62">
        <f>'26-27'!B207*1.03</f>
        <v>30377.810600000001</v>
      </c>
      <c r="C207" s="5"/>
      <c r="D207" s="5"/>
      <c r="E207" s="5"/>
      <c r="F207" s="5"/>
      <c r="G207" s="5"/>
      <c r="H207" s="5"/>
      <c r="I207" s="5">
        <f t="shared" si="528"/>
        <v>30377.810600000001</v>
      </c>
      <c r="K207" s="62">
        <f>'26-27'!K207*1.03</f>
        <v>25219.046433</v>
      </c>
      <c r="L207" s="5"/>
      <c r="M207" s="5"/>
      <c r="N207" s="5"/>
      <c r="O207" s="5"/>
      <c r="P207" s="5"/>
      <c r="Q207" s="5"/>
      <c r="R207" s="5">
        <f t="shared" si="529"/>
        <v>25219.046433</v>
      </c>
      <c r="T207" s="62">
        <f>'26-27'!T207*1.03</f>
        <v>25340.33913</v>
      </c>
      <c r="U207" s="5"/>
      <c r="V207" s="5"/>
      <c r="W207" s="5"/>
      <c r="X207" s="5"/>
      <c r="Y207" s="5"/>
      <c r="Z207" s="5"/>
      <c r="AA207" s="5">
        <f t="shared" si="530"/>
        <v>25340.33913</v>
      </c>
      <c r="AC207" s="62">
        <f>'26-27'!AC207*1.03</f>
        <v>38376.572240000001</v>
      </c>
      <c r="AD207" s="5"/>
      <c r="AE207" s="5"/>
      <c r="AF207" s="5"/>
      <c r="AG207" s="5"/>
      <c r="AH207" s="5"/>
      <c r="AI207" s="5"/>
      <c r="AJ207" s="5">
        <f t="shared" si="531"/>
        <v>38376.572240000001</v>
      </c>
      <c r="AL207" s="62">
        <f>'26-27'!AL207*1.03</f>
        <v>39294.462920000005</v>
      </c>
      <c r="AM207" s="5"/>
      <c r="AN207" s="5"/>
      <c r="AO207" s="5"/>
      <c r="AP207" s="5"/>
      <c r="AQ207" s="5"/>
      <c r="AR207" s="5"/>
      <c r="AS207" s="5">
        <f t="shared" si="532"/>
        <v>39294.462920000005</v>
      </c>
      <c r="AU207" s="62"/>
      <c r="AV207" s="5"/>
      <c r="AW207" s="5"/>
      <c r="AX207" s="5"/>
      <c r="AY207" s="5"/>
      <c r="AZ207" s="5"/>
      <c r="BA207" s="5"/>
      <c r="BB207" s="5">
        <f t="shared" si="533"/>
        <v>0</v>
      </c>
      <c r="BD207" s="62">
        <f>'26-27'!BD207*1.03</f>
        <v>0</v>
      </c>
      <c r="BE207" s="5"/>
      <c r="BF207" s="5"/>
      <c r="BG207" s="5"/>
      <c r="BH207" s="5"/>
      <c r="BI207" s="5"/>
      <c r="BJ207" s="5"/>
      <c r="BK207" s="5">
        <f t="shared" si="534"/>
        <v>0</v>
      </c>
      <c r="BM207" s="62"/>
      <c r="BN207" s="5"/>
      <c r="BO207" s="5"/>
      <c r="BP207" s="5"/>
      <c r="BQ207" s="5"/>
      <c r="BR207" s="5"/>
      <c r="BS207" s="5"/>
      <c r="BT207" s="5">
        <f t="shared" si="535"/>
        <v>0</v>
      </c>
      <c r="BV207" s="5">
        <f t="shared" si="536"/>
        <v>158608.23132299999</v>
      </c>
      <c r="BW207" s="5">
        <f t="shared" si="536"/>
        <v>0</v>
      </c>
      <c r="BX207" s="5">
        <f t="shared" si="536"/>
        <v>0</v>
      </c>
      <c r="BY207" s="5">
        <f t="shared" si="536"/>
        <v>0</v>
      </c>
      <c r="BZ207" s="5">
        <f t="shared" si="536"/>
        <v>0</v>
      </c>
      <c r="CA207" s="5">
        <f t="shared" si="536"/>
        <v>0</v>
      </c>
      <c r="CB207" s="5"/>
      <c r="CC207" s="5">
        <f t="shared" si="537"/>
        <v>158608.23132299999</v>
      </c>
    </row>
    <row r="208" spans="1:82">
      <c r="A208" s="78" t="s">
        <v>188</v>
      </c>
      <c r="B208" s="62">
        <f>'26-27'!B208*1.03</f>
        <v>43844.578148000001</v>
      </c>
      <c r="C208" s="5"/>
      <c r="D208" s="5"/>
      <c r="E208" s="5"/>
      <c r="F208" s="5"/>
      <c r="G208" s="5"/>
      <c r="H208" s="5"/>
      <c r="I208" s="5">
        <f t="shared" si="528"/>
        <v>43844.578148000001</v>
      </c>
      <c r="K208" s="62">
        <f>'26-27'!K208*1.03</f>
        <v>27755.265800000001</v>
      </c>
      <c r="L208" s="5"/>
      <c r="M208" s="5"/>
      <c r="N208" s="5"/>
      <c r="O208" s="5"/>
      <c r="P208" s="5"/>
      <c r="Q208" s="5"/>
      <c r="R208" s="5">
        <f t="shared" si="529"/>
        <v>27755.265800000001</v>
      </c>
      <c r="T208" s="62">
        <f>'26-27'!T208*1.03</f>
        <v>30930.293371200001</v>
      </c>
      <c r="U208" s="5"/>
      <c r="V208" s="5"/>
      <c r="W208" s="5"/>
      <c r="X208" s="5"/>
      <c r="Y208" s="5"/>
      <c r="Z208" s="5"/>
      <c r="AA208" s="5">
        <f t="shared" si="530"/>
        <v>30930.293371200001</v>
      </c>
      <c r="AC208" s="62">
        <f>'26-27'!AC208*1.03</f>
        <v>58833.951497800001</v>
      </c>
      <c r="AD208" s="5"/>
      <c r="AE208" s="5"/>
      <c r="AF208" s="5"/>
      <c r="AG208" s="5"/>
      <c r="AH208" s="5"/>
      <c r="AI208" s="5"/>
      <c r="AJ208" s="5">
        <f t="shared" si="531"/>
        <v>58833.951497800001</v>
      </c>
      <c r="AL208" s="62">
        <f>'26-27'!AL208*1.03</f>
        <v>35710.318359999997</v>
      </c>
      <c r="AM208" s="5"/>
      <c r="AN208" s="5"/>
      <c r="AO208" s="5"/>
      <c r="AP208" s="5"/>
      <c r="AQ208" s="5"/>
      <c r="AR208" s="5"/>
      <c r="AS208" s="5">
        <f t="shared" si="532"/>
        <v>35710.318359999997</v>
      </c>
      <c r="AU208" s="84"/>
      <c r="AV208" s="5"/>
      <c r="AW208" s="5"/>
      <c r="AX208" s="5"/>
      <c r="AY208" s="5"/>
      <c r="AZ208" s="5"/>
      <c r="BA208" s="5"/>
      <c r="BB208" s="5">
        <f t="shared" si="533"/>
        <v>0</v>
      </c>
      <c r="BD208" s="62">
        <f>'26-27'!BD208*1.03</f>
        <v>12566.360500000001</v>
      </c>
      <c r="BE208" s="5"/>
      <c r="BF208" s="5"/>
      <c r="BG208" s="5"/>
      <c r="BH208" s="5"/>
      <c r="BI208" s="5"/>
      <c r="BJ208" s="5"/>
      <c r="BK208" s="5">
        <f t="shared" si="534"/>
        <v>12566.360500000001</v>
      </c>
      <c r="BM208" s="84"/>
      <c r="BN208" s="5"/>
      <c r="BO208" s="5"/>
      <c r="BP208" s="5"/>
      <c r="BQ208" s="5"/>
      <c r="BR208" s="5"/>
      <c r="BS208" s="5"/>
      <c r="BT208" s="5">
        <f t="shared" si="535"/>
        <v>0</v>
      </c>
      <c r="BV208" s="5">
        <f t="shared" si="536"/>
        <v>209640.76767700003</v>
      </c>
      <c r="BW208" s="5">
        <f t="shared" si="536"/>
        <v>0</v>
      </c>
      <c r="BX208" s="5">
        <f t="shared" si="536"/>
        <v>0</v>
      </c>
      <c r="BY208" s="5">
        <f t="shared" si="536"/>
        <v>0</v>
      </c>
      <c r="BZ208" s="5">
        <f t="shared" si="536"/>
        <v>0</v>
      </c>
      <c r="CA208" s="5">
        <f t="shared" si="536"/>
        <v>0</v>
      </c>
      <c r="CB208" s="5"/>
      <c r="CC208" s="5">
        <f t="shared" si="537"/>
        <v>209640.76767700003</v>
      </c>
    </row>
    <row r="209" spans="1:81" ht="15">
      <c r="A209" s="70" t="s">
        <v>189</v>
      </c>
      <c r="B209" s="71">
        <f t="shared" ref="B209:I209" si="538">SUM(B199:B208)</f>
        <v>500782.304748</v>
      </c>
      <c r="C209" s="71">
        <f t="shared" si="538"/>
        <v>0</v>
      </c>
      <c r="D209" s="71">
        <f t="shared" si="538"/>
        <v>0</v>
      </c>
      <c r="E209" s="71">
        <f t="shared" si="538"/>
        <v>0</v>
      </c>
      <c r="F209" s="71">
        <f t="shared" si="538"/>
        <v>0</v>
      </c>
      <c r="G209" s="71">
        <f t="shared" si="538"/>
        <v>0</v>
      </c>
      <c r="H209" s="71">
        <f t="shared" si="538"/>
        <v>0</v>
      </c>
      <c r="I209" s="71">
        <f t="shared" si="538"/>
        <v>500782.304748</v>
      </c>
      <c r="J209" s="7"/>
      <c r="K209" s="71">
        <f>SUM(K199:K208)</f>
        <v>434406.151083</v>
      </c>
      <c r="L209" s="71">
        <f t="shared" ref="L209:R209" si="539">SUM(L199:L208)</f>
        <v>0</v>
      </c>
      <c r="M209" s="71">
        <f t="shared" si="539"/>
        <v>0</v>
      </c>
      <c r="N209" s="71">
        <f t="shared" si="539"/>
        <v>0</v>
      </c>
      <c r="O209" s="71">
        <f t="shared" si="539"/>
        <v>0</v>
      </c>
      <c r="P209" s="71">
        <f t="shared" si="539"/>
        <v>0</v>
      </c>
      <c r="Q209" s="71">
        <f t="shared" si="539"/>
        <v>0</v>
      </c>
      <c r="R209" s="71">
        <f t="shared" si="539"/>
        <v>434406.151083</v>
      </c>
      <c r="T209" s="71">
        <f t="shared" ref="T209:AA209" si="540">SUM(T199:T208)</f>
        <v>539797.45710120001</v>
      </c>
      <c r="U209" s="71">
        <f t="shared" si="540"/>
        <v>0</v>
      </c>
      <c r="V209" s="71">
        <f t="shared" si="540"/>
        <v>0</v>
      </c>
      <c r="W209" s="71">
        <f t="shared" si="540"/>
        <v>0</v>
      </c>
      <c r="X209" s="71">
        <f t="shared" si="540"/>
        <v>0</v>
      </c>
      <c r="Y209" s="71">
        <f t="shared" si="540"/>
        <v>0</v>
      </c>
      <c r="Z209" s="71">
        <f t="shared" si="540"/>
        <v>0</v>
      </c>
      <c r="AA209" s="71">
        <f t="shared" si="540"/>
        <v>539797.45710120001</v>
      </c>
      <c r="AC209" s="71">
        <f t="shared" ref="AC209:AJ209" si="541">SUM(AC199:AC208)</f>
        <v>1114601.5077877999</v>
      </c>
      <c r="AD209" s="71">
        <f t="shared" si="541"/>
        <v>0</v>
      </c>
      <c r="AE209" s="71">
        <f t="shared" si="541"/>
        <v>0</v>
      </c>
      <c r="AF209" s="71">
        <f t="shared" si="541"/>
        <v>0</v>
      </c>
      <c r="AG209" s="71">
        <f t="shared" si="541"/>
        <v>0</v>
      </c>
      <c r="AH209" s="71">
        <f t="shared" si="541"/>
        <v>0</v>
      </c>
      <c r="AI209" s="71">
        <f t="shared" si="541"/>
        <v>0</v>
      </c>
      <c r="AJ209" s="71">
        <f t="shared" si="541"/>
        <v>1114601.5077877999</v>
      </c>
      <c r="AL209" s="71">
        <f t="shared" ref="AL209:AS209" si="542">SUM(AL199:AL208)</f>
        <v>1199258.3199400001</v>
      </c>
      <c r="AM209" s="71">
        <f t="shared" si="542"/>
        <v>0</v>
      </c>
      <c r="AN209" s="71">
        <f t="shared" si="542"/>
        <v>0</v>
      </c>
      <c r="AO209" s="71">
        <f t="shared" si="542"/>
        <v>0</v>
      </c>
      <c r="AP209" s="71">
        <f t="shared" si="542"/>
        <v>0</v>
      </c>
      <c r="AQ209" s="71">
        <f t="shared" si="542"/>
        <v>0</v>
      </c>
      <c r="AR209" s="71">
        <f t="shared" si="542"/>
        <v>0</v>
      </c>
      <c r="AS209" s="71">
        <f t="shared" si="542"/>
        <v>1199258.3199400001</v>
      </c>
      <c r="AU209" s="71">
        <f t="shared" ref="AU209:BB209" si="543">SUM(AU199:AU208)</f>
        <v>0</v>
      </c>
      <c r="AV209" s="71">
        <f t="shared" si="543"/>
        <v>0</v>
      </c>
      <c r="AW209" s="71">
        <f t="shared" si="543"/>
        <v>0</v>
      </c>
      <c r="AX209" s="71">
        <f t="shared" si="543"/>
        <v>0</v>
      </c>
      <c r="AY209" s="71">
        <f t="shared" si="543"/>
        <v>0</v>
      </c>
      <c r="AZ209" s="71">
        <f t="shared" si="543"/>
        <v>0</v>
      </c>
      <c r="BA209" s="71">
        <f t="shared" si="543"/>
        <v>0</v>
      </c>
      <c r="BB209" s="71">
        <f t="shared" si="543"/>
        <v>0</v>
      </c>
      <c r="BD209" s="71">
        <f t="shared" ref="BD209:BK209" si="544">SUM(BD199:BD208)</f>
        <v>113507.048</v>
      </c>
      <c r="BE209" s="71">
        <f t="shared" si="544"/>
        <v>0</v>
      </c>
      <c r="BF209" s="71">
        <f t="shared" si="544"/>
        <v>0</v>
      </c>
      <c r="BG209" s="71">
        <f t="shared" si="544"/>
        <v>0</v>
      </c>
      <c r="BH209" s="71">
        <f t="shared" si="544"/>
        <v>0</v>
      </c>
      <c r="BI209" s="71">
        <f t="shared" si="544"/>
        <v>0</v>
      </c>
      <c r="BJ209" s="71">
        <f t="shared" si="544"/>
        <v>0</v>
      </c>
      <c r="BK209" s="71">
        <f t="shared" si="544"/>
        <v>113507.048</v>
      </c>
      <c r="BM209" s="71">
        <f t="shared" ref="BM209:BT209" si="545">SUM(BM199:BM208)</f>
        <v>0</v>
      </c>
      <c r="BN209" s="71">
        <f t="shared" si="545"/>
        <v>0</v>
      </c>
      <c r="BO209" s="71">
        <f t="shared" si="545"/>
        <v>0</v>
      </c>
      <c r="BP209" s="71">
        <f t="shared" si="545"/>
        <v>0</v>
      </c>
      <c r="BQ209" s="71">
        <f t="shared" si="545"/>
        <v>0</v>
      </c>
      <c r="BR209" s="71">
        <f t="shared" si="545"/>
        <v>0</v>
      </c>
      <c r="BS209" s="71">
        <f t="shared" si="545"/>
        <v>0</v>
      </c>
      <c r="BT209" s="71">
        <f t="shared" si="545"/>
        <v>0</v>
      </c>
      <c r="BV209" s="71">
        <f t="shared" ref="BV209:CC209" si="546">SUM(BV199:BV208)</f>
        <v>3902352.7886600001</v>
      </c>
      <c r="BW209" s="71">
        <f t="shared" si="546"/>
        <v>0</v>
      </c>
      <c r="BX209" s="71">
        <f t="shared" si="546"/>
        <v>0</v>
      </c>
      <c r="BY209" s="71">
        <f t="shared" si="546"/>
        <v>0</v>
      </c>
      <c r="BZ209" s="71">
        <f t="shared" si="546"/>
        <v>0</v>
      </c>
      <c r="CA209" s="71">
        <f t="shared" si="546"/>
        <v>0</v>
      </c>
      <c r="CB209" s="71">
        <f t="shared" si="546"/>
        <v>0</v>
      </c>
      <c r="CC209" s="71">
        <f t="shared" si="546"/>
        <v>3902352.7886600001</v>
      </c>
    </row>
    <row r="210" spans="1:81">
      <c r="A210" s="85"/>
      <c r="B210" s="5"/>
      <c r="C210" s="5"/>
      <c r="D210" s="5"/>
      <c r="E210" s="5"/>
      <c r="F210" s="5"/>
      <c r="G210" s="5"/>
      <c r="H210" s="5"/>
      <c r="I210" s="5"/>
      <c r="J210" s="7"/>
      <c r="K210" s="5"/>
      <c r="L210" s="5"/>
      <c r="M210" s="5"/>
      <c r="N210" s="5"/>
      <c r="O210" s="5"/>
      <c r="P210" s="5"/>
      <c r="Q210" s="5"/>
      <c r="R210" s="5"/>
      <c r="T210" s="5"/>
      <c r="U210" s="5"/>
      <c r="V210" s="5"/>
      <c r="W210" s="5"/>
      <c r="X210" s="5"/>
      <c r="Y210" s="5"/>
      <c r="Z210" s="5"/>
      <c r="AA210" s="5"/>
      <c r="AC210" s="5"/>
      <c r="AD210" s="5"/>
      <c r="AE210" s="5"/>
      <c r="AF210" s="5"/>
      <c r="AG210" s="5"/>
      <c r="AH210" s="5"/>
      <c r="AI210" s="5"/>
      <c r="AJ210" s="5"/>
      <c r="AL210" s="5"/>
      <c r="AM210" s="5"/>
      <c r="AN210" s="5"/>
      <c r="AO210" s="5"/>
      <c r="AP210" s="5"/>
      <c r="AQ210" s="5"/>
      <c r="AR210" s="5"/>
      <c r="AS210" s="5"/>
      <c r="AU210" s="5"/>
      <c r="AV210" s="5"/>
      <c r="AW210" s="5"/>
      <c r="AX210" s="5"/>
      <c r="AY210" s="5"/>
      <c r="AZ210" s="5"/>
      <c r="BA210" s="5"/>
      <c r="BB210" s="5"/>
      <c r="BD210" s="5"/>
      <c r="BE210" s="5"/>
      <c r="BF210" s="5"/>
      <c r="BG210" s="5"/>
      <c r="BH210" s="5"/>
      <c r="BI210" s="5"/>
      <c r="BJ210" s="5"/>
      <c r="BK210" s="5"/>
      <c r="BM210" s="5"/>
      <c r="BN210" s="5"/>
      <c r="BO210" s="5"/>
      <c r="BP210" s="5"/>
      <c r="BQ210" s="5"/>
      <c r="BR210" s="5"/>
      <c r="BS210" s="5"/>
      <c r="BT210" s="5"/>
      <c r="BV210" s="5"/>
      <c r="BW210" s="5"/>
      <c r="BX210" s="5"/>
      <c r="BY210" s="5"/>
      <c r="BZ210" s="5"/>
      <c r="CA210" s="5"/>
      <c r="CB210" s="5"/>
      <c r="CC210" s="5"/>
    </row>
    <row r="211" spans="1:81" ht="15">
      <c r="A211" s="70" t="s">
        <v>190</v>
      </c>
      <c r="B211" s="71">
        <f>B142+B154+B170+B197+B209</f>
        <v>7747126.6441031415</v>
      </c>
      <c r="C211" s="71">
        <f t="shared" ref="C211:H211" si="547">C142+C154+C170+C197+C209</f>
        <v>1345133.2513739071</v>
      </c>
      <c r="D211" s="71">
        <f t="shared" si="547"/>
        <v>414680.6</v>
      </c>
      <c r="E211" s="71">
        <f t="shared" si="547"/>
        <v>0</v>
      </c>
      <c r="F211" s="71">
        <f t="shared" si="547"/>
        <v>0</v>
      </c>
      <c r="G211" s="71">
        <f t="shared" si="547"/>
        <v>275000</v>
      </c>
      <c r="H211" s="71">
        <f t="shared" si="547"/>
        <v>0</v>
      </c>
      <c r="I211" s="71">
        <f>I142+I154+I170+I197+I209</f>
        <v>9781940.4954770487</v>
      </c>
      <c r="J211" s="7"/>
      <c r="K211" s="71">
        <f>K142+K154+K170+K197+K209</f>
        <v>8631109.1136105992</v>
      </c>
      <c r="L211" s="71">
        <f t="shared" ref="L211:Q211" si="548">L142+L154+L170+L197+L209</f>
        <v>990406.52313616464</v>
      </c>
      <c r="M211" s="71">
        <f t="shared" si="548"/>
        <v>346564.7290845</v>
      </c>
      <c r="N211" s="71">
        <f t="shared" si="548"/>
        <v>0</v>
      </c>
      <c r="O211" s="71">
        <f t="shared" si="548"/>
        <v>0</v>
      </c>
      <c r="P211" s="71">
        <f t="shared" si="548"/>
        <v>800000</v>
      </c>
      <c r="Q211" s="71">
        <f t="shared" si="548"/>
        <v>0</v>
      </c>
      <c r="R211" s="71">
        <f>R142+R154+R170+R197+R209</f>
        <v>10768080.365831265</v>
      </c>
      <c r="T211" s="71">
        <f>T142+T154+T170+T197+T209</f>
        <v>10353178.143528391</v>
      </c>
      <c r="U211" s="71">
        <f t="shared" ref="U211:Z211" si="549">U142+U154+U170+U197+U209</f>
        <v>1175826.4268744551</v>
      </c>
      <c r="V211" s="71">
        <f t="shared" si="549"/>
        <v>235431.07500000001</v>
      </c>
      <c r="W211" s="71">
        <f t="shared" si="549"/>
        <v>0</v>
      </c>
      <c r="X211" s="71">
        <f t="shared" si="549"/>
        <v>0</v>
      </c>
      <c r="Y211" s="71">
        <f t="shared" si="549"/>
        <v>800000</v>
      </c>
      <c r="Z211" s="71">
        <f t="shared" si="549"/>
        <v>0</v>
      </c>
      <c r="AA211" s="71">
        <f>AA142+AA154+AA170+AA197+AA209</f>
        <v>12564435.645402849</v>
      </c>
      <c r="AC211" s="71">
        <f>AC142+AC154+AC170+AC197+AC209</f>
        <v>21076800.057758242</v>
      </c>
      <c r="AD211" s="71">
        <f t="shared" ref="AD211:AI211" si="550">AD142+AD154+AD170+AD197+AD209</f>
        <v>2876708.2082664561</v>
      </c>
      <c r="AE211" s="71">
        <f t="shared" si="550"/>
        <v>1014969.4999999999</v>
      </c>
      <c r="AF211" s="71">
        <f t="shared" si="550"/>
        <v>0</v>
      </c>
      <c r="AG211" s="71">
        <f t="shared" si="550"/>
        <v>0</v>
      </c>
      <c r="AH211" s="71">
        <f t="shared" si="550"/>
        <v>1250000</v>
      </c>
      <c r="AI211" s="71">
        <f t="shared" si="550"/>
        <v>0</v>
      </c>
      <c r="AJ211" s="71">
        <f>AJ142+AJ154+AJ170+AJ197+AJ209</f>
        <v>26218477.766024698</v>
      </c>
      <c r="AL211" s="71">
        <f>AL142+AL154+AL170+AL197+AL209</f>
        <v>18680187.849220738</v>
      </c>
      <c r="AM211" s="71">
        <f t="shared" ref="AM211:AR211" si="551">AM142+AM154+AM170+AM197+AM209</f>
        <v>2680264.4876029012</v>
      </c>
      <c r="AN211" s="71">
        <f t="shared" si="551"/>
        <v>639324.5</v>
      </c>
      <c r="AO211" s="71">
        <f t="shared" si="551"/>
        <v>0</v>
      </c>
      <c r="AP211" s="71">
        <f t="shared" si="551"/>
        <v>0</v>
      </c>
      <c r="AQ211" s="71">
        <f t="shared" si="551"/>
        <v>2000000</v>
      </c>
      <c r="AR211" s="71">
        <f t="shared" si="551"/>
        <v>0</v>
      </c>
      <c r="AS211" s="71">
        <f>AS142+AS154+AS170+AS197+AS209</f>
        <v>23999776.836823639</v>
      </c>
      <c r="AU211" s="71">
        <f>AU142+AU154+AU170+AU197+AU209</f>
        <v>1144047.8461795626</v>
      </c>
      <c r="AV211" s="71">
        <f t="shared" ref="AV211:BA211" si="552">AV142+AV154+AV170+AV197+AV209</f>
        <v>223093.5190706728</v>
      </c>
      <c r="AW211" s="71">
        <f t="shared" si="552"/>
        <v>2835</v>
      </c>
      <c r="AX211" s="71">
        <f t="shared" si="552"/>
        <v>0</v>
      </c>
      <c r="AY211" s="71">
        <f t="shared" si="552"/>
        <v>0</v>
      </c>
      <c r="AZ211" s="71">
        <f t="shared" si="552"/>
        <v>0</v>
      </c>
      <c r="BA211" s="71">
        <f t="shared" si="552"/>
        <v>0</v>
      </c>
      <c r="BB211" s="71">
        <f>BB142+BB154+BB170+BB197+BB209</f>
        <v>1369976.3652502354</v>
      </c>
      <c r="BD211" s="71">
        <f>BD142+BD154+BD170+BD197+BD209</f>
        <v>4090508.3801126243</v>
      </c>
      <c r="BE211" s="71">
        <f t="shared" ref="BE211:BJ211" si="553">BE142+BE154+BE170+BE197+BE209</f>
        <v>581375.10596804507</v>
      </c>
      <c r="BF211" s="71">
        <f t="shared" si="553"/>
        <v>563392.12</v>
      </c>
      <c r="BG211" s="71">
        <f t="shared" si="553"/>
        <v>0</v>
      </c>
      <c r="BH211" s="71">
        <f t="shared" si="553"/>
        <v>0</v>
      </c>
      <c r="BI211" s="71">
        <f t="shared" si="553"/>
        <v>50000</v>
      </c>
      <c r="BJ211" s="71">
        <f t="shared" si="553"/>
        <v>0</v>
      </c>
      <c r="BK211" s="71">
        <f>BK142+BK154+BK170+BK197+BK209</f>
        <v>5285275.6060806699</v>
      </c>
      <c r="BM211" s="71">
        <f>BM142+BM154+BM170+BM197+BM209</f>
        <v>449456.26106962492</v>
      </c>
      <c r="BN211" s="71">
        <f t="shared" ref="BN211:BS211" si="554">BN142+BN154+BN170+BN197+BN209</f>
        <v>0</v>
      </c>
      <c r="BO211" s="71">
        <f t="shared" si="554"/>
        <v>28486</v>
      </c>
      <c r="BP211" s="71">
        <f t="shared" si="554"/>
        <v>0</v>
      </c>
      <c r="BQ211" s="71">
        <f t="shared" si="554"/>
        <v>0</v>
      </c>
      <c r="BR211" s="71">
        <f t="shared" si="554"/>
        <v>0</v>
      </c>
      <c r="BS211" s="71">
        <f t="shared" si="554"/>
        <v>0</v>
      </c>
      <c r="BT211" s="71">
        <f>BT142+BT154+BT170+BT197+BT209</f>
        <v>477942.26106962492</v>
      </c>
      <c r="BV211" s="71">
        <f>BV142+BV154+BV170+BV197+BV209</f>
        <v>72172414.29558292</v>
      </c>
      <c r="BW211" s="71">
        <f t="shared" ref="BW211:CB211" si="555">BW142+BW154+BW170+BW197+BW209</f>
        <v>9872807.5222926028</v>
      </c>
      <c r="BX211" s="71">
        <f t="shared" si="555"/>
        <v>3245683.5240845</v>
      </c>
      <c r="BY211" s="71">
        <f t="shared" si="555"/>
        <v>0</v>
      </c>
      <c r="BZ211" s="71">
        <f t="shared" si="555"/>
        <v>0</v>
      </c>
      <c r="CA211" s="71">
        <f t="shared" si="555"/>
        <v>5175000</v>
      </c>
      <c r="CB211" s="71">
        <f t="shared" si="555"/>
        <v>0</v>
      </c>
      <c r="CC211" s="71">
        <f>CC142+CC154+CC170+CC197+CC209</f>
        <v>90465905.341960028</v>
      </c>
    </row>
    <row r="212" spans="1:81">
      <c r="A212" s="86"/>
      <c r="B212" s="52"/>
      <c r="C212" s="52"/>
      <c r="D212" s="52"/>
      <c r="E212" s="52"/>
      <c r="F212" s="52"/>
      <c r="G212" s="52"/>
      <c r="H212" s="52"/>
      <c r="I212" s="52"/>
      <c r="J212" s="7"/>
      <c r="K212" s="52"/>
      <c r="L212" s="52"/>
      <c r="M212" s="52"/>
      <c r="N212" s="52"/>
      <c r="O212" s="52"/>
      <c r="P212" s="52"/>
      <c r="Q212" s="52"/>
      <c r="R212" s="52"/>
      <c r="T212" s="52"/>
      <c r="U212" s="52"/>
      <c r="V212" s="52"/>
      <c r="W212" s="52"/>
      <c r="X212" s="52"/>
      <c r="Y212" s="52"/>
      <c r="Z212" s="52"/>
      <c r="AA212" s="52"/>
      <c r="AC212" s="52"/>
      <c r="AD212" s="52"/>
      <c r="AE212" s="52"/>
      <c r="AF212" s="52"/>
      <c r="AG212" s="52"/>
      <c r="AH212" s="52"/>
      <c r="AI212" s="52"/>
      <c r="AJ212" s="52"/>
      <c r="AL212" s="52"/>
      <c r="AM212" s="52"/>
      <c r="AN212" s="52"/>
      <c r="AO212" s="52"/>
      <c r="AP212" s="52"/>
      <c r="AQ212" s="52"/>
      <c r="AR212" s="52"/>
      <c r="AS212" s="52"/>
      <c r="AU212" s="52"/>
      <c r="AV212" s="52"/>
      <c r="AW212" s="52"/>
      <c r="AX212" s="52"/>
      <c r="AY212" s="52"/>
      <c r="AZ212" s="52"/>
      <c r="BA212" s="52"/>
      <c r="BB212" s="52"/>
      <c r="BD212" s="52"/>
      <c r="BE212" s="52"/>
      <c r="BF212" s="52"/>
      <c r="BG212" s="52"/>
      <c r="BH212" s="52"/>
      <c r="BI212" s="52"/>
      <c r="BJ212" s="52"/>
      <c r="BK212" s="52"/>
      <c r="BM212" s="52"/>
      <c r="BN212" s="52"/>
      <c r="BO212" s="52"/>
      <c r="BP212" s="52"/>
      <c r="BQ212" s="52"/>
      <c r="BR212" s="52"/>
      <c r="BS212" s="52"/>
      <c r="BT212" s="52"/>
      <c r="BV212" s="52"/>
      <c r="BW212" s="52"/>
      <c r="BX212" s="52"/>
      <c r="BY212" s="52"/>
      <c r="BZ212" s="52"/>
      <c r="CA212" s="52"/>
      <c r="CB212" s="52"/>
      <c r="CC212" s="52"/>
    </row>
    <row r="213" spans="1:81" ht="15">
      <c r="A213" s="43" t="s">
        <v>191</v>
      </c>
      <c r="B213" s="103">
        <v>0</v>
      </c>
      <c r="C213" s="9"/>
      <c r="D213" s="9"/>
      <c r="E213" s="9"/>
      <c r="F213" s="9"/>
      <c r="G213" s="9"/>
      <c r="H213" s="9"/>
      <c r="I213" s="9">
        <f t="shared" ref="I213:I218" si="556">SUM(B213:H213)</f>
        <v>0</v>
      </c>
      <c r="K213" s="9">
        <v>0</v>
      </c>
      <c r="L213" s="9"/>
      <c r="M213" s="9"/>
      <c r="N213" s="9"/>
      <c r="O213" s="9"/>
      <c r="P213" s="9"/>
      <c r="Q213" s="9"/>
      <c r="R213" s="9">
        <f t="shared" ref="R213:R218" si="557">SUM(K213:Q213)</f>
        <v>0</v>
      </c>
      <c r="T213" s="9"/>
      <c r="U213" s="9"/>
      <c r="V213" s="9"/>
      <c r="W213" s="9"/>
      <c r="X213" s="9"/>
      <c r="Y213" s="9"/>
      <c r="Z213" s="9"/>
      <c r="AA213" s="9">
        <f t="shared" ref="AA213:AA218" si="558">SUM(T213:Z213)</f>
        <v>0</v>
      </c>
      <c r="AC213" s="9">
        <v>2492733.33</v>
      </c>
      <c r="AD213" s="9"/>
      <c r="AE213" s="9"/>
      <c r="AF213" s="9"/>
      <c r="AG213" s="9"/>
      <c r="AH213" s="9"/>
      <c r="AI213" s="9"/>
      <c r="AJ213" s="9">
        <f t="shared" ref="AJ213:AJ218" si="559">SUM(AC213:AI213)</f>
        <v>2492733.33</v>
      </c>
      <c r="AL213" s="9">
        <v>3907404.06</v>
      </c>
      <c r="AM213" s="9"/>
      <c r="AN213" s="9"/>
      <c r="AO213" s="9"/>
      <c r="AP213" s="9"/>
      <c r="AQ213" s="9"/>
      <c r="AR213" s="9"/>
      <c r="AS213" s="9">
        <f t="shared" ref="AS213:AS218" si="560">SUM(AL213:AR213)</f>
        <v>3907404.06</v>
      </c>
      <c r="AU213" s="9"/>
      <c r="AV213" s="9"/>
      <c r="AW213" s="9"/>
      <c r="AX213" s="9"/>
      <c r="AY213" s="9"/>
      <c r="AZ213" s="9"/>
      <c r="BA213" s="9"/>
      <c r="BB213" s="9">
        <f t="shared" ref="BB213:BB218" si="561">SUM(AU213:BA213)</f>
        <v>0</v>
      </c>
      <c r="BD213" s="9">
        <f>(750*1.03*1.03*1.03)*BD17</f>
        <v>406494.44400000008</v>
      </c>
      <c r="BE213" s="9"/>
      <c r="BF213" s="9"/>
      <c r="BG213" s="9"/>
      <c r="BH213" s="9"/>
      <c r="BI213" s="9"/>
      <c r="BJ213" s="9"/>
      <c r="BK213" s="9">
        <f t="shared" ref="BK213:BK218" si="562">SUM(BD213:BJ213)</f>
        <v>406494.44400000008</v>
      </c>
      <c r="BM213" s="9">
        <v>0</v>
      </c>
      <c r="BN213" s="9"/>
      <c r="BO213" s="9"/>
      <c r="BP213" s="9"/>
      <c r="BQ213" s="9"/>
      <c r="BR213" s="9"/>
      <c r="BS213" s="9"/>
      <c r="BT213" s="9">
        <f t="shared" ref="BT213:BT218" si="563">SUM(BM213:BS213)</f>
        <v>0</v>
      </c>
      <c r="BV213" s="9">
        <f t="shared" ref="BV213:CA217" si="564">B213+K213+T213+AC213+AL213+AU213+BD213+BM213</f>
        <v>6806631.8340000007</v>
      </c>
      <c r="BW213" s="9">
        <f t="shared" si="564"/>
        <v>0</v>
      </c>
      <c r="BX213" s="9">
        <f t="shared" si="564"/>
        <v>0</v>
      </c>
      <c r="BY213" s="9">
        <f t="shared" si="564"/>
        <v>0</v>
      </c>
      <c r="BZ213" s="9">
        <f t="shared" si="564"/>
        <v>0</v>
      </c>
      <c r="CA213" s="9">
        <f t="shared" si="564"/>
        <v>0</v>
      </c>
      <c r="CB213" s="9"/>
      <c r="CC213" s="9">
        <f t="shared" ref="CC213:CC218" si="565">SUM(BV213:CB213)</f>
        <v>6806631.8340000007</v>
      </c>
    </row>
    <row r="214" spans="1:81" ht="15">
      <c r="A214" s="43" t="s">
        <v>192</v>
      </c>
      <c r="B214" s="9">
        <v>265695.63</v>
      </c>
      <c r="C214" s="9"/>
      <c r="D214" s="9"/>
      <c r="E214" s="9"/>
      <c r="F214" s="9"/>
      <c r="G214" s="9"/>
      <c r="H214" s="9"/>
      <c r="I214" s="9">
        <f t="shared" si="556"/>
        <v>265695.63</v>
      </c>
      <c r="K214" s="9">
        <v>301647.84999999998</v>
      </c>
      <c r="L214" s="9"/>
      <c r="M214" s="9"/>
      <c r="N214" s="9"/>
      <c r="O214" s="9"/>
      <c r="P214" s="9"/>
      <c r="Q214" s="9"/>
      <c r="R214" s="9">
        <f t="shared" si="557"/>
        <v>301647.84999999998</v>
      </c>
      <c r="T214" s="9">
        <v>363906.56</v>
      </c>
      <c r="U214" s="9"/>
      <c r="V214" s="9"/>
      <c r="W214" s="9"/>
      <c r="X214" s="9"/>
      <c r="Y214" s="9"/>
      <c r="Z214" s="9"/>
      <c r="AA214" s="9">
        <f t="shared" si="558"/>
        <v>363906.56</v>
      </c>
      <c r="AC214" s="9">
        <v>0</v>
      </c>
      <c r="AD214" s="9"/>
      <c r="AE214" s="9"/>
      <c r="AF214" s="9"/>
      <c r="AG214" s="9"/>
      <c r="AH214" s="9"/>
      <c r="AI214" s="9"/>
      <c r="AJ214" s="9">
        <f t="shared" si="559"/>
        <v>0</v>
      </c>
      <c r="AL214" s="9">
        <v>0</v>
      </c>
      <c r="AM214" s="9"/>
      <c r="AN214" s="9"/>
      <c r="AO214" s="9"/>
      <c r="AP214" s="9"/>
      <c r="AQ214" s="9"/>
      <c r="AR214" s="9"/>
      <c r="AS214" s="9">
        <f t="shared" si="560"/>
        <v>0</v>
      </c>
      <c r="AU214" s="9"/>
      <c r="AV214" s="9"/>
      <c r="AW214" s="9"/>
      <c r="AX214" s="9"/>
      <c r="AY214" s="9"/>
      <c r="AZ214" s="9"/>
      <c r="BA214" s="9"/>
      <c r="BB214" s="9">
        <f t="shared" si="561"/>
        <v>0</v>
      </c>
      <c r="BD214" s="9">
        <v>0</v>
      </c>
      <c r="BE214" s="9"/>
      <c r="BF214" s="9"/>
      <c r="BG214" s="9"/>
      <c r="BH214" s="9"/>
      <c r="BI214" s="9"/>
      <c r="BJ214" s="9"/>
      <c r="BK214" s="9">
        <f t="shared" si="562"/>
        <v>0</v>
      </c>
      <c r="BM214" s="9">
        <v>0</v>
      </c>
      <c r="BN214" s="9"/>
      <c r="BO214" s="9"/>
      <c r="BP214" s="9"/>
      <c r="BQ214" s="9"/>
      <c r="BR214" s="9"/>
      <c r="BS214" s="9"/>
      <c r="BT214" s="9">
        <f t="shared" si="563"/>
        <v>0</v>
      </c>
      <c r="BV214" s="9">
        <f t="shared" si="564"/>
        <v>931250.04</v>
      </c>
      <c r="BW214" s="9">
        <f t="shared" si="564"/>
        <v>0</v>
      </c>
      <c r="BX214" s="9">
        <f t="shared" si="564"/>
        <v>0</v>
      </c>
      <c r="BY214" s="9">
        <f t="shared" si="564"/>
        <v>0</v>
      </c>
      <c r="BZ214" s="9">
        <f t="shared" si="564"/>
        <v>0</v>
      </c>
      <c r="CA214" s="9">
        <f t="shared" si="564"/>
        <v>0</v>
      </c>
      <c r="CB214" s="9"/>
      <c r="CC214" s="9">
        <f t="shared" si="565"/>
        <v>931250.04</v>
      </c>
    </row>
    <row r="215" spans="1:81" ht="15">
      <c r="A215" s="43" t="s">
        <v>193</v>
      </c>
      <c r="B215" s="9">
        <v>606137.89</v>
      </c>
      <c r="C215" s="9"/>
      <c r="D215" s="9"/>
      <c r="E215" s="9"/>
      <c r="F215" s="9"/>
      <c r="G215" s="9"/>
      <c r="H215" s="9"/>
      <c r="I215" s="9">
        <f t="shared" si="556"/>
        <v>606137.89</v>
      </c>
      <c r="K215" s="9">
        <v>688156.55</v>
      </c>
      <c r="L215" s="9"/>
      <c r="M215" s="9"/>
      <c r="N215" s="9"/>
      <c r="O215" s="9"/>
      <c r="P215" s="9"/>
      <c r="Q215" s="9"/>
      <c r="R215" s="9">
        <f t="shared" si="557"/>
        <v>688156.55</v>
      </c>
      <c r="T215" s="9">
        <v>830188.86</v>
      </c>
      <c r="U215" s="9"/>
      <c r="V215" s="9"/>
      <c r="W215" s="9"/>
      <c r="X215" s="9"/>
      <c r="Y215" s="9"/>
      <c r="Z215" s="9"/>
      <c r="AA215" s="9">
        <f t="shared" si="558"/>
        <v>830188.86</v>
      </c>
      <c r="AC215" s="9">
        <v>0</v>
      </c>
      <c r="AD215" s="9"/>
      <c r="AE215" s="9"/>
      <c r="AF215" s="9"/>
      <c r="AG215" s="9"/>
      <c r="AH215" s="9"/>
      <c r="AI215" s="9"/>
      <c r="AJ215" s="9">
        <f t="shared" si="559"/>
        <v>0</v>
      </c>
      <c r="AL215" s="9">
        <v>0</v>
      </c>
      <c r="AM215" s="9"/>
      <c r="AN215" s="9"/>
      <c r="AO215" s="9"/>
      <c r="AP215" s="9"/>
      <c r="AQ215" s="9"/>
      <c r="AR215" s="9"/>
      <c r="AS215" s="9">
        <f t="shared" si="560"/>
        <v>0</v>
      </c>
      <c r="AU215" s="9"/>
      <c r="AV215" s="9"/>
      <c r="AW215" s="9"/>
      <c r="AX215" s="9"/>
      <c r="AY215" s="9"/>
      <c r="AZ215" s="9"/>
      <c r="BA215" s="9"/>
      <c r="BB215" s="9">
        <f t="shared" si="561"/>
        <v>0</v>
      </c>
      <c r="BD215" s="9">
        <v>0</v>
      </c>
      <c r="BE215" s="9"/>
      <c r="BF215" s="9"/>
      <c r="BG215" s="9"/>
      <c r="BH215" s="9"/>
      <c r="BI215" s="9"/>
      <c r="BJ215" s="9"/>
      <c r="BK215" s="9">
        <f t="shared" si="562"/>
        <v>0</v>
      </c>
      <c r="BM215" s="9">
        <v>0</v>
      </c>
      <c r="BN215" s="9"/>
      <c r="BO215" s="9"/>
      <c r="BP215" s="9"/>
      <c r="BQ215" s="9"/>
      <c r="BR215" s="9"/>
      <c r="BS215" s="9"/>
      <c r="BT215" s="9">
        <f t="shared" si="563"/>
        <v>0</v>
      </c>
      <c r="BV215" s="9">
        <f t="shared" si="564"/>
        <v>2124483.2999999998</v>
      </c>
      <c r="BW215" s="9">
        <f t="shared" si="564"/>
        <v>0</v>
      </c>
      <c r="BX215" s="9">
        <f t="shared" si="564"/>
        <v>0</v>
      </c>
      <c r="BY215" s="9">
        <f t="shared" si="564"/>
        <v>0</v>
      </c>
      <c r="BZ215" s="9">
        <f t="shared" si="564"/>
        <v>0</v>
      </c>
      <c r="CA215" s="9">
        <f t="shared" si="564"/>
        <v>0</v>
      </c>
      <c r="CB215" s="9"/>
      <c r="CC215" s="9">
        <f t="shared" si="565"/>
        <v>2124483.2999999998</v>
      </c>
    </row>
    <row r="216" spans="1:81" ht="15">
      <c r="A216" s="43" t="s">
        <v>194</v>
      </c>
      <c r="B216" s="103">
        <f>3750*12</f>
        <v>45000</v>
      </c>
      <c r="C216" s="9"/>
      <c r="D216" s="9"/>
      <c r="E216" s="9"/>
      <c r="F216" s="9"/>
      <c r="G216" s="9"/>
      <c r="H216" s="9"/>
      <c r="I216" s="9">
        <f t="shared" si="556"/>
        <v>45000</v>
      </c>
      <c r="K216" s="9">
        <v>0</v>
      </c>
      <c r="L216" s="9"/>
      <c r="M216" s="9"/>
      <c r="N216" s="9"/>
      <c r="O216" s="9"/>
      <c r="P216" s="9"/>
      <c r="Q216" s="9"/>
      <c r="R216" s="9">
        <f t="shared" si="557"/>
        <v>0</v>
      </c>
      <c r="T216" s="9"/>
      <c r="U216" s="9"/>
      <c r="V216" s="9"/>
      <c r="W216" s="9"/>
      <c r="X216" s="9"/>
      <c r="Y216" s="9"/>
      <c r="Z216" s="9"/>
      <c r="AA216" s="9">
        <f t="shared" si="558"/>
        <v>0</v>
      </c>
      <c r="AC216" s="9">
        <v>0</v>
      </c>
      <c r="AD216" s="9"/>
      <c r="AE216" s="9"/>
      <c r="AF216" s="9"/>
      <c r="AG216" s="9"/>
      <c r="AH216" s="9"/>
      <c r="AI216" s="9"/>
      <c r="AJ216" s="9">
        <f t="shared" si="559"/>
        <v>0</v>
      </c>
      <c r="AL216" s="9">
        <v>0</v>
      </c>
      <c r="AM216" s="9"/>
      <c r="AN216" s="9"/>
      <c r="AO216" s="9"/>
      <c r="AP216" s="9"/>
      <c r="AQ216" s="9"/>
      <c r="AR216" s="9"/>
      <c r="AS216" s="9">
        <f t="shared" si="560"/>
        <v>0</v>
      </c>
      <c r="AU216" s="9"/>
      <c r="AV216" s="9"/>
      <c r="AW216" s="9"/>
      <c r="AX216" s="9"/>
      <c r="AY216" s="9"/>
      <c r="AZ216" s="9"/>
      <c r="BA216" s="9"/>
      <c r="BB216" s="9">
        <f t="shared" si="561"/>
        <v>0</v>
      </c>
      <c r="BD216" s="9">
        <v>0</v>
      </c>
      <c r="BE216" s="9"/>
      <c r="BF216" s="9"/>
      <c r="BG216" s="9"/>
      <c r="BH216" s="9"/>
      <c r="BI216" s="9"/>
      <c r="BJ216" s="9"/>
      <c r="BK216" s="9">
        <f t="shared" si="562"/>
        <v>0</v>
      </c>
      <c r="BM216" s="9">
        <v>0</v>
      </c>
      <c r="BN216" s="9"/>
      <c r="BO216" s="9"/>
      <c r="BP216" s="9"/>
      <c r="BQ216" s="9"/>
      <c r="BR216" s="9"/>
      <c r="BS216" s="9"/>
      <c r="BT216" s="9">
        <f t="shared" si="563"/>
        <v>0</v>
      </c>
      <c r="BV216" s="9">
        <f t="shared" si="564"/>
        <v>45000</v>
      </c>
      <c r="BW216" s="9">
        <f t="shared" si="564"/>
        <v>0</v>
      </c>
      <c r="BX216" s="9">
        <f t="shared" si="564"/>
        <v>0</v>
      </c>
      <c r="BY216" s="9">
        <f t="shared" si="564"/>
        <v>0</v>
      </c>
      <c r="BZ216" s="9">
        <f t="shared" si="564"/>
        <v>0</v>
      </c>
      <c r="CA216" s="9">
        <f t="shared" si="564"/>
        <v>0</v>
      </c>
      <c r="CB216" s="9"/>
      <c r="CC216" s="9">
        <f t="shared" si="565"/>
        <v>45000</v>
      </c>
    </row>
    <row r="217" spans="1:81" ht="15">
      <c r="B217" s="9">
        <v>0</v>
      </c>
      <c r="C217" s="9">
        <v>0</v>
      </c>
      <c r="D217" s="9">
        <v>0</v>
      </c>
      <c r="E217" s="9"/>
      <c r="F217" s="9">
        <v>0</v>
      </c>
      <c r="G217" s="9">
        <v>0</v>
      </c>
      <c r="H217" s="9">
        <v>0</v>
      </c>
      <c r="I217" s="9">
        <f t="shared" si="556"/>
        <v>0</v>
      </c>
      <c r="K217" s="9">
        <v>0</v>
      </c>
      <c r="L217" s="9">
        <v>0</v>
      </c>
      <c r="M217" s="9">
        <v>0</v>
      </c>
      <c r="N217" s="9"/>
      <c r="O217" s="9">
        <v>0</v>
      </c>
      <c r="P217" s="9">
        <v>0</v>
      </c>
      <c r="Q217" s="9">
        <v>0</v>
      </c>
      <c r="R217" s="9">
        <f t="shared" si="557"/>
        <v>0</v>
      </c>
      <c r="T217" s="9">
        <v>0</v>
      </c>
      <c r="U217" s="9">
        <v>0</v>
      </c>
      <c r="V217" s="9">
        <v>0</v>
      </c>
      <c r="W217" s="9"/>
      <c r="X217" s="9">
        <v>0</v>
      </c>
      <c r="Y217" s="9">
        <v>0</v>
      </c>
      <c r="Z217" s="9">
        <v>0</v>
      </c>
      <c r="AA217" s="9">
        <f t="shared" si="558"/>
        <v>0</v>
      </c>
      <c r="AC217" s="9">
        <v>0</v>
      </c>
      <c r="AD217" s="9">
        <v>0</v>
      </c>
      <c r="AE217" s="9">
        <v>0</v>
      </c>
      <c r="AF217" s="9"/>
      <c r="AG217" s="9">
        <v>0</v>
      </c>
      <c r="AH217" s="9">
        <v>0</v>
      </c>
      <c r="AI217" s="9">
        <v>0</v>
      </c>
      <c r="AJ217" s="9">
        <f t="shared" si="559"/>
        <v>0</v>
      </c>
      <c r="AL217" s="9">
        <v>0</v>
      </c>
      <c r="AM217" s="9">
        <v>0</v>
      </c>
      <c r="AN217" s="9">
        <v>0</v>
      </c>
      <c r="AO217" s="9"/>
      <c r="AP217" s="9">
        <v>0</v>
      </c>
      <c r="AQ217" s="9">
        <v>0</v>
      </c>
      <c r="AR217" s="9">
        <v>0</v>
      </c>
      <c r="AS217" s="9">
        <f t="shared" si="560"/>
        <v>0</v>
      </c>
      <c r="AU217" s="9">
        <v>0</v>
      </c>
      <c r="AV217" s="9">
        <v>0</v>
      </c>
      <c r="AW217" s="9">
        <v>0</v>
      </c>
      <c r="AX217" s="9"/>
      <c r="AY217" s="9">
        <v>0</v>
      </c>
      <c r="AZ217" s="9">
        <v>0</v>
      </c>
      <c r="BA217" s="9">
        <v>0</v>
      </c>
      <c r="BB217" s="9">
        <f t="shared" si="561"/>
        <v>0</v>
      </c>
      <c r="BD217" s="9">
        <v>0</v>
      </c>
      <c r="BE217" s="9">
        <v>0</v>
      </c>
      <c r="BF217" s="9">
        <v>0</v>
      </c>
      <c r="BG217" s="9"/>
      <c r="BH217" s="9">
        <v>0</v>
      </c>
      <c r="BI217" s="9">
        <v>0</v>
      </c>
      <c r="BJ217" s="9">
        <v>0</v>
      </c>
      <c r="BK217" s="9">
        <f t="shared" si="562"/>
        <v>0</v>
      </c>
      <c r="BM217" s="9">
        <v>0</v>
      </c>
      <c r="BN217" s="9">
        <v>0</v>
      </c>
      <c r="BO217" s="9">
        <v>0</v>
      </c>
      <c r="BP217" s="9"/>
      <c r="BQ217" s="9">
        <v>0</v>
      </c>
      <c r="BR217" s="9">
        <v>0</v>
      </c>
      <c r="BS217" s="9">
        <v>0</v>
      </c>
      <c r="BT217" s="9">
        <f t="shared" si="563"/>
        <v>0</v>
      </c>
      <c r="BV217" s="9">
        <f t="shared" si="564"/>
        <v>0</v>
      </c>
      <c r="BW217" s="9">
        <f t="shared" si="564"/>
        <v>0</v>
      </c>
      <c r="BX217" s="9">
        <f t="shared" si="564"/>
        <v>0</v>
      </c>
      <c r="BY217" s="9">
        <f t="shared" si="564"/>
        <v>0</v>
      </c>
      <c r="BZ217" s="9">
        <f t="shared" si="564"/>
        <v>0</v>
      </c>
      <c r="CA217" s="9">
        <f t="shared" si="564"/>
        <v>0</v>
      </c>
      <c r="CB217" s="9">
        <v>0</v>
      </c>
      <c r="CC217" s="9">
        <f t="shared" si="565"/>
        <v>0</v>
      </c>
    </row>
    <row r="218" spans="1:81" ht="15.75" thickBot="1">
      <c r="A218" s="43"/>
      <c r="B218" s="35"/>
      <c r="C218" s="35"/>
      <c r="D218" s="35"/>
      <c r="E218" s="35"/>
      <c r="F218" s="35"/>
      <c r="G218" s="35"/>
      <c r="H218" s="35"/>
      <c r="I218" s="5">
        <f t="shared" si="556"/>
        <v>0</v>
      </c>
      <c r="J218" s="7"/>
      <c r="K218" s="35"/>
      <c r="L218" s="35"/>
      <c r="M218" s="35"/>
      <c r="N218" s="35"/>
      <c r="O218" s="35"/>
      <c r="P218" s="35"/>
      <c r="Q218" s="35"/>
      <c r="R218" s="5">
        <f t="shared" si="557"/>
        <v>0</v>
      </c>
      <c r="T218" s="35"/>
      <c r="U218" s="35"/>
      <c r="V218" s="35"/>
      <c r="W218" s="35"/>
      <c r="X218" s="35"/>
      <c r="Y218" s="35"/>
      <c r="Z218" s="35"/>
      <c r="AA218" s="5">
        <f t="shared" si="558"/>
        <v>0</v>
      </c>
      <c r="AC218" s="35"/>
      <c r="AD218" s="35"/>
      <c r="AE218" s="35"/>
      <c r="AF218" s="35"/>
      <c r="AG218" s="35"/>
      <c r="AH218" s="35"/>
      <c r="AI218" s="35"/>
      <c r="AJ218" s="5">
        <f t="shared" si="559"/>
        <v>0</v>
      </c>
      <c r="AL218" s="35"/>
      <c r="AM218" s="35"/>
      <c r="AN218" s="35"/>
      <c r="AO218" s="35"/>
      <c r="AP218" s="35"/>
      <c r="AQ218" s="35"/>
      <c r="AR218" s="35"/>
      <c r="AS218" s="5">
        <f t="shared" si="560"/>
        <v>0</v>
      </c>
      <c r="AU218" s="35"/>
      <c r="AV218" s="35"/>
      <c r="AW218" s="35"/>
      <c r="AX218" s="35"/>
      <c r="AY218" s="35"/>
      <c r="AZ218" s="35"/>
      <c r="BA218" s="35"/>
      <c r="BB218" s="5">
        <f t="shared" si="561"/>
        <v>0</v>
      </c>
      <c r="BD218" s="35"/>
      <c r="BE218" s="35"/>
      <c r="BF218" s="35"/>
      <c r="BG218" s="35"/>
      <c r="BH218" s="35"/>
      <c r="BI218" s="35"/>
      <c r="BJ218" s="35"/>
      <c r="BK218" s="5">
        <f t="shared" si="562"/>
        <v>0</v>
      </c>
      <c r="BM218" s="35"/>
      <c r="BN218" s="35"/>
      <c r="BO218" s="35"/>
      <c r="BP218" s="35"/>
      <c r="BQ218" s="35"/>
      <c r="BR218" s="35"/>
      <c r="BS218" s="35"/>
      <c r="BT218" s="5">
        <f t="shared" si="563"/>
        <v>0</v>
      </c>
      <c r="BV218" s="35"/>
      <c r="BW218" s="35"/>
      <c r="BX218" s="35"/>
      <c r="BY218" s="35"/>
      <c r="BZ218" s="35"/>
      <c r="CA218" s="35"/>
      <c r="CB218" s="35"/>
      <c r="CC218" s="5">
        <f t="shared" si="565"/>
        <v>0</v>
      </c>
    </row>
    <row r="219" spans="1:81" ht="15.75" thickBot="1">
      <c r="A219" s="87" t="s">
        <v>195</v>
      </c>
      <c r="B219" s="88">
        <f>(B97+B103)-B211-B213-B214-B216-B215</f>
        <v>772418.01269243995</v>
      </c>
      <c r="C219" s="88">
        <f t="shared" ref="C219:H219" si="566">(C97+C103)-C211-C213-C214-C216-C215</f>
        <v>-578049.798335233</v>
      </c>
      <c r="D219" s="88">
        <f t="shared" si="566"/>
        <v>-45011.179999999993</v>
      </c>
      <c r="E219" s="88">
        <f t="shared" si="566"/>
        <v>0</v>
      </c>
      <c r="F219" s="88">
        <f t="shared" si="566"/>
        <v>0</v>
      </c>
      <c r="G219" s="88">
        <f t="shared" si="566"/>
        <v>0</v>
      </c>
      <c r="H219" s="88">
        <f t="shared" si="566"/>
        <v>0</v>
      </c>
      <c r="I219" s="88">
        <f>(I97+I103)-I211-I213-I214-I216-I215</f>
        <v>149357.03435720829</v>
      </c>
      <c r="J219" s="7"/>
      <c r="K219" s="88">
        <f>(K97+K103)-K211-K213-K214-K216-K215</f>
        <v>774773.49226024211</v>
      </c>
      <c r="L219" s="88">
        <f t="shared" ref="L219:R219" si="567">(L97+L103)-L211-L213-L214-L216-L215</f>
        <v>-500796.5231361647</v>
      </c>
      <c r="M219" s="88">
        <f t="shared" si="567"/>
        <v>-65045.449084500025</v>
      </c>
      <c r="N219" s="88">
        <f t="shared" si="567"/>
        <v>0</v>
      </c>
      <c r="O219" s="88">
        <f t="shared" si="567"/>
        <v>0</v>
      </c>
      <c r="P219" s="88">
        <f t="shared" si="567"/>
        <v>0</v>
      </c>
      <c r="Q219" s="88">
        <f t="shared" si="567"/>
        <v>0</v>
      </c>
      <c r="R219" s="88">
        <f t="shared" si="567"/>
        <v>208931.52003957552</v>
      </c>
      <c r="T219" s="88">
        <f>(T97+T103)-T211-T213-T214-T216-T215</f>
        <v>996908.62004243943</v>
      </c>
      <c r="U219" s="88">
        <f t="shared" ref="U219:AA219" si="568">(U97+U103)-U211-U213-U214-U216-U215</f>
        <v>-453377.87197085074</v>
      </c>
      <c r="V219" s="88">
        <f t="shared" si="568"/>
        <v>-70471.065000000002</v>
      </c>
      <c r="W219" s="88">
        <f t="shared" si="568"/>
        <v>0</v>
      </c>
      <c r="X219" s="88">
        <f t="shared" si="568"/>
        <v>0</v>
      </c>
      <c r="Y219" s="88">
        <f t="shared" si="568"/>
        <v>0</v>
      </c>
      <c r="Z219" s="88">
        <f t="shared" si="568"/>
        <v>0</v>
      </c>
      <c r="AA219" s="88">
        <f t="shared" si="568"/>
        <v>473059.68307158526</v>
      </c>
      <c r="AC219" s="88">
        <f>(AC97+AC103)-AC211-AC213-AC214-AC216-AC215</f>
        <v>2406678.7901716139</v>
      </c>
      <c r="AD219" s="88">
        <f t="shared" ref="AD219:AJ219" si="569">(AD97+AD103)-AD211-AD213-AD214-AD216-AD215</f>
        <v>-943110.18431436061</v>
      </c>
      <c r="AE219" s="88">
        <f t="shared" si="569"/>
        <v>-122010.91999999981</v>
      </c>
      <c r="AF219" s="88">
        <f t="shared" si="569"/>
        <v>0</v>
      </c>
      <c r="AG219" s="88">
        <f t="shared" si="569"/>
        <v>0</v>
      </c>
      <c r="AH219" s="88">
        <f t="shared" si="569"/>
        <v>0</v>
      </c>
      <c r="AI219" s="88">
        <f t="shared" si="569"/>
        <v>0</v>
      </c>
      <c r="AJ219" s="88">
        <f t="shared" si="569"/>
        <v>1341557.6858572531</v>
      </c>
      <c r="AL219" s="88">
        <f>(AL97+AL103)-AL211-AL213-AL214-AL216-AL215</f>
        <v>1928529.8063230761</v>
      </c>
      <c r="AM219" s="88">
        <f t="shared" ref="AM219:AS219" si="570">(AM97+AM103)-AM211-AM213-AM214-AM216-AM215</f>
        <v>-1249918.8640890305</v>
      </c>
      <c r="AN219" s="88">
        <f t="shared" si="570"/>
        <v>-58967.67200000002</v>
      </c>
      <c r="AO219" s="88">
        <f t="shared" si="570"/>
        <v>0</v>
      </c>
      <c r="AP219" s="88">
        <f t="shared" si="570"/>
        <v>0</v>
      </c>
      <c r="AQ219" s="88">
        <f t="shared" si="570"/>
        <v>0</v>
      </c>
      <c r="AR219" s="88">
        <f t="shared" si="570"/>
        <v>0</v>
      </c>
      <c r="AS219" s="88">
        <f t="shared" si="570"/>
        <v>619643.27023404324</v>
      </c>
      <c r="AU219" s="88">
        <f>(AU97+AU103)-AU211-AU213-AU214-AU216-AU215</f>
        <v>367811.04270932637</v>
      </c>
      <c r="AV219" s="88">
        <f t="shared" ref="AV219:BB219" si="571">(AV97+AV103)-AV211-AV213-AV214-AV216-AV215</f>
        <v>-116155.85240400612</v>
      </c>
      <c r="AW219" s="88">
        <f t="shared" si="571"/>
        <v>-652.67999999999984</v>
      </c>
      <c r="AX219" s="88">
        <f t="shared" si="571"/>
        <v>0</v>
      </c>
      <c r="AY219" s="88">
        <f t="shared" si="571"/>
        <v>0</v>
      </c>
      <c r="AZ219" s="88">
        <f t="shared" si="571"/>
        <v>0</v>
      </c>
      <c r="BA219" s="88">
        <f t="shared" si="571"/>
        <v>0</v>
      </c>
      <c r="BB219" s="88">
        <f t="shared" si="571"/>
        <v>251002.51030532015</v>
      </c>
      <c r="BD219" s="88">
        <f>(BD97+BD103)-BD211-BD213-BD214-BD216-BD215</f>
        <v>677658.72475955589</v>
      </c>
      <c r="BE219" s="88">
        <f t="shared" ref="BE219:BK219" si="572">(BE97+BE103)-BE211-BE213-BE214-BE216-BE215</f>
        <v>-426048.79017857136</v>
      </c>
      <c r="BF219" s="88">
        <f t="shared" si="572"/>
        <v>902.11999999999534</v>
      </c>
      <c r="BG219" s="88">
        <f t="shared" si="572"/>
        <v>0</v>
      </c>
      <c r="BH219" s="88">
        <f t="shared" si="572"/>
        <v>0</v>
      </c>
      <c r="BI219" s="88">
        <f t="shared" si="572"/>
        <v>0</v>
      </c>
      <c r="BJ219" s="88">
        <f t="shared" si="572"/>
        <v>0</v>
      </c>
      <c r="BK219" s="88">
        <f t="shared" si="572"/>
        <v>252512.05458098376</v>
      </c>
      <c r="BM219" s="88">
        <f>(BM97+BM103)-BM211-BM213-BM214-BM216-BM215</f>
        <v>-449456.26106962492</v>
      </c>
      <c r="BN219" s="88">
        <f t="shared" ref="BN219:BT219" si="573">(BN97+BN103)-BN211-BN213-BN214-BN216-BN215</f>
        <v>0</v>
      </c>
      <c r="BO219" s="88">
        <f t="shared" si="573"/>
        <v>-28486</v>
      </c>
      <c r="BP219" s="88">
        <f t="shared" si="573"/>
        <v>0</v>
      </c>
      <c r="BQ219" s="88">
        <f t="shared" si="573"/>
        <v>0</v>
      </c>
      <c r="BR219" s="88">
        <f t="shared" si="573"/>
        <v>0</v>
      </c>
      <c r="BS219" s="88">
        <f t="shared" si="573"/>
        <v>0</v>
      </c>
      <c r="BT219" s="88">
        <f t="shared" si="573"/>
        <v>-477942.26106962492</v>
      </c>
      <c r="BV219" s="88">
        <f>(BV97+BV103)-BV211-BV213-BV214-BV216-BV215</f>
        <v>7475322.2278890694</v>
      </c>
      <c r="BW219" s="88">
        <f t="shared" ref="BW219:CC219" si="574">(BW97+BW103)-BW211-BW213-BW214-BW216-BW215</f>
        <v>-4267457.884428218</v>
      </c>
      <c r="BX219" s="88">
        <f t="shared" si="574"/>
        <v>-389742.84608450066</v>
      </c>
      <c r="BY219" s="88">
        <f t="shared" si="574"/>
        <v>0</v>
      </c>
      <c r="BZ219" s="88">
        <f t="shared" si="574"/>
        <v>0</v>
      </c>
      <c r="CA219" s="88">
        <f t="shared" si="574"/>
        <v>0</v>
      </c>
      <c r="CB219" s="88">
        <f t="shared" si="574"/>
        <v>0</v>
      </c>
      <c r="CC219" s="88">
        <f t="shared" si="574"/>
        <v>2818121.497376347</v>
      </c>
    </row>
    <row r="220" spans="1:81">
      <c r="A220" s="89"/>
      <c r="B220" s="90">
        <f t="shared" ref="B220:I220" si="575">B219/(B97)</f>
        <v>8.1855347276335921E-2</v>
      </c>
      <c r="C220" s="90">
        <f t="shared" si="575"/>
        <v>-0.75356833216175434</v>
      </c>
      <c r="D220" s="90">
        <f t="shared" si="575"/>
        <v>-0.12176062602094595</v>
      </c>
      <c r="E220" s="90" t="e">
        <f t="shared" si="575"/>
        <v>#DIV/0!</v>
      </c>
      <c r="F220" s="90" t="e">
        <f t="shared" si="575"/>
        <v>#DIV/0!</v>
      </c>
      <c r="G220" s="90">
        <f t="shared" si="575"/>
        <v>0</v>
      </c>
      <c r="H220" s="90" t="e">
        <f t="shared" si="575"/>
        <v>#DIV/0!</v>
      </c>
      <c r="I220" s="90">
        <f t="shared" si="575"/>
        <v>1.3767996871635345E-2</v>
      </c>
      <c r="J220" s="7"/>
      <c r="K220" s="90">
        <f t="shared" ref="K220:R220" si="576">K219/(K97)</f>
        <v>7.4528358907179293E-2</v>
      </c>
      <c r="L220" s="90">
        <f t="shared" si="576"/>
        <v>-1.0228478240562178</v>
      </c>
      <c r="M220" s="90">
        <f t="shared" si="576"/>
        <v>-0.23105148991749352</v>
      </c>
      <c r="N220" s="90" t="e">
        <f t="shared" si="576"/>
        <v>#DIV/0!</v>
      </c>
      <c r="O220" s="90" t="e">
        <f t="shared" si="576"/>
        <v>#DIV/0!</v>
      </c>
      <c r="P220" s="90">
        <f t="shared" si="576"/>
        <v>0</v>
      </c>
      <c r="Q220" s="90" t="e">
        <f t="shared" si="576"/>
        <v>#DIV/0!</v>
      </c>
      <c r="R220" s="90">
        <f t="shared" si="576"/>
        <v>1.7459240206291117E-2</v>
      </c>
      <c r="T220" s="90">
        <f t="shared" ref="T220:AA220" si="577">T219/(T97)</f>
        <v>7.9471790624030869E-2</v>
      </c>
      <c r="U220" s="90">
        <f t="shared" si="577"/>
        <v>-0.62755731033518991</v>
      </c>
      <c r="V220" s="90">
        <f t="shared" si="577"/>
        <v>-0.4272009016003333</v>
      </c>
      <c r="W220" s="90" t="e">
        <f t="shared" si="577"/>
        <v>#DIV/0!</v>
      </c>
      <c r="X220" s="90" t="e">
        <f t="shared" si="577"/>
        <v>#DIV/0!</v>
      </c>
      <c r="Y220" s="90">
        <f t="shared" si="577"/>
        <v>0</v>
      </c>
      <c r="Z220" s="90" t="e">
        <f t="shared" si="577"/>
        <v>#DIV/0!</v>
      </c>
      <c r="AA220" s="90">
        <f t="shared" si="577"/>
        <v>3.3240112889157895E-2</v>
      </c>
      <c r="AC220" s="90">
        <f t="shared" ref="AC220:AJ220" si="578">AC219/(AC97)</f>
        <v>9.2649335233579516E-2</v>
      </c>
      <c r="AD220" s="90">
        <f t="shared" si="578"/>
        <v>-0.48774883539999209</v>
      </c>
      <c r="AE220" s="90">
        <f t="shared" si="578"/>
        <v>-0.13663670715835419</v>
      </c>
      <c r="AF220" s="90" t="e">
        <f t="shared" si="578"/>
        <v>#DIV/0!</v>
      </c>
      <c r="AG220" s="90" t="e">
        <f t="shared" si="578"/>
        <v>#DIV/0!</v>
      </c>
      <c r="AH220" s="90">
        <f t="shared" si="578"/>
        <v>0</v>
      </c>
      <c r="AI220" s="90" t="e">
        <f t="shared" si="578"/>
        <v>#DIV/0!</v>
      </c>
      <c r="AJ220" s="90">
        <f t="shared" si="578"/>
        <v>4.4640069458959271E-2</v>
      </c>
      <c r="AL220" s="90">
        <f t="shared" ref="AL220:AS220" si="579">AL219/(AL97)</f>
        <v>7.8663739261024379E-2</v>
      </c>
      <c r="AM220" s="90">
        <f t="shared" si="579"/>
        <v>-0.87385792883988889</v>
      </c>
      <c r="AN220" s="90">
        <f t="shared" si="579"/>
        <v>-0.10160588995430932</v>
      </c>
      <c r="AO220" s="90" t="e">
        <f t="shared" si="579"/>
        <v>#DIV/0!</v>
      </c>
      <c r="AP220" s="90" t="e">
        <f t="shared" si="579"/>
        <v>#DIV/0!</v>
      </c>
      <c r="AQ220" s="90">
        <f t="shared" si="579"/>
        <v>0</v>
      </c>
      <c r="AR220" s="90" t="e">
        <f t="shared" si="579"/>
        <v>#DIV/0!</v>
      </c>
      <c r="AS220" s="90">
        <f t="shared" si="579"/>
        <v>2.1721424950962378E-2</v>
      </c>
      <c r="AU220" s="90">
        <f t="shared" ref="AU220:BB220" si="580">AU219/(AU97)</f>
        <v>0.24328397670740415</v>
      </c>
      <c r="AV220" s="90">
        <f t="shared" si="580"/>
        <v>-1.0862014856381079</v>
      </c>
      <c r="AW220" s="90">
        <f t="shared" si="580"/>
        <v>-0.29907621247113153</v>
      </c>
      <c r="AX220" s="90" t="e">
        <f t="shared" si="580"/>
        <v>#DIV/0!</v>
      </c>
      <c r="AY220" s="90" t="e">
        <f t="shared" si="580"/>
        <v>#DIV/0!</v>
      </c>
      <c r="AZ220" s="90" t="e">
        <f t="shared" si="580"/>
        <v>#DIV/0!</v>
      </c>
      <c r="BA220" s="90" t="e">
        <f t="shared" si="580"/>
        <v>#DIV/0!</v>
      </c>
      <c r="BB220" s="90">
        <f t="shared" si="580"/>
        <v>0.15484625622853626</v>
      </c>
      <c r="BD220" s="90">
        <f t="shared" ref="BD220:BK220" si="581">BD219/(BD97)</f>
        <v>0.13095711059735915</v>
      </c>
      <c r="BE220" s="90">
        <f t="shared" si="581"/>
        <v>-2.7429272883548577</v>
      </c>
      <c r="BF220" s="90">
        <f t="shared" si="581"/>
        <v>1.5986695168109378E-3</v>
      </c>
      <c r="BG220" s="90" t="e">
        <f t="shared" si="581"/>
        <v>#DIV/0!</v>
      </c>
      <c r="BH220" s="90" t="e">
        <f t="shared" si="581"/>
        <v>#DIV/0!</v>
      </c>
      <c r="BI220" s="90">
        <f t="shared" si="581"/>
        <v>0</v>
      </c>
      <c r="BJ220" s="90" t="e">
        <f t="shared" si="581"/>
        <v>#DIV/0!</v>
      </c>
      <c r="BK220" s="90">
        <f t="shared" si="581"/>
        <v>4.2479823490032133E-2</v>
      </c>
      <c r="BM220" s="90" t="e">
        <f t="shared" ref="BM220:BT220" si="582">BM219/(BM97)</f>
        <v>#DIV/0!</v>
      </c>
      <c r="BN220" s="90" t="e">
        <f t="shared" si="582"/>
        <v>#DIV/0!</v>
      </c>
      <c r="BO220" s="90" t="e">
        <f t="shared" si="582"/>
        <v>#DIV/0!</v>
      </c>
      <c r="BP220" s="90" t="e">
        <f t="shared" si="582"/>
        <v>#DIV/0!</v>
      </c>
      <c r="BQ220" s="90" t="e">
        <f t="shared" si="582"/>
        <v>#DIV/0!</v>
      </c>
      <c r="BR220" s="90" t="e">
        <f t="shared" si="582"/>
        <v>#DIV/0!</v>
      </c>
      <c r="BS220" s="90" t="e">
        <f t="shared" si="582"/>
        <v>#DIV/0!</v>
      </c>
      <c r="BT220" s="90" t="e">
        <f t="shared" si="582"/>
        <v>#DIV/0!</v>
      </c>
      <c r="BV220" s="90">
        <f t="shared" ref="BV220:CC220" si="583">BV219/(BV97)</f>
        <v>8.3471763039716221E-2</v>
      </c>
      <c r="BW220" s="90">
        <f t="shared" si="583"/>
        <v>-0.76131876869934234</v>
      </c>
      <c r="BX220" s="90">
        <f t="shared" si="583"/>
        <v>-0.1364674165282157</v>
      </c>
      <c r="BY220" s="90" t="e">
        <f t="shared" si="583"/>
        <v>#DIV/0!</v>
      </c>
      <c r="BZ220" s="90" t="e">
        <f t="shared" si="583"/>
        <v>#DIV/0!</v>
      </c>
      <c r="CA220" s="90">
        <f t="shared" si="583"/>
        <v>0</v>
      </c>
      <c r="CB220" s="90" t="e">
        <f t="shared" si="583"/>
        <v>#DIV/0!</v>
      </c>
      <c r="CC220" s="90">
        <f t="shared" si="583"/>
        <v>2.7309656768775201E-2</v>
      </c>
    </row>
    <row r="221" spans="1:81">
      <c r="B221" s="91"/>
      <c r="C221" s="91"/>
      <c r="D221" s="91"/>
      <c r="E221" s="91"/>
      <c r="F221" s="91"/>
      <c r="G221" s="91"/>
      <c r="H221" s="91"/>
      <c r="I221" s="91"/>
      <c r="K221" s="91"/>
      <c r="L221" s="91"/>
      <c r="M221" s="91"/>
      <c r="N221" s="91"/>
      <c r="O221" s="91"/>
      <c r="P221" s="91"/>
      <c r="Q221" s="91"/>
      <c r="R221" s="91"/>
      <c r="T221" s="91"/>
      <c r="U221" s="91"/>
      <c r="V221" s="91"/>
      <c r="W221" s="91"/>
      <c r="X221" s="91"/>
      <c r="Y221" s="91"/>
      <c r="Z221" s="91"/>
      <c r="AA221" s="91"/>
      <c r="AC221" s="91"/>
      <c r="AD221" s="91"/>
      <c r="AE221" s="91"/>
      <c r="AF221" s="91"/>
      <c r="AG221" s="91"/>
      <c r="AH221" s="91"/>
      <c r="AI221" s="91"/>
      <c r="AJ221" s="91"/>
      <c r="AL221" s="91"/>
      <c r="AM221" s="91"/>
      <c r="AN221" s="91"/>
      <c r="AO221" s="91"/>
      <c r="AP221" s="91"/>
      <c r="AQ221" s="91"/>
      <c r="AR221" s="91"/>
      <c r="AS221" s="91"/>
      <c r="AU221" s="91"/>
      <c r="AV221" s="91"/>
      <c r="AW221" s="91"/>
      <c r="AX221" s="91"/>
      <c r="AY221" s="91"/>
      <c r="AZ221" s="91"/>
      <c r="BA221" s="91"/>
      <c r="BB221" s="91"/>
      <c r="BD221" s="91"/>
      <c r="BE221" s="91"/>
      <c r="BF221" s="91"/>
      <c r="BG221" s="91"/>
      <c r="BH221" s="91"/>
      <c r="BI221" s="91"/>
      <c r="BJ221" s="91"/>
      <c r="BK221" s="91"/>
      <c r="BM221" s="91"/>
      <c r="BN221" s="91"/>
      <c r="BO221" s="91"/>
      <c r="BP221" s="91"/>
      <c r="BQ221" s="91"/>
      <c r="BR221" s="91"/>
      <c r="BS221" s="91"/>
      <c r="BT221" s="91"/>
      <c r="BV221" s="91"/>
      <c r="BW221" s="91"/>
      <c r="BX221" s="91"/>
      <c r="BY221" s="91"/>
      <c r="BZ221" s="91"/>
      <c r="CA221" s="91"/>
      <c r="CB221" s="91"/>
      <c r="CC221" s="91"/>
    </row>
    <row r="222" spans="1:81" ht="15">
      <c r="A222" s="1" t="str">
        <f t="shared" ref="A222:I222" si="584">A1</f>
        <v>Pinecrest Academy of Nevada - FY28</v>
      </c>
      <c r="B222" s="1" t="str">
        <f t="shared" si="584"/>
        <v>Operating</v>
      </c>
      <c r="C222" s="1" t="str">
        <f t="shared" si="584"/>
        <v>SPED</v>
      </c>
      <c r="D222" s="1" t="str">
        <f t="shared" si="584"/>
        <v>NSLP</v>
      </c>
      <c r="E222" s="1" t="str">
        <f t="shared" si="584"/>
        <v>Other</v>
      </c>
      <c r="F222" s="1" t="str">
        <f t="shared" si="584"/>
        <v>Title I</v>
      </c>
      <c r="G222" s="1" t="str">
        <f t="shared" si="584"/>
        <v>SGF</v>
      </c>
      <c r="H222" s="1" t="str">
        <f t="shared" si="584"/>
        <v>Title III</v>
      </c>
      <c r="I222" s="1" t="str">
        <f t="shared" si="584"/>
        <v>Horizon</v>
      </c>
      <c r="J222" s="2"/>
      <c r="K222" s="1" t="str">
        <f t="shared" ref="K222:R222" si="585">K1</f>
        <v>Operating</v>
      </c>
      <c r="L222" s="1" t="str">
        <f t="shared" si="585"/>
        <v>SPED</v>
      </c>
      <c r="M222" s="1" t="str">
        <f t="shared" si="585"/>
        <v>NSLP</v>
      </c>
      <c r="N222" s="1" t="str">
        <f t="shared" si="585"/>
        <v>Other</v>
      </c>
      <c r="O222" s="1" t="str">
        <f t="shared" si="585"/>
        <v>Title I</v>
      </c>
      <c r="P222" s="1" t="str">
        <f t="shared" si="585"/>
        <v>SGF</v>
      </c>
      <c r="Q222" s="1" t="str">
        <f t="shared" si="585"/>
        <v>Title III</v>
      </c>
      <c r="R222" s="1" t="str">
        <f t="shared" si="585"/>
        <v>St. Rose</v>
      </c>
      <c r="T222" s="1" t="str">
        <f t="shared" ref="T222:AA222" si="586">T1</f>
        <v>Operating</v>
      </c>
      <c r="U222" s="1" t="str">
        <f t="shared" si="586"/>
        <v>SPED</v>
      </c>
      <c r="V222" s="1" t="str">
        <f t="shared" si="586"/>
        <v>NSLP</v>
      </c>
      <c r="W222" s="1" t="str">
        <f t="shared" si="586"/>
        <v>Other</v>
      </c>
      <c r="X222" s="1" t="str">
        <f t="shared" si="586"/>
        <v>Title I</v>
      </c>
      <c r="Y222" s="1" t="str">
        <f t="shared" si="586"/>
        <v>SGF</v>
      </c>
      <c r="Z222" s="1" t="str">
        <f t="shared" si="586"/>
        <v>Title III</v>
      </c>
      <c r="AA222" s="1" t="str">
        <f t="shared" si="586"/>
        <v>Inspirada</v>
      </c>
      <c r="AC222" s="1" t="str">
        <f t="shared" ref="AC222:AJ222" si="587">AC1</f>
        <v>Operating</v>
      </c>
      <c r="AD222" s="1" t="str">
        <f t="shared" si="587"/>
        <v>SPED</v>
      </c>
      <c r="AE222" s="1" t="str">
        <f t="shared" si="587"/>
        <v>NSLP</v>
      </c>
      <c r="AF222" s="1" t="str">
        <f t="shared" si="587"/>
        <v>Other</v>
      </c>
      <c r="AG222" s="1" t="str">
        <f t="shared" si="587"/>
        <v>Title I</v>
      </c>
      <c r="AH222" s="1" t="str">
        <f t="shared" si="587"/>
        <v>SGF</v>
      </c>
      <c r="AI222" s="1" t="str">
        <f t="shared" si="587"/>
        <v>Title III</v>
      </c>
      <c r="AJ222" s="1" t="str">
        <f t="shared" si="587"/>
        <v>Cadence</v>
      </c>
      <c r="AL222" s="1" t="str">
        <f t="shared" ref="AL222:AS222" si="588">AL1</f>
        <v>Operating</v>
      </c>
      <c r="AM222" s="1" t="str">
        <f t="shared" si="588"/>
        <v>SPED</v>
      </c>
      <c r="AN222" s="1" t="str">
        <f t="shared" si="588"/>
        <v>NSLP</v>
      </c>
      <c r="AO222" s="1" t="str">
        <f t="shared" si="588"/>
        <v>Other</v>
      </c>
      <c r="AP222" s="1" t="str">
        <f t="shared" si="588"/>
        <v>Title I</v>
      </c>
      <c r="AQ222" s="1" t="str">
        <f t="shared" si="588"/>
        <v>SGF</v>
      </c>
      <c r="AR222" s="1" t="str">
        <f t="shared" si="588"/>
        <v>Title III</v>
      </c>
      <c r="AS222" s="1" t="str">
        <f t="shared" si="588"/>
        <v>Sloan</v>
      </c>
      <c r="AU222" s="1" t="str">
        <f t="shared" ref="AU222:BB222" si="589">AU1</f>
        <v>Operating</v>
      </c>
      <c r="AV222" s="1" t="str">
        <f t="shared" si="589"/>
        <v>SPED</v>
      </c>
      <c r="AW222" s="1" t="str">
        <f t="shared" si="589"/>
        <v>NSLP</v>
      </c>
      <c r="AX222" s="1" t="str">
        <f t="shared" si="589"/>
        <v>Other</v>
      </c>
      <c r="AY222" s="1" t="str">
        <f t="shared" si="589"/>
        <v>Title I</v>
      </c>
      <c r="AZ222" s="1" t="str">
        <f t="shared" si="589"/>
        <v>SGF</v>
      </c>
      <c r="BA222" s="1" t="str">
        <f t="shared" si="589"/>
        <v>Title III</v>
      </c>
      <c r="BB222" s="1" t="str">
        <f t="shared" si="589"/>
        <v>Virtual</v>
      </c>
      <c r="BD222" s="1" t="str">
        <f t="shared" ref="BD222:BK222" si="590">BD1</f>
        <v>Operating</v>
      </c>
      <c r="BE222" s="1" t="str">
        <f t="shared" si="590"/>
        <v>SPED</v>
      </c>
      <c r="BF222" s="1" t="str">
        <f t="shared" si="590"/>
        <v>NSLP</v>
      </c>
      <c r="BG222" s="1" t="str">
        <f t="shared" si="590"/>
        <v>Other</v>
      </c>
      <c r="BH222" s="1" t="str">
        <f t="shared" si="590"/>
        <v>Title I</v>
      </c>
      <c r="BI222" s="1" t="str">
        <f t="shared" si="590"/>
        <v>SGF</v>
      </c>
      <c r="BJ222" s="1" t="str">
        <f t="shared" si="590"/>
        <v>Title III</v>
      </c>
      <c r="BK222" s="1" t="str">
        <f t="shared" si="590"/>
        <v>Springs</v>
      </c>
      <c r="BM222" s="1" t="str">
        <f t="shared" ref="BM222:BT222" si="591">BM1</f>
        <v>Operating</v>
      </c>
      <c r="BN222" s="1" t="str">
        <f t="shared" si="591"/>
        <v>SPED</v>
      </c>
      <c r="BO222" s="1" t="str">
        <f t="shared" si="591"/>
        <v>NSLP</v>
      </c>
      <c r="BP222" s="1" t="str">
        <f t="shared" si="591"/>
        <v>Other</v>
      </c>
      <c r="BQ222" s="1" t="str">
        <f t="shared" si="591"/>
        <v>Title I</v>
      </c>
      <c r="BR222" s="1" t="str">
        <f t="shared" si="591"/>
        <v>SGF</v>
      </c>
      <c r="BS222" s="1" t="str">
        <f t="shared" si="591"/>
        <v>Title III</v>
      </c>
      <c r="BT222" s="1" t="str">
        <f t="shared" si="591"/>
        <v>Exec. Office</v>
      </c>
      <c r="BV222" s="1" t="str">
        <f t="shared" ref="BV222:CC222" si="592">BV1</f>
        <v>Operating</v>
      </c>
      <c r="BW222" s="1" t="str">
        <f t="shared" si="592"/>
        <v>SPED</v>
      </c>
      <c r="BX222" s="1" t="str">
        <f t="shared" si="592"/>
        <v>NSLP</v>
      </c>
      <c r="BY222" s="1" t="str">
        <f t="shared" si="592"/>
        <v>Other</v>
      </c>
      <c r="BZ222" s="1" t="str">
        <f t="shared" si="592"/>
        <v>Title I</v>
      </c>
      <c r="CA222" s="1" t="str">
        <f t="shared" si="592"/>
        <v>SGF</v>
      </c>
      <c r="CB222" s="1" t="str">
        <f t="shared" si="592"/>
        <v>Title III</v>
      </c>
      <c r="CC222" s="1" t="str">
        <f t="shared" si="592"/>
        <v>Systemwide</v>
      </c>
    </row>
    <row r="224" spans="1:81" s="14" customFormat="1">
      <c r="A224" s="7"/>
      <c r="B224" s="92"/>
      <c r="C224" s="92"/>
      <c r="D224" s="92"/>
      <c r="E224" s="92"/>
      <c r="F224" s="92"/>
      <c r="G224" s="92"/>
      <c r="H224" s="92"/>
      <c r="I224" s="92"/>
      <c r="K224" s="92"/>
      <c r="L224" s="92"/>
      <c r="M224" s="92"/>
      <c r="N224" s="92"/>
      <c r="O224" s="92"/>
      <c r="P224" s="92"/>
      <c r="Q224" s="92"/>
      <c r="R224" s="92"/>
      <c r="T224" s="92"/>
      <c r="U224" s="92"/>
      <c r="V224" s="92"/>
      <c r="W224" s="92"/>
      <c r="X224" s="92"/>
      <c r="Y224" s="92"/>
      <c r="Z224" s="92"/>
      <c r="AA224" s="92"/>
      <c r="AC224" s="92"/>
      <c r="AD224" s="92"/>
      <c r="AE224" s="92"/>
      <c r="AF224" s="92"/>
      <c r="AG224" s="92"/>
      <c r="AH224" s="92"/>
      <c r="AI224" s="92"/>
      <c r="AJ224" s="92"/>
      <c r="AL224" s="92"/>
      <c r="AM224" s="92"/>
      <c r="AN224" s="92"/>
      <c r="AO224" s="92"/>
      <c r="AP224" s="92"/>
      <c r="AQ224" s="92"/>
      <c r="AR224" s="92"/>
      <c r="AS224" s="92"/>
      <c r="AU224" s="92"/>
      <c r="AV224" s="92"/>
      <c r="AW224" s="92"/>
      <c r="AX224" s="92"/>
      <c r="AY224" s="92"/>
      <c r="AZ224" s="92"/>
      <c r="BA224" s="92"/>
      <c r="BB224" s="92"/>
      <c r="BD224" s="92"/>
      <c r="BE224" s="92"/>
      <c r="BF224" s="92"/>
      <c r="BG224" s="92"/>
      <c r="BH224" s="92"/>
      <c r="BI224" s="92"/>
      <c r="BJ224" s="92"/>
      <c r="BK224" s="92"/>
      <c r="BM224" s="92"/>
      <c r="BN224" s="92"/>
      <c r="BO224" s="92"/>
      <c r="BP224" s="92"/>
      <c r="BQ224" s="92"/>
      <c r="BR224" s="92"/>
      <c r="BS224" s="92"/>
      <c r="BT224" s="92"/>
      <c r="BV224" s="92"/>
      <c r="BW224" s="92"/>
      <c r="BX224" s="92"/>
      <c r="BY224" s="92"/>
      <c r="BZ224" s="92"/>
      <c r="CA224" s="92"/>
      <c r="CB224" s="92"/>
      <c r="CC224" s="92"/>
    </row>
    <row r="225" spans="1:81" s="14" customFormat="1">
      <c r="A225" s="7"/>
      <c r="B225" s="137"/>
      <c r="C225" s="138"/>
      <c r="D225" s="138"/>
      <c r="E225" s="139"/>
      <c r="F225" s="95"/>
      <c r="G225" s="95"/>
      <c r="H225" s="95"/>
      <c r="I225" s="95"/>
      <c r="K225" s="92"/>
      <c r="L225" s="95"/>
      <c r="M225" s="95"/>
      <c r="N225" s="95"/>
      <c r="O225" s="95"/>
      <c r="P225" s="95"/>
      <c r="Q225" s="95"/>
      <c r="R225" s="95"/>
      <c r="S225" s="7"/>
      <c r="T225" s="92"/>
      <c r="U225" s="95"/>
      <c r="V225" s="95"/>
      <c r="W225" s="95"/>
      <c r="X225" s="95"/>
      <c r="Y225" s="95"/>
      <c r="Z225" s="95"/>
      <c r="AA225" s="95"/>
      <c r="AB225" s="7"/>
      <c r="AC225" s="92"/>
      <c r="AD225" s="95"/>
      <c r="AE225" s="95"/>
      <c r="AF225" s="95"/>
      <c r="AG225" s="95"/>
      <c r="AH225" s="95"/>
      <c r="AI225" s="95"/>
      <c r="AJ225" s="95"/>
      <c r="AK225" s="7"/>
      <c r="AL225" s="92"/>
      <c r="AM225" s="95"/>
      <c r="AN225" s="95"/>
      <c r="AO225" s="95"/>
      <c r="AP225" s="95"/>
      <c r="AQ225" s="95"/>
      <c r="AR225" s="95"/>
      <c r="AS225" s="95"/>
      <c r="AT225" s="7"/>
      <c r="AU225" s="92"/>
      <c r="AV225" s="95"/>
      <c r="AW225" s="95"/>
      <c r="AX225" s="95"/>
      <c r="AY225" s="95"/>
      <c r="AZ225" s="95"/>
      <c r="BA225" s="95"/>
      <c r="BB225" s="95"/>
      <c r="BC225" s="7"/>
      <c r="BD225" s="92"/>
      <c r="BE225" s="95"/>
      <c r="BF225" s="95"/>
      <c r="BG225" s="95"/>
      <c r="BH225" s="95"/>
      <c r="BI225" s="95"/>
      <c r="BJ225" s="95"/>
      <c r="BK225" s="95"/>
      <c r="BL225" s="7"/>
      <c r="BM225" s="92"/>
      <c r="BN225" s="95"/>
      <c r="BO225" s="95"/>
      <c r="BP225" s="95"/>
      <c r="BQ225" s="95"/>
      <c r="BR225" s="95"/>
      <c r="BS225" s="95"/>
      <c r="BT225" s="95"/>
      <c r="BU225" s="7"/>
      <c r="BV225" s="92"/>
      <c r="BW225" s="95"/>
      <c r="BX225" s="95"/>
      <c r="BY225" s="95"/>
      <c r="BZ225" s="95"/>
      <c r="CA225" s="95"/>
      <c r="CB225" s="95"/>
      <c r="CC225" s="95"/>
    </row>
    <row r="226" spans="1:81">
      <c r="B226" s="139"/>
      <c r="C226" s="138"/>
      <c r="D226" s="138"/>
      <c r="E226" s="139"/>
    </row>
    <row r="227" spans="1:81">
      <c r="B227" s="139"/>
      <c r="C227" s="138"/>
      <c r="D227" s="138"/>
      <c r="E227" s="138"/>
    </row>
  </sheetData>
  <pageMargins left="0.7" right="0.7" top="0.75" bottom="0.75" header="0.3" footer="0.3"/>
  <pageSetup scale="42" fitToHeight="0" orientation="portrait" r:id="rId1"/>
  <rowBreaks count="2" manualBreakCount="2">
    <brk id="80" max="9" man="1"/>
    <brk id="170" max="9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27"/>
  <sheetViews>
    <sheetView zoomScale="75" zoomScaleNormal="75" workbookViewId="0">
      <pane xSplit="1" ySplit="1" topLeftCell="AB145" activePane="bottomRight" state="frozen"/>
      <selection activeCell="E165" sqref="E164:E165"/>
      <selection pane="topRight" activeCell="E165" sqref="E164:E165"/>
      <selection pane="bottomLeft" activeCell="E165" sqref="E164:E165"/>
      <selection pane="bottomRight" activeCell="E165" sqref="E164:E165"/>
    </sheetView>
  </sheetViews>
  <sheetFormatPr defaultColWidth="8.625" defaultRowHeight="14.25"/>
  <cols>
    <col min="1" max="1" width="56.5" style="7" customWidth="1"/>
    <col min="2" max="7" width="15.625" style="92" customWidth="1"/>
    <col min="8" max="8" width="15.625" style="92" hidden="1" customWidth="1"/>
    <col min="9" max="9" width="15.625" style="92" customWidth="1"/>
    <col min="10" max="10" width="10.125" style="14" bestFit="1" customWidth="1"/>
    <col min="11" max="16" width="15.625" style="92" customWidth="1"/>
    <col min="17" max="17" width="15.625" style="92" hidden="1" customWidth="1"/>
    <col min="18" max="18" width="15.625" style="92" customWidth="1"/>
    <col min="19" max="19" width="8.625" style="7"/>
    <col min="20" max="25" width="15.625" style="92" customWidth="1"/>
    <col min="26" max="26" width="15.625" style="92" hidden="1" customWidth="1"/>
    <col min="27" max="27" width="15.625" style="92" customWidth="1"/>
    <col min="28" max="28" width="8.625" style="7"/>
    <col min="29" max="34" width="15.625" style="92" customWidth="1"/>
    <col min="35" max="35" width="15.625" style="92" hidden="1" customWidth="1"/>
    <col min="36" max="36" width="15.625" style="92" customWidth="1"/>
    <col min="37" max="37" width="8.625" style="7"/>
    <col min="38" max="43" width="15.625" style="92" customWidth="1"/>
    <col min="44" max="44" width="15.625" style="92" hidden="1" customWidth="1"/>
    <col min="45" max="45" width="15.625" style="92" customWidth="1"/>
    <col min="46" max="46" width="8.625" style="7"/>
    <col min="47" max="52" width="15.625" style="92" customWidth="1"/>
    <col min="53" max="53" width="15.625" style="92" hidden="1" customWidth="1"/>
    <col min="54" max="54" width="15.625" style="92" customWidth="1"/>
    <col min="55" max="55" width="8.625" style="7"/>
    <col min="56" max="61" width="15.625" style="92" customWidth="1"/>
    <col min="62" max="62" width="15.625" style="92" hidden="1" customWidth="1"/>
    <col min="63" max="63" width="15.625" style="92" customWidth="1"/>
    <col min="64" max="64" width="8.625" style="7"/>
    <col min="65" max="70" width="15.625" style="92" customWidth="1"/>
    <col min="71" max="71" width="15.625" style="92" hidden="1" customWidth="1"/>
    <col min="72" max="72" width="15.625" style="92" customWidth="1"/>
    <col min="73" max="73" width="8.625" style="7"/>
    <col min="74" max="79" width="15.625" style="92" customWidth="1"/>
    <col min="80" max="80" width="15.625" style="92" hidden="1" customWidth="1"/>
    <col min="81" max="81" width="15.625" style="92" customWidth="1"/>
    <col min="82" max="16384" width="8.625" style="7"/>
  </cols>
  <sheetData>
    <row r="1" spans="1:82" s="3" customFormat="1" ht="15">
      <c r="A1" s="1" t="s">
        <v>255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196</v>
      </c>
      <c r="J1" s="2"/>
      <c r="K1" s="1" t="s">
        <v>0</v>
      </c>
      <c r="L1" s="1" t="s">
        <v>1</v>
      </c>
      <c r="M1" s="1" t="s">
        <v>2</v>
      </c>
      <c r="N1" s="1" t="s">
        <v>3</v>
      </c>
      <c r="O1" s="1" t="s">
        <v>4</v>
      </c>
      <c r="P1" s="1" t="s">
        <v>5</v>
      </c>
      <c r="Q1" s="1" t="s">
        <v>6</v>
      </c>
      <c r="R1" s="1" t="s">
        <v>198</v>
      </c>
      <c r="T1" s="1" t="s">
        <v>0</v>
      </c>
      <c r="U1" s="1" t="s">
        <v>1</v>
      </c>
      <c r="V1" s="1" t="s">
        <v>2</v>
      </c>
      <c r="W1" s="1" t="s">
        <v>3</v>
      </c>
      <c r="X1" s="1" t="s">
        <v>4</v>
      </c>
      <c r="Y1" s="1" t="s">
        <v>5</v>
      </c>
      <c r="Z1" s="1" t="s">
        <v>6</v>
      </c>
      <c r="AA1" s="1" t="s">
        <v>199</v>
      </c>
      <c r="AC1" s="1" t="s">
        <v>0</v>
      </c>
      <c r="AD1" s="1" t="s">
        <v>1</v>
      </c>
      <c r="AE1" s="1" t="s">
        <v>2</v>
      </c>
      <c r="AF1" s="1" t="s">
        <v>3</v>
      </c>
      <c r="AG1" s="1" t="s">
        <v>4</v>
      </c>
      <c r="AH1" s="1" t="s">
        <v>5</v>
      </c>
      <c r="AI1" s="1" t="s">
        <v>6</v>
      </c>
      <c r="AJ1" s="1" t="s">
        <v>200</v>
      </c>
      <c r="AL1" s="1" t="s">
        <v>0</v>
      </c>
      <c r="AM1" s="1" t="s">
        <v>1</v>
      </c>
      <c r="AN1" s="1" t="s">
        <v>2</v>
      </c>
      <c r="AO1" s="1" t="s">
        <v>3</v>
      </c>
      <c r="AP1" s="1" t="s">
        <v>4</v>
      </c>
      <c r="AQ1" s="1" t="s">
        <v>5</v>
      </c>
      <c r="AR1" s="1" t="s">
        <v>6</v>
      </c>
      <c r="AS1" s="1" t="s">
        <v>201</v>
      </c>
      <c r="AU1" s="1" t="s">
        <v>0</v>
      </c>
      <c r="AV1" s="1" t="s">
        <v>1</v>
      </c>
      <c r="AW1" s="1" t="s">
        <v>2</v>
      </c>
      <c r="AX1" s="1" t="s">
        <v>3</v>
      </c>
      <c r="AY1" s="1" t="s">
        <v>4</v>
      </c>
      <c r="AZ1" s="1" t="s">
        <v>5</v>
      </c>
      <c r="BA1" s="1" t="s">
        <v>6</v>
      </c>
      <c r="BB1" s="1" t="s">
        <v>202</v>
      </c>
      <c r="BD1" s="1" t="s">
        <v>0</v>
      </c>
      <c r="BE1" s="1" t="s">
        <v>1</v>
      </c>
      <c r="BF1" s="1" t="s">
        <v>2</v>
      </c>
      <c r="BG1" s="1" t="s">
        <v>3</v>
      </c>
      <c r="BH1" s="1" t="s">
        <v>4</v>
      </c>
      <c r="BI1" s="1" t="s">
        <v>5</v>
      </c>
      <c r="BJ1" s="1" t="s">
        <v>6</v>
      </c>
      <c r="BK1" s="1" t="s">
        <v>203</v>
      </c>
      <c r="BM1" s="1" t="s">
        <v>0</v>
      </c>
      <c r="BN1" s="1" t="s">
        <v>1</v>
      </c>
      <c r="BO1" s="1" t="s">
        <v>2</v>
      </c>
      <c r="BP1" s="1" t="s">
        <v>3</v>
      </c>
      <c r="BQ1" s="1" t="s">
        <v>4</v>
      </c>
      <c r="BR1" s="1" t="s">
        <v>5</v>
      </c>
      <c r="BS1" s="1" t="s">
        <v>6</v>
      </c>
      <c r="BT1" s="1" t="s">
        <v>204</v>
      </c>
      <c r="BV1" s="1" t="s">
        <v>0</v>
      </c>
      <c r="BW1" s="1" t="s">
        <v>1</v>
      </c>
      <c r="BX1" s="1" t="s">
        <v>2</v>
      </c>
      <c r="BY1" s="1" t="s">
        <v>3</v>
      </c>
      <c r="BZ1" s="1" t="s">
        <v>4</v>
      </c>
      <c r="CA1" s="1" t="s">
        <v>5</v>
      </c>
      <c r="CB1" s="1" t="s">
        <v>6</v>
      </c>
      <c r="CC1" s="1" t="s">
        <v>205</v>
      </c>
    </row>
    <row r="2" spans="1:82">
      <c r="A2" s="4" t="s">
        <v>7</v>
      </c>
      <c r="B2" s="5">
        <v>9998</v>
      </c>
      <c r="C2" s="5"/>
      <c r="D2" s="5"/>
      <c r="E2" s="5"/>
      <c r="F2" s="5"/>
      <c r="G2" s="5"/>
      <c r="H2" s="5"/>
      <c r="I2" s="5">
        <f>SUM(B2:H2)</f>
        <v>9998</v>
      </c>
      <c r="J2" s="6"/>
      <c r="K2" s="5">
        <v>9998</v>
      </c>
      <c r="L2" s="5"/>
      <c r="M2" s="5"/>
      <c r="N2" s="5"/>
      <c r="O2" s="5"/>
      <c r="P2" s="5"/>
      <c r="Q2" s="5"/>
      <c r="R2" s="5">
        <f>SUM(K2:Q2)</f>
        <v>9998</v>
      </c>
      <c r="T2" s="5">
        <v>9998</v>
      </c>
      <c r="U2" s="5"/>
      <c r="V2" s="5"/>
      <c r="W2" s="5"/>
      <c r="X2" s="5"/>
      <c r="Y2" s="5"/>
      <c r="Z2" s="5"/>
      <c r="AA2" s="5">
        <f>SUM(T2:Z2)</f>
        <v>9998</v>
      </c>
      <c r="AC2" s="5">
        <v>9998</v>
      </c>
      <c r="AD2" s="5"/>
      <c r="AE2" s="5"/>
      <c r="AF2" s="5"/>
      <c r="AG2" s="5"/>
      <c r="AH2" s="5"/>
      <c r="AI2" s="5"/>
      <c r="AJ2" s="5">
        <f>SUM(AC2:AI2)</f>
        <v>9998</v>
      </c>
      <c r="AL2" s="5">
        <v>9998</v>
      </c>
      <c r="AM2" s="5"/>
      <c r="AN2" s="5"/>
      <c r="AO2" s="5"/>
      <c r="AP2" s="5"/>
      <c r="AQ2" s="5"/>
      <c r="AR2" s="5"/>
      <c r="AS2" s="5">
        <f>SUM(AL2:AR2)</f>
        <v>9998</v>
      </c>
      <c r="AU2" s="5">
        <v>9998</v>
      </c>
      <c r="AV2" s="5"/>
      <c r="AW2" s="5"/>
      <c r="AX2" s="5"/>
      <c r="AY2" s="5"/>
      <c r="AZ2" s="5"/>
      <c r="BA2" s="5"/>
      <c r="BB2" s="5">
        <f>SUM(AU2:BA2)</f>
        <v>9998</v>
      </c>
      <c r="BD2" s="5">
        <v>9998</v>
      </c>
      <c r="BE2" s="5"/>
      <c r="BF2" s="5"/>
      <c r="BG2" s="5"/>
      <c r="BH2" s="5"/>
      <c r="BI2" s="5"/>
      <c r="BJ2" s="5"/>
      <c r="BK2" s="5">
        <f>SUM(BD2:BJ2)</f>
        <v>9998</v>
      </c>
      <c r="BM2" s="5">
        <v>9998</v>
      </c>
      <c r="BN2" s="5"/>
      <c r="BO2" s="5"/>
      <c r="BP2" s="5"/>
      <c r="BQ2" s="5"/>
      <c r="BR2" s="5"/>
      <c r="BS2" s="5"/>
      <c r="BT2" s="5">
        <f>SUM(BM2:BS2)</f>
        <v>9998</v>
      </c>
      <c r="BV2" s="5">
        <v>9998</v>
      </c>
      <c r="BW2" s="5"/>
      <c r="BX2" s="5"/>
      <c r="BY2" s="5"/>
      <c r="BZ2" s="5"/>
      <c r="CA2" s="5"/>
      <c r="CB2" s="5"/>
      <c r="CC2" s="5">
        <f>SUM(BV2:CB2)</f>
        <v>9998</v>
      </c>
    </row>
    <row r="3" spans="1:82" ht="15">
      <c r="A3" s="8" t="s">
        <v>8</v>
      </c>
      <c r="B3" s="9">
        <f t="shared" ref="B3" si="0">B4+B5+B6+B7+B8+B9+B10+B11+B12+B13+B14+B15+B16</f>
        <v>930</v>
      </c>
      <c r="C3" s="9"/>
      <c r="D3" s="9"/>
      <c r="E3" s="9"/>
      <c r="F3" s="9"/>
      <c r="G3" s="9"/>
      <c r="H3" s="9"/>
      <c r="I3" s="9">
        <f t="shared" ref="I3:I16" si="1">SUM(B3:H3)</f>
        <v>930</v>
      </c>
      <c r="J3" s="6"/>
      <c r="K3" s="9">
        <f t="shared" ref="K3" si="2">K4+K5+K6+K7+K8+K9+K10+K11+K12+K13+K14+K15+K16</f>
        <v>1032</v>
      </c>
      <c r="L3" s="9"/>
      <c r="M3" s="9"/>
      <c r="N3" s="9"/>
      <c r="O3" s="9"/>
      <c r="P3" s="9"/>
      <c r="Q3" s="9"/>
      <c r="R3" s="9">
        <f t="shared" ref="R3:R16" si="3">SUM(K3:Q3)</f>
        <v>1032</v>
      </c>
      <c r="T3" s="9">
        <f t="shared" ref="T3" si="4">T4+T5+T6+T7+T8+T9+T10+T11+T12+T13+T14+T15+T16</f>
        <v>1245</v>
      </c>
      <c r="U3" s="9"/>
      <c r="V3" s="9"/>
      <c r="W3" s="9"/>
      <c r="X3" s="9"/>
      <c r="Y3" s="9"/>
      <c r="Z3" s="9"/>
      <c r="AA3" s="9">
        <f t="shared" ref="AA3:AA16" si="5">SUM(T3:Z3)</f>
        <v>1245</v>
      </c>
      <c r="AC3" s="9">
        <f t="shared" ref="AC3" si="6">AC4+AC5+AC6+AC7+AC8+AC9+AC10+AC11+AC12+AC13+AC14+AC15+AC16</f>
        <v>2546</v>
      </c>
      <c r="AD3" s="9"/>
      <c r="AE3" s="9"/>
      <c r="AF3" s="9"/>
      <c r="AG3" s="9"/>
      <c r="AH3" s="9"/>
      <c r="AI3" s="9"/>
      <c r="AJ3" s="9">
        <f t="shared" ref="AJ3:AJ16" si="7">SUM(AC3:AI3)</f>
        <v>2546</v>
      </c>
      <c r="AL3" s="9">
        <f t="shared" ref="AL3" si="8">AL4+AL5+AL6+AL7+AL8+AL9+AL10+AL11+AL12+AL13+AL14+AL15+AL16</f>
        <v>2402</v>
      </c>
      <c r="AM3" s="9"/>
      <c r="AN3" s="9"/>
      <c r="AO3" s="9"/>
      <c r="AP3" s="9"/>
      <c r="AQ3" s="9"/>
      <c r="AR3" s="9"/>
      <c r="AS3" s="9">
        <f t="shared" ref="AS3:AS16" si="9">SUM(AL3:AR3)</f>
        <v>2402</v>
      </c>
      <c r="AU3" s="9">
        <f t="shared" ref="AU3" si="10">AU4+AU5+AU6+AU7+AU8+AU9+AU10+AU11+AU12+AU13+AU14+AU15+AU16</f>
        <v>140</v>
      </c>
      <c r="AV3" s="9"/>
      <c r="AW3" s="9"/>
      <c r="AX3" s="9"/>
      <c r="AY3" s="9"/>
      <c r="AZ3" s="9"/>
      <c r="BA3" s="9"/>
      <c r="BB3" s="9">
        <f t="shared" ref="BB3:BB16" si="11">SUM(AU3:BA3)</f>
        <v>140</v>
      </c>
      <c r="BD3" s="9">
        <f t="shared" ref="BD3" si="12">BD4+BD5+BD6+BD7+BD8+BD9+BD10+BD11+BD12+BD13+BD14+BD15+BD16</f>
        <v>571</v>
      </c>
      <c r="BE3" s="9"/>
      <c r="BF3" s="9"/>
      <c r="BG3" s="9"/>
      <c r="BH3" s="9"/>
      <c r="BI3" s="9"/>
      <c r="BJ3" s="9"/>
      <c r="BK3" s="9">
        <f t="shared" ref="BK3:BK16" si="13">SUM(BD3:BJ3)</f>
        <v>571</v>
      </c>
      <c r="BM3" s="9">
        <f t="shared" ref="BM3" si="14">BM4+BM5+BM6+BM7+BM8+BM9+BM10+BM11+BM12+BM13+BM14+BM15+BM16</f>
        <v>0</v>
      </c>
      <c r="BN3" s="9"/>
      <c r="BO3" s="9"/>
      <c r="BP3" s="9"/>
      <c r="BQ3" s="9"/>
      <c r="BR3" s="9"/>
      <c r="BS3" s="9"/>
      <c r="BT3" s="9">
        <f t="shared" ref="BT3:BT16" si="15">SUM(BM3:BS3)</f>
        <v>0</v>
      </c>
      <c r="BV3" s="9">
        <f t="shared" ref="BV3" si="16">BV4+BV5+BV6+BV7+BV8+BV9+BV10+BV11+BV12+BV13+BV14+BV15+BV16</f>
        <v>8866</v>
      </c>
      <c r="BW3" s="9"/>
      <c r="BX3" s="9"/>
      <c r="BY3" s="9"/>
      <c r="BZ3" s="9"/>
      <c r="CA3" s="9"/>
      <c r="CB3" s="9"/>
      <c r="CC3" s="9">
        <f t="shared" ref="CC3:CC16" si="17">SUM(BV3:CB3)</f>
        <v>8866</v>
      </c>
    </row>
    <row r="4" spans="1:82">
      <c r="A4" s="10" t="s">
        <v>9</v>
      </c>
      <c r="B4" s="5">
        <f>25*6</f>
        <v>150</v>
      </c>
      <c r="C4" s="11"/>
      <c r="D4" s="11"/>
      <c r="E4" s="11"/>
      <c r="F4" s="11"/>
      <c r="G4" s="11"/>
      <c r="H4" s="11"/>
      <c r="I4" s="11">
        <f t="shared" si="1"/>
        <v>150</v>
      </c>
      <c r="J4" s="12">
        <f>I4/25</f>
        <v>6</v>
      </c>
      <c r="K4" s="5">
        <f>25*4</f>
        <v>100</v>
      </c>
      <c r="L4" s="11"/>
      <c r="M4" s="11"/>
      <c r="N4" s="11"/>
      <c r="O4" s="11"/>
      <c r="P4" s="11"/>
      <c r="Q4" s="11"/>
      <c r="R4" s="11">
        <f t="shared" si="3"/>
        <v>100</v>
      </c>
      <c r="S4" s="12">
        <f>R4/25</f>
        <v>4</v>
      </c>
      <c r="T4" s="5">
        <f>25*5</f>
        <v>125</v>
      </c>
      <c r="U4" s="11"/>
      <c r="V4" s="11"/>
      <c r="W4" s="11"/>
      <c r="X4" s="11"/>
      <c r="Y4" s="11"/>
      <c r="Z4" s="11"/>
      <c r="AA4" s="11">
        <f t="shared" si="5"/>
        <v>125</v>
      </c>
      <c r="AB4" s="12">
        <f>AA4/25</f>
        <v>5</v>
      </c>
      <c r="AC4" s="5">
        <f>25*5</f>
        <v>125</v>
      </c>
      <c r="AD4" s="11"/>
      <c r="AE4" s="11"/>
      <c r="AF4" s="11"/>
      <c r="AG4" s="11"/>
      <c r="AH4" s="11"/>
      <c r="AI4" s="11"/>
      <c r="AJ4" s="11">
        <f t="shared" si="7"/>
        <v>125</v>
      </c>
      <c r="AK4" s="12">
        <f>AJ4/25</f>
        <v>5</v>
      </c>
      <c r="AL4" s="5">
        <f>25*5</f>
        <v>125</v>
      </c>
      <c r="AM4" s="11"/>
      <c r="AN4" s="11"/>
      <c r="AO4" s="11"/>
      <c r="AP4" s="11"/>
      <c r="AQ4" s="11"/>
      <c r="AR4" s="11"/>
      <c r="AS4" s="11">
        <f t="shared" si="9"/>
        <v>125</v>
      </c>
      <c r="AT4" s="12">
        <f>AS4/25</f>
        <v>5</v>
      </c>
      <c r="AU4" s="5">
        <v>0</v>
      </c>
      <c r="AV4" s="11"/>
      <c r="AW4" s="11"/>
      <c r="AX4" s="11"/>
      <c r="AY4" s="11"/>
      <c r="AZ4" s="11"/>
      <c r="BA4" s="11"/>
      <c r="BB4" s="11">
        <f t="shared" si="11"/>
        <v>0</v>
      </c>
      <c r="BD4" s="5">
        <f t="shared" ref="BD4:BD9" si="18">25*3</f>
        <v>75</v>
      </c>
      <c r="BE4" s="11"/>
      <c r="BF4" s="11"/>
      <c r="BG4" s="11"/>
      <c r="BH4" s="11"/>
      <c r="BI4" s="11"/>
      <c r="BJ4" s="11"/>
      <c r="BK4" s="11">
        <f t="shared" si="13"/>
        <v>75</v>
      </c>
      <c r="BL4" s="12">
        <f>BK4/25</f>
        <v>3</v>
      </c>
      <c r="BM4" s="5">
        <v>0</v>
      </c>
      <c r="BN4" s="11"/>
      <c r="BO4" s="11"/>
      <c r="BP4" s="11"/>
      <c r="BQ4" s="11"/>
      <c r="BR4" s="11"/>
      <c r="BS4" s="11"/>
      <c r="BT4" s="11">
        <f t="shared" si="15"/>
        <v>0</v>
      </c>
      <c r="BV4" s="5">
        <f>B4+K4+T4+AC4+AL4+AU4+BD4+BM4</f>
        <v>700</v>
      </c>
      <c r="BW4" s="5">
        <f t="shared" ref="BW4:CA16" si="19">C4+L4+U4+AD4+AM4+AV4+BE4+BN4</f>
        <v>0</v>
      </c>
      <c r="BX4" s="5">
        <f t="shared" si="19"/>
        <v>0</v>
      </c>
      <c r="BY4" s="5">
        <f t="shared" si="19"/>
        <v>0</v>
      </c>
      <c r="BZ4" s="5">
        <f t="shared" si="19"/>
        <v>0</v>
      </c>
      <c r="CA4" s="5">
        <f t="shared" si="19"/>
        <v>0</v>
      </c>
      <c r="CB4" s="11"/>
      <c r="CC4" s="11">
        <f t="shared" si="17"/>
        <v>700</v>
      </c>
      <c r="CD4" s="12">
        <f>J4+S4+AB4+AK4+AT4+BC4+BL4+BU4</f>
        <v>28</v>
      </c>
    </row>
    <row r="5" spans="1:82">
      <c r="A5" s="8" t="s">
        <v>10</v>
      </c>
      <c r="B5" s="5">
        <f>26*6</f>
        <v>156</v>
      </c>
      <c r="C5" s="11"/>
      <c r="D5" s="11"/>
      <c r="E5" s="11"/>
      <c r="F5" s="11"/>
      <c r="G5" s="11"/>
      <c r="H5" s="11"/>
      <c r="I5" s="11">
        <f t="shared" si="1"/>
        <v>156</v>
      </c>
      <c r="J5" s="12">
        <f>I5/26</f>
        <v>6</v>
      </c>
      <c r="K5" s="5">
        <f>26*4</f>
        <v>104</v>
      </c>
      <c r="L5" s="11"/>
      <c r="M5" s="11"/>
      <c r="N5" s="11"/>
      <c r="O5" s="11"/>
      <c r="P5" s="11"/>
      <c r="Q5" s="11"/>
      <c r="R5" s="11">
        <f t="shared" si="3"/>
        <v>104</v>
      </c>
      <c r="S5" s="12">
        <f>R5/26</f>
        <v>4</v>
      </c>
      <c r="T5" s="5">
        <f>26*5</f>
        <v>130</v>
      </c>
      <c r="U5" s="11"/>
      <c r="V5" s="11"/>
      <c r="W5" s="11"/>
      <c r="X5" s="11"/>
      <c r="Y5" s="11"/>
      <c r="Z5" s="11"/>
      <c r="AA5" s="11">
        <f t="shared" si="5"/>
        <v>130</v>
      </c>
      <c r="AB5" s="12">
        <f>AA5/26</f>
        <v>5</v>
      </c>
      <c r="AC5" s="5">
        <f>26*5</f>
        <v>130</v>
      </c>
      <c r="AD5" s="11"/>
      <c r="AE5" s="11"/>
      <c r="AF5" s="11"/>
      <c r="AG5" s="11"/>
      <c r="AH5" s="11"/>
      <c r="AI5" s="11"/>
      <c r="AJ5" s="11">
        <f t="shared" si="7"/>
        <v>130</v>
      </c>
      <c r="AK5" s="12">
        <f>AJ5/26</f>
        <v>5</v>
      </c>
      <c r="AL5" s="5">
        <f>25*5</f>
        <v>125</v>
      </c>
      <c r="AM5" s="11"/>
      <c r="AN5" s="11"/>
      <c r="AO5" s="11"/>
      <c r="AP5" s="11"/>
      <c r="AQ5" s="11"/>
      <c r="AR5" s="11"/>
      <c r="AS5" s="11">
        <f t="shared" si="9"/>
        <v>125</v>
      </c>
      <c r="AT5" s="12">
        <f t="shared" ref="AT5" si="20">AS5/25</f>
        <v>5</v>
      </c>
      <c r="AU5" s="5">
        <v>0</v>
      </c>
      <c r="AV5" s="11"/>
      <c r="AW5" s="11"/>
      <c r="AX5" s="11"/>
      <c r="AY5" s="11"/>
      <c r="AZ5" s="11"/>
      <c r="BA5" s="11"/>
      <c r="BB5" s="11">
        <f t="shared" si="11"/>
        <v>0</v>
      </c>
      <c r="BD5" s="5">
        <f t="shared" si="18"/>
        <v>75</v>
      </c>
      <c r="BE5" s="11"/>
      <c r="BF5" s="11"/>
      <c r="BG5" s="11"/>
      <c r="BH5" s="11"/>
      <c r="BI5" s="11"/>
      <c r="BJ5" s="11"/>
      <c r="BK5" s="11">
        <f t="shared" si="13"/>
        <v>75</v>
      </c>
      <c r="BL5" s="12">
        <f t="shared" ref="BL5:BL9" si="21">BK5/25</f>
        <v>3</v>
      </c>
      <c r="BM5" s="5">
        <v>0</v>
      </c>
      <c r="BN5" s="11"/>
      <c r="BO5" s="11"/>
      <c r="BP5" s="11"/>
      <c r="BQ5" s="11"/>
      <c r="BR5" s="11"/>
      <c r="BS5" s="11"/>
      <c r="BT5" s="11">
        <f t="shared" si="15"/>
        <v>0</v>
      </c>
      <c r="BV5" s="5">
        <f t="shared" ref="BV5:BV16" si="22">B5+K5+T5+AC5+AL5+AU5+BD5+BM5</f>
        <v>720</v>
      </c>
      <c r="BW5" s="5">
        <f t="shared" si="19"/>
        <v>0</v>
      </c>
      <c r="BX5" s="5">
        <f t="shared" si="19"/>
        <v>0</v>
      </c>
      <c r="BY5" s="5">
        <f t="shared" si="19"/>
        <v>0</v>
      </c>
      <c r="BZ5" s="5">
        <f t="shared" si="19"/>
        <v>0</v>
      </c>
      <c r="CA5" s="5">
        <f t="shared" si="19"/>
        <v>0</v>
      </c>
      <c r="CB5" s="11"/>
      <c r="CC5" s="11">
        <f t="shared" si="17"/>
        <v>720</v>
      </c>
      <c r="CD5" s="12">
        <f t="shared" ref="CD5:CD16" si="23">J5+S5+AB5+AK5+AT5+BC5+BL5+BU5</f>
        <v>28</v>
      </c>
    </row>
    <row r="6" spans="1:82">
      <c r="A6" s="8" t="s">
        <v>11</v>
      </c>
      <c r="B6" s="5">
        <f>26*6</f>
        <v>156</v>
      </c>
      <c r="C6" s="11"/>
      <c r="D6" s="11"/>
      <c r="E6" s="11"/>
      <c r="F6" s="11"/>
      <c r="G6" s="11"/>
      <c r="H6" s="11"/>
      <c r="I6" s="11">
        <f t="shared" si="1"/>
        <v>156</v>
      </c>
      <c r="J6" s="12">
        <f t="shared" ref="J6:J9" si="24">I6/26</f>
        <v>6</v>
      </c>
      <c r="K6" s="5">
        <f>27*4</f>
        <v>108</v>
      </c>
      <c r="L6" s="11"/>
      <c r="M6" s="11"/>
      <c r="N6" s="11"/>
      <c r="O6" s="11"/>
      <c r="P6" s="11"/>
      <c r="Q6" s="11"/>
      <c r="R6" s="11">
        <f t="shared" si="3"/>
        <v>108</v>
      </c>
      <c r="S6" s="12">
        <f>R6/27</f>
        <v>4</v>
      </c>
      <c r="T6" s="5">
        <f>26*5</f>
        <v>130</v>
      </c>
      <c r="U6" s="11"/>
      <c r="V6" s="11"/>
      <c r="W6" s="11"/>
      <c r="X6" s="11"/>
      <c r="Y6" s="11"/>
      <c r="Z6" s="11"/>
      <c r="AA6" s="11">
        <f t="shared" si="5"/>
        <v>130</v>
      </c>
      <c r="AB6" s="12">
        <f t="shared" ref="AB6:AB8" si="25">AA6/26</f>
        <v>5</v>
      </c>
      <c r="AC6" s="5">
        <f>27*5</f>
        <v>135</v>
      </c>
      <c r="AD6" s="11"/>
      <c r="AE6" s="11"/>
      <c r="AF6" s="11"/>
      <c r="AG6" s="11"/>
      <c r="AH6" s="11"/>
      <c r="AI6" s="11"/>
      <c r="AJ6" s="11">
        <f t="shared" si="7"/>
        <v>135</v>
      </c>
      <c r="AK6" s="12">
        <f>AJ6/27</f>
        <v>5</v>
      </c>
      <c r="AL6" s="5">
        <f>26*5</f>
        <v>130</v>
      </c>
      <c r="AM6" s="11"/>
      <c r="AN6" s="11"/>
      <c r="AO6" s="11"/>
      <c r="AP6" s="11"/>
      <c r="AQ6" s="11"/>
      <c r="AR6" s="11"/>
      <c r="AS6" s="11">
        <f t="shared" si="9"/>
        <v>130</v>
      </c>
      <c r="AT6" s="12">
        <f>AS6/26</f>
        <v>5</v>
      </c>
      <c r="AU6" s="5">
        <v>0</v>
      </c>
      <c r="AV6" s="11"/>
      <c r="AW6" s="11"/>
      <c r="AX6" s="11"/>
      <c r="AY6" s="11"/>
      <c r="AZ6" s="11"/>
      <c r="BA6" s="11"/>
      <c r="BB6" s="11">
        <f t="shared" si="11"/>
        <v>0</v>
      </c>
      <c r="BD6" s="5">
        <f t="shared" si="18"/>
        <v>75</v>
      </c>
      <c r="BE6" s="11"/>
      <c r="BF6" s="11"/>
      <c r="BG6" s="11"/>
      <c r="BH6" s="11"/>
      <c r="BI6" s="11"/>
      <c r="BJ6" s="11"/>
      <c r="BK6" s="11">
        <f t="shared" si="13"/>
        <v>75</v>
      </c>
      <c r="BL6" s="12">
        <f t="shared" si="21"/>
        <v>3</v>
      </c>
      <c r="BM6" s="5">
        <v>0</v>
      </c>
      <c r="BN6" s="11"/>
      <c r="BO6" s="11"/>
      <c r="BP6" s="11"/>
      <c r="BQ6" s="11"/>
      <c r="BR6" s="11"/>
      <c r="BS6" s="11"/>
      <c r="BT6" s="11">
        <f t="shared" si="15"/>
        <v>0</v>
      </c>
      <c r="BV6" s="5">
        <f t="shared" si="22"/>
        <v>734</v>
      </c>
      <c r="BW6" s="5">
        <f t="shared" si="19"/>
        <v>0</v>
      </c>
      <c r="BX6" s="5">
        <f t="shared" si="19"/>
        <v>0</v>
      </c>
      <c r="BY6" s="5">
        <f t="shared" si="19"/>
        <v>0</v>
      </c>
      <c r="BZ6" s="5">
        <f t="shared" si="19"/>
        <v>0</v>
      </c>
      <c r="CA6" s="5">
        <f t="shared" si="19"/>
        <v>0</v>
      </c>
      <c r="CB6" s="11"/>
      <c r="CC6" s="11">
        <f t="shared" si="17"/>
        <v>734</v>
      </c>
      <c r="CD6" s="12">
        <f t="shared" si="23"/>
        <v>28</v>
      </c>
    </row>
    <row r="7" spans="1:82">
      <c r="A7" s="13" t="s">
        <v>12</v>
      </c>
      <c r="B7" s="5">
        <f>26*6</f>
        <v>156</v>
      </c>
      <c r="C7" s="11"/>
      <c r="D7" s="11"/>
      <c r="E7" s="11"/>
      <c r="F7" s="11"/>
      <c r="G7" s="11"/>
      <c r="H7" s="11"/>
      <c r="I7" s="11">
        <f t="shared" si="1"/>
        <v>156</v>
      </c>
      <c r="J7" s="12">
        <f t="shared" si="24"/>
        <v>6</v>
      </c>
      <c r="K7" s="5">
        <f>28*4</f>
        <v>112</v>
      </c>
      <c r="L7" s="11"/>
      <c r="M7" s="11"/>
      <c r="N7" s="11"/>
      <c r="O7" s="11"/>
      <c r="P7" s="11"/>
      <c r="Q7" s="11"/>
      <c r="R7" s="11">
        <f t="shared" si="3"/>
        <v>112</v>
      </c>
      <c r="S7" s="12">
        <f>R7/28</f>
        <v>4</v>
      </c>
      <c r="T7" s="5">
        <f t="shared" ref="T7:T8" si="26">26*5</f>
        <v>130</v>
      </c>
      <c r="U7" s="11"/>
      <c r="V7" s="11"/>
      <c r="W7" s="11"/>
      <c r="X7" s="11"/>
      <c r="Y7" s="11"/>
      <c r="Z7" s="11"/>
      <c r="AA7" s="11">
        <f t="shared" si="5"/>
        <v>130</v>
      </c>
      <c r="AB7" s="12">
        <f t="shared" si="25"/>
        <v>5</v>
      </c>
      <c r="AC7" s="5">
        <f>27*5</f>
        <v>135</v>
      </c>
      <c r="AD7" s="11"/>
      <c r="AE7" s="11"/>
      <c r="AF7" s="11"/>
      <c r="AG7" s="11"/>
      <c r="AH7" s="11"/>
      <c r="AI7" s="11"/>
      <c r="AJ7" s="11">
        <f t="shared" si="7"/>
        <v>135</v>
      </c>
      <c r="AK7" s="12">
        <f t="shared" ref="AK7" si="27">AJ7/27</f>
        <v>5</v>
      </c>
      <c r="AL7" s="5">
        <f>27*5</f>
        <v>135</v>
      </c>
      <c r="AM7" s="11"/>
      <c r="AN7" s="11"/>
      <c r="AO7" s="11"/>
      <c r="AP7" s="11"/>
      <c r="AQ7" s="11"/>
      <c r="AR7" s="11"/>
      <c r="AS7" s="11">
        <f t="shared" si="9"/>
        <v>135</v>
      </c>
      <c r="AT7" s="12">
        <f t="shared" ref="AT7:AT8" si="28">AS7/27</f>
        <v>5</v>
      </c>
      <c r="AU7" s="5">
        <v>0</v>
      </c>
      <c r="AV7" s="11"/>
      <c r="AW7" s="11"/>
      <c r="AX7" s="11"/>
      <c r="AY7" s="11"/>
      <c r="AZ7" s="11"/>
      <c r="BA7" s="11"/>
      <c r="BB7" s="11">
        <f t="shared" si="11"/>
        <v>0</v>
      </c>
      <c r="BD7" s="5">
        <f t="shared" si="18"/>
        <v>75</v>
      </c>
      <c r="BE7" s="11"/>
      <c r="BF7" s="11"/>
      <c r="BG7" s="11"/>
      <c r="BH7" s="11"/>
      <c r="BI7" s="11"/>
      <c r="BJ7" s="11"/>
      <c r="BK7" s="11">
        <f t="shared" si="13"/>
        <v>75</v>
      </c>
      <c r="BL7" s="12">
        <f t="shared" si="21"/>
        <v>3</v>
      </c>
      <c r="BM7" s="5">
        <v>0</v>
      </c>
      <c r="BN7" s="11"/>
      <c r="BO7" s="11"/>
      <c r="BP7" s="11"/>
      <c r="BQ7" s="11"/>
      <c r="BR7" s="11"/>
      <c r="BS7" s="11"/>
      <c r="BT7" s="11">
        <f t="shared" si="15"/>
        <v>0</v>
      </c>
      <c r="BV7" s="5">
        <f t="shared" si="22"/>
        <v>743</v>
      </c>
      <c r="BW7" s="5">
        <f t="shared" si="19"/>
        <v>0</v>
      </c>
      <c r="BX7" s="5">
        <f t="shared" si="19"/>
        <v>0</v>
      </c>
      <c r="BY7" s="5">
        <f t="shared" si="19"/>
        <v>0</v>
      </c>
      <c r="BZ7" s="5">
        <f t="shared" si="19"/>
        <v>0</v>
      </c>
      <c r="CA7" s="5">
        <f t="shared" si="19"/>
        <v>0</v>
      </c>
      <c r="CB7" s="11"/>
      <c r="CC7" s="11">
        <f t="shared" si="17"/>
        <v>743</v>
      </c>
      <c r="CD7" s="12">
        <f t="shared" si="23"/>
        <v>28</v>
      </c>
    </row>
    <row r="8" spans="1:82">
      <c r="A8" s="13" t="s">
        <v>13</v>
      </c>
      <c r="B8" s="5">
        <f>26*6</f>
        <v>156</v>
      </c>
      <c r="C8" s="11"/>
      <c r="D8" s="11"/>
      <c r="E8" s="11"/>
      <c r="F8" s="11"/>
      <c r="G8" s="11"/>
      <c r="H8" s="11"/>
      <c r="I8" s="11">
        <f t="shared" si="1"/>
        <v>156</v>
      </c>
      <c r="J8" s="12">
        <f t="shared" si="24"/>
        <v>6</v>
      </c>
      <c r="K8" s="5">
        <f>28*4</f>
        <v>112</v>
      </c>
      <c r="L8" s="11"/>
      <c r="M8" s="11"/>
      <c r="N8" s="11"/>
      <c r="O8" s="11"/>
      <c r="P8" s="11"/>
      <c r="Q8" s="11"/>
      <c r="R8" s="11">
        <f t="shared" si="3"/>
        <v>112</v>
      </c>
      <c r="S8" s="12">
        <f t="shared" ref="S8" si="29">R8/28</f>
        <v>4</v>
      </c>
      <c r="T8" s="5">
        <f t="shared" si="26"/>
        <v>130</v>
      </c>
      <c r="U8" s="11"/>
      <c r="V8" s="11"/>
      <c r="W8" s="11"/>
      <c r="X8" s="11"/>
      <c r="Y8" s="11"/>
      <c r="Z8" s="11"/>
      <c r="AA8" s="11">
        <f t="shared" si="5"/>
        <v>130</v>
      </c>
      <c r="AB8" s="12">
        <f t="shared" si="25"/>
        <v>5</v>
      </c>
      <c r="AC8" s="5">
        <f>28*5</f>
        <v>140</v>
      </c>
      <c r="AD8" s="11"/>
      <c r="AE8" s="11"/>
      <c r="AF8" s="11"/>
      <c r="AG8" s="11"/>
      <c r="AH8" s="11"/>
      <c r="AI8" s="11"/>
      <c r="AJ8" s="11">
        <f t="shared" si="7"/>
        <v>140</v>
      </c>
      <c r="AK8" s="12">
        <f>AJ8/28</f>
        <v>5</v>
      </c>
      <c r="AL8" s="5">
        <f t="shared" ref="AL8" si="30">27*5</f>
        <v>135</v>
      </c>
      <c r="AM8" s="11"/>
      <c r="AN8" s="11"/>
      <c r="AO8" s="11"/>
      <c r="AP8" s="11"/>
      <c r="AQ8" s="11"/>
      <c r="AR8" s="11"/>
      <c r="AS8" s="11">
        <f t="shared" si="9"/>
        <v>135</v>
      </c>
      <c r="AT8" s="12">
        <f t="shared" si="28"/>
        <v>5</v>
      </c>
      <c r="AU8" s="5">
        <v>0</v>
      </c>
      <c r="AV8" s="11"/>
      <c r="AW8" s="11"/>
      <c r="AX8" s="11"/>
      <c r="AY8" s="11"/>
      <c r="AZ8" s="11"/>
      <c r="BA8" s="11"/>
      <c r="BB8" s="11">
        <f t="shared" si="11"/>
        <v>0</v>
      </c>
      <c r="BD8" s="5">
        <f t="shared" si="18"/>
        <v>75</v>
      </c>
      <c r="BE8" s="11"/>
      <c r="BF8" s="11"/>
      <c r="BG8" s="11"/>
      <c r="BH8" s="11"/>
      <c r="BI8" s="11"/>
      <c r="BJ8" s="11"/>
      <c r="BK8" s="11">
        <f t="shared" si="13"/>
        <v>75</v>
      </c>
      <c r="BL8" s="12">
        <f t="shared" si="21"/>
        <v>3</v>
      </c>
      <c r="BM8" s="5">
        <v>0</v>
      </c>
      <c r="BN8" s="11"/>
      <c r="BO8" s="11"/>
      <c r="BP8" s="11"/>
      <c r="BQ8" s="11"/>
      <c r="BR8" s="11"/>
      <c r="BS8" s="11"/>
      <c r="BT8" s="11">
        <f t="shared" si="15"/>
        <v>0</v>
      </c>
      <c r="BV8" s="5">
        <f t="shared" si="22"/>
        <v>748</v>
      </c>
      <c r="BW8" s="5">
        <f t="shared" si="19"/>
        <v>0</v>
      </c>
      <c r="BX8" s="5">
        <f t="shared" si="19"/>
        <v>0</v>
      </c>
      <c r="BY8" s="5">
        <f t="shared" si="19"/>
        <v>0</v>
      </c>
      <c r="BZ8" s="5">
        <f t="shared" si="19"/>
        <v>0</v>
      </c>
      <c r="CA8" s="5">
        <f t="shared" si="19"/>
        <v>0</v>
      </c>
      <c r="CB8" s="11"/>
      <c r="CC8" s="11">
        <f t="shared" si="17"/>
        <v>748</v>
      </c>
      <c r="CD8" s="12">
        <f t="shared" si="23"/>
        <v>28</v>
      </c>
    </row>
    <row r="9" spans="1:82">
      <c r="A9" s="13" t="s">
        <v>14</v>
      </c>
      <c r="B9" s="5">
        <f>26*6</f>
        <v>156</v>
      </c>
      <c r="C9" s="11"/>
      <c r="D9" s="11"/>
      <c r="E9" s="11"/>
      <c r="F9" s="11"/>
      <c r="G9" s="11"/>
      <c r="H9" s="11"/>
      <c r="I9" s="11">
        <f t="shared" si="1"/>
        <v>156</v>
      </c>
      <c r="J9" s="12">
        <f t="shared" si="24"/>
        <v>6</v>
      </c>
      <c r="K9" s="5">
        <f>25*5-1</f>
        <v>124</v>
      </c>
      <c r="L9" s="11"/>
      <c r="M9" s="11"/>
      <c r="N9" s="11"/>
      <c r="O9" s="11"/>
      <c r="P9" s="11"/>
      <c r="Q9" s="11"/>
      <c r="R9" s="11">
        <f t="shared" si="3"/>
        <v>124</v>
      </c>
      <c r="S9" s="12">
        <f>R9/31</f>
        <v>4</v>
      </c>
      <c r="T9" s="5">
        <f>25*6</f>
        <v>150</v>
      </c>
      <c r="U9" s="11"/>
      <c r="V9" s="11"/>
      <c r="W9" s="11"/>
      <c r="X9" s="11"/>
      <c r="Y9" s="11"/>
      <c r="Z9" s="11"/>
      <c r="AA9" s="11">
        <f t="shared" si="5"/>
        <v>150</v>
      </c>
      <c r="AB9" s="12">
        <f>AA9/25</f>
        <v>6</v>
      </c>
      <c r="AC9" s="5">
        <f>29*5</f>
        <v>145</v>
      </c>
      <c r="AD9" s="11"/>
      <c r="AE9" s="11"/>
      <c r="AF9" s="11"/>
      <c r="AG9" s="11"/>
      <c r="AH9" s="11"/>
      <c r="AI9" s="11"/>
      <c r="AJ9" s="11">
        <f t="shared" si="7"/>
        <v>145</v>
      </c>
      <c r="AK9" s="12">
        <f>AJ9/29</f>
        <v>5</v>
      </c>
      <c r="AL9" s="5">
        <f>28*5</f>
        <v>140</v>
      </c>
      <c r="AM9" s="11"/>
      <c r="AN9" s="11"/>
      <c r="AO9" s="11"/>
      <c r="AP9" s="11"/>
      <c r="AQ9" s="11"/>
      <c r="AR9" s="11"/>
      <c r="AS9" s="11">
        <f t="shared" si="9"/>
        <v>140</v>
      </c>
      <c r="AT9" s="12">
        <f>AS9/28</f>
        <v>5</v>
      </c>
      <c r="AU9" s="5">
        <v>0</v>
      </c>
      <c r="AV9" s="11"/>
      <c r="AW9" s="11"/>
      <c r="AX9" s="11"/>
      <c r="AY9" s="11"/>
      <c r="AZ9" s="11"/>
      <c r="BA9" s="11"/>
      <c r="BB9" s="11">
        <f t="shared" si="11"/>
        <v>0</v>
      </c>
      <c r="BD9" s="5">
        <f t="shared" si="18"/>
        <v>75</v>
      </c>
      <c r="BE9" s="11"/>
      <c r="BF9" s="11"/>
      <c r="BG9" s="11"/>
      <c r="BH9" s="11"/>
      <c r="BI9" s="11"/>
      <c r="BJ9" s="11"/>
      <c r="BK9" s="11">
        <f t="shared" si="13"/>
        <v>75</v>
      </c>
      <c r="BL9" s="12">
        <f t="shared" si="21"/>
        <v>3</v>
      </c>
      <c r="BM9" s="5">
        <v>0</v>
      </c>
      <c r="BN9" s="11"/>
      <c r="BO9" s="11"/>
      <c r="BP9" s="11"/>
      <c r="BQ9" s="11"/>
      <c r="BR9" s="11"/>
      <c r="BS9" s="11"/>
      <c r="BT9" s="11">
        <f t="shared" si="15"/>
        <v>0</v>
      </c>
      <c r="BV9" s="5">
        <f t="shared" si="22"/>
        <v>790</v>
      </c>
      <c r="BW9" s="5">
        <f t="shared" si="19"/>
        <v>0</v>
      </c>
      <c r="BX9" s="5">
        <f t="shared" si="19"/>
        <v>0</v>
      </c>
      <c r="BY9" s="5">
        <f t="shared" si="19"/>
        <v>0</v>
      </c>
      <c r="BZ9" s="5">
        <f t="shared" si="19"/>
        <v>0</v>
      </c>
      <c r="CA9" s="5">
        <f t="shared" si="19"/>
        <v>0</v>
      </c>
      <c r="CB9" s="11"/>
      <c r="CC9" s="11">
        <f t="shared" si="17"/>
        <v>790</v>
      </c>
      <c r="CD9" s="12">
        <f t="shared" si="23"/>
        <v>29</v>
      </c>
    </row>
    <row r="10" spans="1:82">
      <c r="A10" s="13" t="s">
        <v>15</v>
      </c>
      <c r="B10" s="5">
        <v>0</v>
      </c>
      <c r="C10" s="5"/>
      <c r="D10" s="5"/>
      <c r="E10" s="5"/>
      <c r="F10" s="5"/>
      <c r="G10" s="5"/>
      <c r="H10" s="5"/>
      <c r="I10" s="11">
        <f t="shared" si="1"/>
        <v>0</v>
      </c>
      <c r="J10" s="12"/>
      <c r="K10" s="5">
        <f>31*4</f>
        <v>124</v>
      </c>
      <c r="L10" s="5"/>
      <c r="M10" s="5"/>
      <c r="N10" s="5"/>
      <c r="O10" s="5"/>
      <c r="P10" s="5"/>
      <c r="Q10" s="5"/>
      <c r="R10" s="11">
        <f t="shared" si="3"/>
        <v>124</v>
      </c>
      <c r="S10" s="12">
        <f>R10/31</f>
        <v>4</v>
      </c>
      <c r="T10" s="5">
        <f>30*5</f>
        <v>150</v>
      </c>
      <c r="U10" s="5"/>
      <c r="V10" s="5"/>
      <c r="W10" s="5"/>
      <c r="X10" s="5"/>
      <c r="Y10" s="5"/>
      <c r="Z10" s="5"/>
      <c r="AA10" s="11">
        <f t="shared" si="5"/>
        <v>150</v>
      </c>
      <c r="AB10" s="12">
        <f>AA10/30</f>
        <v>5</v>
      </c>
      <c r="AC10" s="5">
        <f>31*8</f>
        <v>248</v>
      </c>
      <c r="AD10" s="5"/>
      <c r="AE10" s="5"/>
      <c r="AF10" s="5"/>
      <c r="AG10" s="5"/>
      <c r="AH10" s="5"/>
      <c r="AI10" s="5"/>
      <c r="AJ10" s="11">
        <f t="shared" si="7"/>
        <v>248</v>
      </c>
      <c r="AK10" s="12">
        <f>AJ10/31</f>
        <v>8</v>
      </c>
      <c r="AL10" s="5">
        <f>31*5</f>
        <v>155</v>
      </c>
      <c r="AM10" s="5"/>
      <c r="AN10" s="5"/>
      <c r="AO10" s="5"/>
      <c r="AP10" s="5"/>
      <c r="AQ10" s="5"/>
      <c r="AR10" s="5"/>
      <c r="AS10" s="11">
        <f t="shared" si="9"/>
        <v>155</v>
      </c>
      <c r="AT10" s="12">
        <f>AS10/31</f>
        <v>5</v>
      </c>
      <c r="AU10" s="5">
        <f>20</f>
        <v>20</v>
      </c>
      <c r="AV10" s="5"/>
      <c r="AW10" s="5"/>
      <c r="AX10" s="5"/>
      <c r="AY10" s="5"/>
      <c r="AZ10" s="5"/>
      <c r="BA10" s="5"/>
      <c r="BB10" s="11">
        <f t="shared" si="11"/>
        <v>20</v>
      </c>
      <c r="BD10" s="5">
        <f>24*2</f>
        <v>48</v>
      </c>
      <c r="BE10" s="5"/>
      <c r="BF10" s="5"/>
      <c r="BG10" s="5"/>
      <c r="BH10" s="5"/>
      <c r="BI10" s="5"/>
      <c r="BJ10" s="5"/>
      <c r="BK10" s="11">
        <f t="shared" si="13"/>
        <v>48</v>
      </c>
      <c r="BL10" s="12">
        <f t="shared" ref="BL10:BL11" si="31">BK10/24</f>
        <v>2</v>
      </c>
      <c r="BM10" s="5">
        <v>0</v>
      </c>
      <c r="BN10" s="5"/>
      <c r="BO10" s="5"/>
      <c r="BP10" s="5"/>
      <c r="BQ10" s="5"/>
      <c r="BR10" s="5"/>
      <c r="BS10" s="5"/>
      <c r="BT10" s="11">
        <f t="shared" si="15"/>
        <v>0</v>
      </c>
      <c r="BV10" s="5">
        <f t="shared" si="22"/>
        <v>745</v>
      </c>
      <c r="BW10" s="5">
        <f t="shared" si="19"/>
        <v>0</v>
      </c>
      <c r="BX10" s="5">
        <f t="shared" si="19"/>
        <v>0</v>
      </c>
      <c r="BY10" s="5">
        <f t="shared" si="19"/>
        <v>0</v>
      </c>
      <c r="BZ10" s="5">
        <f t="shared" si="19"/>
        <v>0</v>
      </c>
      <c r="CA10" s="5">
        <f t="shared" si="19"/>
        <v>0</v>
      </c>
      <c r="CB10" s="5"/>
      <c r="CC10" s="11">
        <f t="shared" si="17"/>
        <v>745</v>
      </c>
      <c r="CD10" s="12">
        <f t="shared" si="23"/>
        <v>24</v>
      </c>
    </row>
    <row r="11" spans="1:82">
      <c r="A11" s="13" t="s">
        <v>16</v>
      </c>
      <c r="B11" s="5">
        <v>0</v>
      </c>
      <c r="C11" s="5"/>
      <c r="D11" s="5"/>
      <c r="E11" s="5"/>
      <c r="F11" s="5"/>
      <c r="G11" s="5"/>
      <c r="H11" s="5"/>
      <c r="I11" s="11">
        <f t="shared" si="1"/>
        <v>0</v>
      </c>
      <c r="J11" s="12"/>
      <c r="K11" s="5">
        <f t="shared" ref="K11:K12" si="32">31*4</f>
        <v>124</v>
      </c>
      <c r="L11" s="5"/>
      <c r="M11" s="5"/>
      <c r="N11" s="5"/>
      <c r="O11" s="5"/>
      <c r="P11" s="5"/>
      <c r="Q11" s="5"/>
      <c r="R11" s="11">
        <f t="shared" si="3"/>
        <v>124</v>
      </c>
      <c r="S11" s="12">
        <f t="shared" ref="S11:S12" si="33">R11/31</f>
        <v>4</v>
      </c>
      <c r="T11" s="5">
        <f t="shared" ref="T11:T12" si="34">30*5</f>
        <v>150</v>
      </c>
      <c r="U11" s="5"/>
      <c r="V11" s="5"/>
      <c r="W11" s="5"/>
      <c r="X11" s="5"/>
      <c r="Y11" s="5"/>
      <c r="Z11" s="5"/>
      <c r="AA11" s="11">
        <f t="shared" si="5"/>
        <v>150</v>
      </c>
      <c r="AB11" s="12">
        <f t="shared" ref="AB11:AB12" si="35">AA11/30</f>
        <v>5</v>
      </c>
      <c r="AC11" s="5">
        <f t="shared" ref="AC11:AC16" si="36">31*8</f>
        <v>248</v>
      </c>
      <c r="AD11" s="5"/>
      <c r="AE11" s="5"/>
      <c r="AF11" s="5"/>
      <c r="AG11" s="5"/>
      <c r="AH11" s="5"/>
      <c r="AI11" s="5"/>
      <c r="AJ11" s="11">
        <f t="shared" si="7"/>
        <v>248</v>
      </c>
      <c r="AK11" s="12">
        <f t="shared" ref="AK11:AK15" si="37">AJ11/31</f>
        <v>8</v>
      </c>
      <c r="AL11" s="5">
        <f>31*5</f>
        <v>155</v>
      </c>
      <c r="AM11" s="5"/>
      <c r="AN11" s="5"/>
      <c r="AO11" s="5"/>
      <c r="AP11" s="5"/>
      <c r="AQ11" s="5"/>
      <c r="AR11" s="5"/>
      <c r="AS11" s="11">
        <f t="shared" si="9"/>
        <v>155</v>
      </c>
      <c r="AT11" s="12">
        <f t="shared" ref="AT11:AT16" si="38">AS11/31</f>
        <v>5</v>
      </c>
      <c r="AU11" s="5">
        <f>20</f>
        <v>20</v>
      </c>
      <c r="AV11" s="5"/>
      <c r="AW11" s="5"/>
      <c r="AX11" s="5"/>
      <c r="AY11" s="5"/>
      <c r="AZ11" s="5"/>
      <c r="BA11" s="5"/>
      <c r="BB11" s="11">
        <f t="shared" si="11"/>
        <v>20</v>
      </c>
      <c r="BD11" s="5">
        <f>24*2</f>
        <v>48</v>
      </c>
      <c r="BE11" s="5"/>
      <c r="BF11" s="5"/>
      <c r="BG11" s="5"/>
      <c r="BH11" s="5"/>
      <c r="BI11" s="5"/>
      <c r="BJ11" s="5"/>
      <c r="BK11" s="11">
        <f t="shared" si="13"/>
        <v>48</v>
      </c>
      <c r="BL11" s="12">
        <f t="shared" si="31"/>
        <v>2</v>
      </c>
      <c r="BM11" s="5">
        <v>0</v>
      </c>
      <c r="BN11" s="5"/>
      <c r="BO11" s="5"/>
      <c r="BP11" s="5"/>
      <c r="BQ11" s="5"/>
      <c r="BR11" s="5"/>
      <c r="BS11" s="5"/>
      <c r="BT11" s="11">
        <f t="shared" si="15"/>
        <v>0</v>
      </c>
      <c r="BV11" s="5">
        <f t="shared" si="22"/>
        <v>745</v>
      </c>
      <c r="BW11" s="5">
        <f t="shared" si="19"/>
        <v>0</v>
      </c>
      <c r="BX11" s="5">
        <f t="shared" si="19"/>
        <v>0</v>
      </c>
      <c r="BY11" s="5">
        <f t="shared" si="19"/>
        <v>0</v>
      </c>
      <c r="BZ11" s="5">
        <f t="shared" si="19"/>
        <v>0</v>
      </c>
      <c r="CA11" s="5">
        <f t="shared" si="19"/>
        <v>0</v>
      </c>
      <c r="CB11" s="5"/>
      <c r="CC11" s="11">
        <f t="shared" si="17"/>
        <v>745</v>
      </c>
      <c r="CD11" s="12">
        <f t="shared" si="23"/>
        <v>24</v>
      </c>
    </row>
    <row r="12" spans="1:82">
      <c r="A12" s="13" t="s">
        <v>17</v>
      </c>
      <c r="B12" s="5">
        <v>0</v>
      </c>
      <c r="C12" s="5"/>
      <c r="D12" s="5"/>
      <c r="E12" s="5"/>
      <c r="F12" s="5"/>
      <c r="G12" s="5"/>
      <c r="H12" s="5"/>
      <c r="I12" s="11">
        <f t="shared" si="1"/>
        <v>0</v>
      </c>
      <c r="J12" s="12"/>
      <c r="K12" s="5">
        <f t="shared" si="32"/>
        <v>124</v>
      </c>
      <c r="L12" s="5"/>
      <c r="M12" s="5"/>
      <c r="N12" s="5"/>
      <c r="O12" s="5"/>
      <c r="P12" s="5"/>
      <c r="Q12" s="5"/>
      <c r="R12" s="11">
        <f t="shared" si="3"/>
        <v>124</v>
      </c>
      <c r="S12" s="12">
        <f t="shared" si="33"/>
        <v>4</v>
      </c>
      <c r="T12" s="5">
        <f t="shared" si="34"/>
        <v>150</v>
      </c>
      <c r="U12" s="5"/>
      <c r="V12" s="5"/>
      <c r="W12" s="5"/>
      <c r="X12" s="5"/>
      <c r="Y12" s="5"/>
      <c r="Z12" s="5"/>
      <c r="AA12" s="11">
        <f t="shared" si="5"/>
        <v>150</v>
      </c>
      <c r="AB12" s="12">
        <f t="shared" si="35"/>
        <v>5</v>
      </c>
      <c r="AC12" s="5">
        <f t="shared" si="36"/>
        <v>248</v>
      </c>
      <c r="AD12" s="5"/>
      <c r="AE12" s="5"/>
      <c r="AF12" s="5"/>
      <c r="AG12" s="5"/>
      <c r="AH12" s="5"/>
      <c r="AI12" s="5"/>
      <c r="AJ12" s="11">
        <f t="shared" si="7"/>
        <v>248</v>
      </c>
      <c r="AK12" s="12">
        <f t="shared" si="37"/>
        <v>8</v>
      </c>
      <c r="AL12" s="5">
        <f>31*6</f>
        <v>186</v>
      </c>
      <c r="AM12" s="5"/>
      <c r="AN12" s="5"/>
      <c r="AO12" s="5"/>
      <c r="AP12" s="5"/>
      <c r="AQ12" s="5"/>
      <c r="AR12" s="5"/>
      <c r="AS12" s="11">
        <f t="shared" si="9"/>
        <v>186</v>
      </c>
      <c r="AT12" s="12">
        <f t="shared" si="38"/>
        <v>6</v>
      </c>
      <c r="AU12" s="5">
        <f>20</f>
        <v>20</v>
      </c>
      <c r="AV12" s="5"/>
      <c r="AW12" s="5"/>
      <c r="AX12" s="5"/>
      <c r="AY12" s="5"/>
      <c r="AZ12" s="5"/>
      <c r="BA12" s="5"/>
      <c r="BB12" s="11">
        <f t="shared" si="11"/>
        <v>20</v>
      </c>
      <c r="BD12" s="5">
        <f>25*1</f>
        <v>25</v>
      </c>
      <c r="BE12" s="5"/>
      <c r="BF12" s="5"/>
      <c r="BG12" s="5"/>
      <c r="BH12" s="5"/>
      <c r="BI12" s="5"/>
      <c r="BJ12" s="5"/>
      <c r="BK12" s="11">
        <f t="shared" si="13"/>
        <v>25</v>
      </c>
      <c r="BL12" s="12">
        <f t="shared" ref="BL12" si="39">BK12/25</f>
        <v>1</v>
      </c>
      <c r="BM12" s="5">
        <v>0</v>
      </c>
      <c r="BN12" s="5"/>
      <c r="BO12" s="5"/>
      <c r="BP12" s="5"/>
      <c r="BQ12" s="5"/>
      <c r="BR12" s="5"/>
      <c r="BS12" s="5"/>
      <c r="BT12" s="11">
        <f t="shared" si="15"/>
        <v>0</v>
      </c>
      <c r="BV12" s="5">
        <f t="shared" si="22"/>
        <v>753</v>
      </c>
      <c r="BW12" s="5">
        <f t="shared" si="19"/>
        <v>0</v>
      </c>
      <c r="BX12" s="5">
        <f t="shared" si="19"/>
        <v>0</v>
      </c>
      <c r="BY12" s="5">
        <f t="shared" si="19"/>
        <v>0</v>
      </c>
      <c r="BZ12" s="5">
        <f t="shared" si="19"/>
        <v>0</v>
      </c>
      <c r="CA12" s="5">
        <f t="shared" si="19"/>
        <v>0</v>
      </c>
      <c r="CB12" s="5"/>
      <c r="CC12" s="11">
        <f t="shared" si="17"/>
        <v>753</v>
      </c>
      <c r="CD12" s="12">
        <f t="shared" si="23"/>
        <v>24</v>
      </c>
    </row>
    <row r="13" spans="1:82">
      <c r="A13" s="13" t="s">
        <v>18</v>
      </c>
      <c r="B13" s="5">
        <v>0</v>
      </c>
      <c r="C13" s="5"/>
      <c r="D13" s="5"/>
      <c r="E13" s="5"/>
      <c r="F13" s="5"/>
      <c r="G13" s="5"/>
      <c r="H13" s="5"/>
      <c r="I13" s="11">
        <f t="shared" si="1"/>
        <v>0</v>
      </c>
      <c r="K13" s="5">
        <v>0</v>
      </c>
      <c r="L13" s="5"/>
      <c r="M13" s="5"/>
      <c r="N13" s="5"/>
      <c r="O13" s="5"/>
      <c r="P13" s="5"/>
      <c r="Q13" s="5"/>
      <c r="R13" s="11">
        <f t="shared" si="3"/>
        <v>0</v>
      </c>
      <c r="T13" s="5">
        <v>0</v>
      </c>
      <c r="U13" s="5"/>
      <c r="V13" s="5"/>
      <c r="W13" s="5"/>
      <c r="X13" s="5"/>
      <c r="Y13" s="5"/>
      <c r="Z13" s="5"/>
      <c r="AA13" s="11">
        <f t="shared" si="5"/>
        <v>0</v>
      </c>
      <c r="AC13" s="5">
        <f t="shared" si="36"/>
        <v>248</v>
      </c>
      <c r="AD13" s="5"/>
      <c r="AE13" s="5"/>
      <c r="AF13" s="5"/>
      <c r="AG13" s="5"/>
      <c r="AH13" s="5"/>
      <c r="AI13" s="5"/>
      <c r="AJ13" s="11">
        <f t="shared" si="7"/>
        <v>248</v>
      </c>
      <c r="AK13" s="12">
        <f t="shared" si="37"/>
        <v>8</v>
      </c>
      <c r="AL13" s="5">
        <f>31*9</f>
        <v>279</v>
      </c>
      <c r="AM13" s="5"/>
      <c r="AN13" s="5"/>
      <c r="AO13" s="5"/>
      <c r="AP13" s="5"/>
      <c r="AQ13" s="5"/>
      <c r="AR13" s="5"/>
      <c r="AS13" s="11">
        <f t="shared" si="9"/>
        <v>279</v>
      </c>
      <c r="AT13" s="12">
        <f t="shared" si="38"/>
        <v>9</v>
      </c>
      <c r="AU13" s="5">
        <f>20</f>
        <v>20</v>
      </c>
      <c r="AV13" s="5"/>
      <c r="AW13" s="5"/>
      <c r="AX13" s="5"/>
      <c r="AY13" s="5"/>
      <c r="AZ13" s="5"/>
      <c r="BA13" s="5"/>
      <c r="BB13" s="11">
        <f t="shared" si="11"/>
        <v>20</v>
      </c>
      <c r="BD13" s="5">
        <v>0</v>
      </c>
      <c r="BE13" s="5"/>
      <c r="BF13" s="5"/>
      <c r="BG13" s="5"/>
      <c r="BH13" s="5"/>
      <c r="BI13" s="5"/>
      <c r="BJ13" s="5"/>
      <c r="BK13" s="11">
        <f t="shared" si="13"/>
        <v>0</v>
      </c>
      <c r="BM13" s="5">
        <v>0</v>
      </c>
      <c r="BN13" s="5"/>
      <c r="BO13" s="5"/>
      <c r="BP13" s="5"/>
      <c r="BQ13" s="5"/>
      <c r="BR13" s="5"/>
      <c r="BS13" s="5"/>
      <c r="BT13" s="11">
        <f t="shared" si="15"/>
        <v>0</v>
      </c>
      <c r="BV13" s="5">
        <f t="shared" si="22"/>
        <v>547</v>
      </c>
      <c r="BW13" s="5">
        <f t="shared" si="19"/>
        <v>0</v>
      </c>
      <c r="BX13" s="5">
        <f t="shared" si="19"/>
        <v>0</v>
      </c>
      <c r="BY13" s="5">
        <f t="shared" si="19"/>
        <v>0</v>
      </c>
      <c r="BZ13" s="5">
        <f t="shared" si="19"/>
        <v>0</v>
      </c>
      <c r="CA13" s="5">
        <f t="shared" si="19"/>
        <v>0</v>
      </c>
      <c r="CB13" s="5"/>
      <c r="CC13" s="11">
        <f t="shared" si="17"/>
        <v>547</v>
      </c>
      <c r="CD13" s="12">
        <f t="shared" si="23"/>
        <v>17</v>
      </c>
    </row>
    <row r="14" spans="1:82">
      <c r="A14" s="13" t="s">
        <v>19</v>
      </c>
      <c r="B14" s="5">
        <v>0</v>
      </c>
      <c r="C14" s="5"/>
      <c r="D14" s="5"/>
      <c r="E14" s="5"/>
      <c r="F14" s="5"/>
      <c r="G14" s="5"/>
      <c r="H14" s="5"/>
      <c r="I14" s="11">
        <f t="shared" si="1"/>
        <v>0</v>
      </c>
      <c r="K14" s="5">
        <v>0</v>
      </c>
      <c r="L14" s="5"/>
      <c r="M14" s="5"/>
      <c r="N14" s="5"/>
      <c r="O14" s="5"/>
      <c r="P14" s="5"/>
      <c r="Q14" s="5"/>
      <c r="R14" s="11">
        <f t="shared" si="3"/>
        <v>0</v>
      </c>
      <c r="T14" s="5">
        <v>0</v>
      </c>
      <c r="U14" s="5"/>
      <c r="V14" s="5"/>
      <c r="W14" s="5"/>
      <c r="X14" s="5"/>
      <c r="Y14" s="5"/>
      <c r="Z14" s="5"/>
      <c r="AA14" s="11">
        <f t="shared" si="5"/>
        <v>0</v>
      </c>
      <c r="AC14" s="5">
        <f t="shared" si="36"/>
        <v>248</v>
      </c>
      <c r="AD14" s="5"/>
      <c r="AE14" s="5"/>
      <c r="AF14" s="5"/>
      <c r="AG14" s="5"/>
      <c r="AH14" s="5"/>
      <c r="AI14" s="5"/>
      <c r="AJ14" s="11">
        <f t="shared" si="7"/>
        <v>248</v>
      </c>
      <c r="AK14" s="12">
        <f t="shared" si="37"/>
        <v>8</v>
      </c>
      <c r="AL14" s="5">
        <f>31*9</f>
        <v>279</v>
      </c>
      <c r="AM14" s="5"/>
      <c r="AN14" s="5"/>
      <c r="AO14" s="5"/>
      <c r="AP14" s="5"/>
      <c r="AQ14" s="5"/>
      <c r="AR14" s="5"/>
      <c r="AS14" s="11">
        <f t="shared" si="9"/>
        <v>279</v>
      </c>
      <c r="AT14" s="12">
        <f t="shared" si="38"/>
        <v>9</v>
      </c>
      <c r="AU14" s="5">
        <f>20</f>
        <v>20</v>
      </c>
      <c r="AV14" s="5"/>
      <c r="AW14" s="5"/>
      <c r="AX14" s="5"/>
      <c r="AY14" s="5"/>
      <c r="AZ14" s="5"/>
      <c r="BA14" s="5"/>
      <c r="BB14" s="11">
        <f t="shared" si="11"/>
        <v>20</v>
      </c>
      <c r="BD14" s="5">
        <v>0</v>
      </c>
      <c r="BE14" s="5"/>
      <c r="BF14" s="5"/>
      <c r="BG14" s="5"/>
      <c r="BH14" s="5"/>
      <c r="BI14" s="5"/>
      <c r="BJ14" s="5"/>
      <c r="BK14" s="11">
        <f t="shared" si="13"/>
        <v>0</v>
      </c>
      <c r="BM14" s="5">
        <v>0</v>
      </c>
      <c r="BN14" s="5"/>
      <c r="BO14" s="5"/>
      <c r="BP14" s="5"/>
      <c r="BQ14" s="5"/>
      <c r="BR14" s="5"/>
      <c r="BS14" s="5"/>
      <c r="BT14" s="11">
        <f t="shared" si="15"/>
        <v>0</v>
      </c>
      <c r="BV14" s="5">
        <f t="shared" si="22"/>
        <v>547</v>
      </c>
      <c r="BW14" s="5">
        <f t="shared" si="19"/>
        <v>0</v>
      </c>
      <c r="BX14" s="5">
        <f t="shared" si="19"/>
        <v>0</v>
      </c>
      <c r="BY14" s="5">
        <f t="shared" si="19"/>
        <v>0</v>
      </c>
      <c r="BZ14" s="5">
        <f t="shared" si="19"/>
        <v>0</v>
      </c>
      <c r="CA14" s="5">
        <f t="shared" si="19"/>
        <v>0</v>
      </c>
      <c r="CB14" s="5"/>
      <c r="CC14" s="11">
        <f t="shared" si="17"/>
        <v>547</v>
      </c>
      <c r="CD14" s="12">
        <f t="shared" si="23"/>
        <v>17</v>
      </c>
    </row>
    <row r="15" spans="1:82">
      <c r="A15" s="13" t="s">
        <v>20</v>
      </c>
      <c r="B15" s="5">
        <v>0</v>
      </c>
      <c r="C15" s="5"/>
      <c r="D15" s="5"/>
      <c r="E15" s="5"/>
      <c r="F15" s="5"/>
      <c r="G15" s="5"/>
      <c r="H15" s="5"/>
      <c r="I15" s="11">
        <f t="shared" si="1"/>
        <v>0</v>
      </c>
      <c r="K15" s="5">
        <v>0</v>
      </c>
      <c r="L15" s="5"/>
      <c r="M15" s="5"/>
      <c r="N15" s="5"/>
      <c r="O15" s="5"/>
      <c r="P15" s="5"/>
      <c r="Q15" s="5"/>
      <c r="R15" s="11">
        <f t="shared" si="3"/>
        <v>0</v>
      </c>
      <c r="T15" s="5">
        <v>0</v>
      </c>
      <c r="U15" s="5"/>
      <c r="V15" s="5"/>
      <c r="W15" s="5"/>
      <c r="X15" s="5"/>
      <c r="Y15" s="5"/>
      <c r="Z15" s="5"/>
      <c r="AA15" s="11">
        <f t="shared" si="5"/>
        <v>0</v>
      </c>
      <c r="AC15" s="5">
        <f t="shared" si="36"/>
        <v>248</v>
      </c>
      <c r="AD15" s="5"/>
      <c r="AE15" s="5"/>
      <c r="AF15" s="5"/>
      <c r="AG15" s="5"/>
      <c r="AH15" s="5"/>
      <c r="AI15" s="5"/>
      <c r="AJ15" s="11">
        <f t="shared" si="7"/>
        <v>248</v>
      </c>
      <c r="AK15" s="12">
        <f t="shared" si="37"/>
        <v>8</v>
      </c>
      <c r="AL15" s="5">
        <f>31*9</f>
        <v>279</v>
      </c>
      <c r="AM15" s="5"/>
      <c r="AN15" s="5"/>
      <c r="AO15" s="5"/>
      <c r="AP15" s="5"/>
      <c r="AQ15" s="5"/>
      <c r="AR15" s="5"/>
      <c r="AS15" s="11">
        <f t="shared" si="9"/>
        <v>279</v>
      </c>
      <c r="AT15" s="12">
        <f t="shared" si="38"/>
        <v>9</v>
      </c>
      <c r="AU15" s="5">
        <f>20</f>
        <v>20</v>
      </c>
      <c r="AV15" s="5"/>
      <c r="AW15" s="5"/>
      <c r="AX15" s="5"/>
      <c r="AY15" s="5"/>
      <c r="AZ15" s="5"/>
      <c r="BA15" s="5"/>
      <c r="BB15" s="11">
        <f t="shared" si="11"/>
        <v>20</v>
      </c>
      <c r="BD15" s="5">
        <v>0</v>
      </c>
      <c r="BE15" s="5"/>
      <c r="BF15" s="5"/>
      <c r="BG15" s="5"/>
      <c r="BH15" s="5"/>
      <c r="BI15" s="5"/>
      <c r="BJ15" s="5"/>
      <c r="BK15" s="11">
        <f t="shared" si="13"/>
        <v>0</v>
      </c>
      <c r="BM15" s="5">
        <v>0</v>
      </c>
      <c r="BN15" s="5"/>
      <c r="BO15" s="5"/>
      <c r="BP15" s="5"/>
      <c r="BQ15" s="5"/>
      <c r="BR15" s="5"/>
      <c r="BS15" s="5"/>
      <c r="BT15" s="11">
        <f t="shared" si="15"/>
        <v>0</v>
      </c>
      <c r="BV15" s="5">
        <f t="shared" si="22"/>
        <v>547</v>
      </c>
      <c r="BW15" s="5">
        <f t="shared" si="19"/>
        <v>0</v>
      </c>
      <c r="BX15" s="5">
        <f t="shared" si="19"/>
        <v>0</v>
      </c>
      <c r="BY15" s="5">
        <f t="shared" si="19"/>
        <v>0</v>
      </c>
      <c r="BZ15" s="5">
        <f t="shared" si="19"/>
        <v>0</v>
      </c>
      <c r="CA15" s="5">
        <f t="shared" si="19"/>
        <v>0</v>
      </c>
      <c r="CB15" s="5"/>
      <c r="CC15" s="11">
        <f t="shared" si="17"/>
        <v>547</v>
      </c>
      <c r="CD15" s="12">
        <f t="shared" si="23"/>
        <v>17</v>
      </c>
    </row>
    <row r="16" spans="1:82">
      <c r="A16" s="13" t="s">
        <v>21</v>
      </c>
      <c r="B16" s="5">
        <v>0</v>
      </c>
      <c r="C16" s="5"/>
      <c r="D16" s="5"/>
      <c r="E16" s="5"/>
      <c r="F16" s="5"/>
      <c r="G16" s="5"/>
      <c r="H16" s="5"/>
      <c r="I16" s="11">
        <f t="shared" si="1"/>
        <v>0</v>
      </c>
      <c r="K16" s="5">
        <v>0</v>
      </c>
      <c r="L16" s="5"/>
      <c r="M16" s="5"/>
      <c r="N16" s="5"/>
      <c r="O16" s="5"/>
      <c r="P16" s="5"/>
      <c r="Q16" s="5"/>
      <c r="R16" s="11">
        <f t="shared" si="3"/>
        <v>0</v>
      </c>
      <c r="T16" s="5">
        <v>0</v>
      </c>
      <c r="U16" s="5"/>
      <c r="V16" s="5"/>
      <c r="W16" s="5"/>
      <c r="X16" s="5"/>
      <c r="Y16" s="5"/>
      <c r="Z16" s="5"/>
      <c r="AA16" s="11">
        <f t="shared" si="5"/>
        <v>0</v>
      </c>
      <c r="AC16" s="5">
        <f t="shared" si="36"/>
        <v>248</v>
      </c>
      <c r="AD16" s="5"/>
      <c r="AE16" s="5"/>
      <c r="AF16" s="5"/>
      <c r="AG16" s="5"/>
      <c r="AH16" s="5"/>
      <c r="AI16" s="5"/>
      <c r="AJ16" s="11">
        <f t="shared" si="7"/>
        <v>248</v>
      </c>
      <c r="AK16" s="12">
        <f>AJ16/31</f>
        <v>8</v>
      </c>
      <c r="AL16" s="5">
        <f>31*9</f>
        <v>279</v>
      </c>
      <c r="AM16" s="5"/>
      <c r="AN16" s="5"/>
      <c r="AO16" s="5"/>
      <c r="AP16" s="5"/>
      <c r="AQ16" s="5"/>
      <c r="AR16" s="5"/>
      <c r="AS16" s="11">
        <f t="shared" si="9"/>
        <v>279</v>
      </c>
      <c r="AT16" s="12">
        <f t="shared" si="38"/>
        <v>9</v>
      </c>
      <c r="AU16" s="5">
        <f>20</f>
        <v>20</v>
      </c>
      <c r="AV16" s="5"/>
      <c r="AW16" s="5"/>
      <c r="AX16" s="5"/>
      <c r="AY16" s="5"/>
      <c r="AZ16" s="5"/>
      <c r="BA16" s="5"/>
      <c r="BB16" s="11">
        <f t="shared" si="11"/>
        <v>20</v>
      </c>
      <c r="BD16" s="5">
        <v>0</v>
      </c>
      <c r="BE16" s="5"/>
      <c r="BF16" s="5"/>
      <c r="BG16" s="5"/>
      <c r="BH16" s="5"/>
      <c r="BI16" s="5"/>
      <c r="BJ16" s="5"/>
      <c r="BK16" s="11">
        <f t="shared" si="13"/>
        <v>0</v>
      </c>
      <c r="BM16" s="5">
        <v>0</v>
      </c>
      <c r="BN16" s="5"/>
      <c r="BO16" s="5"/>
      <c r="BP16" s="5"/>
      <c r="BQ16" s="5"/>
      <c r="BR16" s="5"/>
      <c r="BS16" s="5"/>
      <c r="BT16" s="11">
        <f t="shared" si="15"/>
        <v>0</v>
      </c>
      <c r="BV16" s="5">
        <f t="shared" si="22"/>
        <v>547</v>
      </c>
      <c r="BW16" s="5">
        <f t="shared" si="19"/>
        <v>0</v>
      </c>
      <c r="BX16" s="5">
        <f t="shared" si="19"/>
        <v>0</v>
      </c>
      <c r="BY16" s="5">
        <f t="shared" si="19"/>
        <v>0</v>
      </c>
      <c r="BZ16" s="5">
        <f t="shared" si="19"/>
        <v>0</v>
      </c>
      <c r="CA16" s="5">
        <f t="shared" si="19"/>
        <v>0</v>
      </c>
      <c r="CB16" s="5"/>
      <c r="CC16" s="11">
        <f t="shared" si="17"/>
        <v>547</v>
      </c>
      <c r="CD16" s="12">
        <f t="shared" si="23"/>
        <v>17</v>
      </c>
    </row>
    <row r="17" spans="1:82" ht="15">
      <c r="A17" s="15" t="s">
        <v>8</v>
      </c>
      <c r="B17" s="9">
        <f t="shared" ref="B17:H17" si="40">SUM(B4:B16)</f>
        <v>930</v>
      </c>
      <c r="C17" s="9">
        <f t="shared" si="40"/>
        <v>0</v>
      </c>
      <c r="D17" s="9">
        <f t="shared" si="40"/>
        <v>0</v>
      </c>
      <c r="E17" s="9"/>
      <c r="F17" s="9">
        <f t="shared" si="40"/>
        <v>0</v>
      </c>
      <c r="G17" s="9">
        <f t="shared" si="40"/>
        <v>0</v>
      </c>
      <c r="H17" s="9">
        <f t="shared" si="40"/>
        <v>0</v>
      </c>
      <c r="I17" s="9">
        <f>SUM(I4:I16)</f>
        <v>930</v>
      </c>
      <c r="J17" s="106" t="b">
        <f>SUM(J4:J12)=I27</f>
        <v>1</v>
      </c>
      <c r="K17" s="9">
        <f t="shared" ref="K17:Q17" si="41">SUM(K4:K16)</f>
        <v>1032</v>
      </c>
      <c r="L17" s="9">
        <f t="shared" si="41"/>
        <v>0</v>
      </c>
      <c r="M17" s="9">
        <f t="shared" si="41"/>
        <v>0</v>
      </c>
      <c r="N17" s="9"/>
      <c r="O17" s="9">
        <f t="shared" si="41"/>
        <v>0</v>
      </c>
      <c r="P17" s="9">
        <f t="shared" si="41"/>
        <v>0</v>
      </c>
      <c r="Q17" s="9">
        <f t="shared" si="41"/>
        <v>0</v>
      </c>
      <c r="R17" s="9">
        <f>SUM(R4:R16)</f>
        <v>1032</v>
      </c>
      <c r="S17" s="106" t="b">
        <f>SUM(S4:S12)=R27</f>
        <v>1</v>
      </c>
      <c r="T17" s="9">
        <f t="shared" ref="T17:Z17" si="42">SUM(T4:T16)</f>
        <v>1245</v>
      </c>
      <c r="U17" s="9">
        <f t="shared" si="42"/>
        <v>0</v>
      </c>
      <c r="V17" s="9">
        <f t="shared" si="42"/>
        <v>0</v>
      </c>
      <c r="W17" s="9"/>
      <c r="X17" s="9">
        <f t="shared" si="42"/>
        <v>0</v>
      </c>
      <c r="Y17" s="9">
        <f t="shared" si="42"/>
        <v>0</v>
      </c>
      <c r="Z17" s="9">
        <f t="shared" si="42"/>
        <v>0</v>
      </c>
      <c r="AA17" s="9">
        <f>SUM(AA4:AA16)</f>
        <v>1245</v>
      </c>
      <c r="AB17" s="106" t="b">
        <f>SUM(AB4:AB12)=AA27</f>
        <v>1</v>
      </c>
      <c r="AC17" s="9">
        <f t="shared" ref="AC17:AI17" si="43">SUM(AC4:AC16)</f>
        <v>2546</v>
      </c>
      <c r="AD17" s="9">
        <f t="shared" si="43"/>
        <v>0</v>
      </c>
      <c r="AE17" s="9">
        <f t="shared" si="43"/>
        <v>0</v>
      </c>
      <c r="AF17" s="9"/>
      <c r="AG17" s="9">
        <f t="shared" si="43"/>
        <v>0</v>
      </c>
      <c r="AH17" s="9">
        <f t="shared" si="43"/>
        <v>0</v>
      </c>
      <c r="AI17" s="9">
        <f t="shared" si="43"/>
        <v>0</v>
      </c>
      <c r="AJ17" s="9">
        <f>SUM(AJ4:AJ16)</f>
        <v>2546</v>
      </c>
      <c r="AK17" s="106" t="b">
        <f>SUM(AK4:AK16)=AJ27</f>
        <v>1</v>
      </c>
      <c r="AL17" s="9">
        <f t="shared" ref="AL17:AR17" si="44">SUM(AL4:AL16)</f>
        <v>2402</v>
      </c>
      <c r="AM17" s="9">
        <f t="shared" si="44"/>
        <v>0</v>
      </c>
      <c r="AN17" s="9">
        <f t="shared" si="44"/>
        <v>0</v>
      </c>
      <c r="AO17" s="9"/>
      <c r="AP17" s="9">
        <f t="shared" si="44"/>
        <v>0</v>
      </c>
      <c r="AQ17" s="9">
        <f t="shared" si="44"/>
        <v>0</v>
      </c>
      <c r="AR17" s="9">
        <f t="shared" si="44"/>
        <v>0</v>
      </c>
      <c r="AS17" s="9">
        <f>SUM(AS4:AS16)</f>
        <v>2402</v>
      </c>
      <c r="AT17" s="106" t="b">
        <f>SUM(AT4:AT16)=AS27</f>
        <v>1</v>
      </c>
      <c r="AU17" s="9">
        <f t="shared" ref="AU17:BA17" si="45">SUM(AU4:AU16)</f>
        <v>140</v>
      </c>
      <c r="AV17" s="9">
        <f t="shared" si="45"/>
        <v>0</v>
      </c>
      <c r="AW17" s="9">
        <f t="shared" si="45"/>
        <v>0</v>
      </c>
      <c r="AX17" s="9"/>
      <c r="AY17" s="9">
        <f t="shared" si="45"/>
        <v>0</v>
      </c>
      <c r="AZ17" s="9">
        <f t="shared" si="45"/>
        <v>0</v>
      </c>
      <c r="BA17" s="9">
        <f t="shared" si="45"/>
        <v>0</v>
      </c>
      <c r="BB17" s="9">
        <f>SUM(BB4:BB16)</f>
        <v>140</v>
      </c>
      <c r="BC17" s="106" t="b">
        <f>SUM(BC4:BC16)=BB27</f>
        <v>1</v>
      </c>
      <c r="BD17" s="9">
        <f t="shared" ref="BD17:BJ17" si="46">SUM(BD4:BD16)</f>
        <v>571</v>
      </c>
      <c r="BE17" s="9">
        <f t="shared" si="46"/>
        <v>0</v>
      </c>
      <c r="BF17" s="9">
        <f t="shared" si="46"/>
        <v>0</v>
      </c>
      <c r="BG17" s="9"/>
      <c r="BH17" s="9">
        <f t="shared" si="46"/>
        <v>0</v>
      </c>
      <c r="BI17" s="9">
        <f t="shared" si="46"/>
        <v>0</v>
      </c>
      <c r="BJ17" s="9">
        <f t="shared" si="46"/>
        <v>0</v>
      </c>
      <c r="BK17" s="9">
        <f>SUM(BK4:BK16)</f>
        <v>571</v>
      </c>
      <c r="BL17" s="106" t="b">
        <f>SUM(BL4:BL16)=BK27</f>
        <v>1</v>
      </c>
      <c r="BM17" s="9">
        <f t="shared" ref="BM17:BS17" si="47">SUM(BM4:BM16)</f>
        <v>0</v>
      </c>
      <c r="BN17" s="9">
        <f t="shared" si="47"/>
        <v>0</v>
      </c>
      <c r="BO17" s="9">
        <f t="shared" si="47"/>
        <v>0</v>
      </c>
      <c r="BP17" s="9"/>
      <c r="BQ17" s="9">
        <f t="shared" si="47"/>
        <v>0</v>
      </c>
      <c r="BR17" s="9">
        <f t="shared" si="47"/>
        <v>0</v>
      </c>
      <c r="BS17" s="9">
        <f t="shared" si="47"/>
        <v>0</v>
      </c>
      <c r="BT17" s="9">
        <f>SUM(BT4:BT16)</f>
        <v>0</v>
      </c>
      <c r="BV17" s="9">
        <f t="shared" ref="BV17:BX17" si="48">SUM(BV4:BV16)</f>
        <v>8866</v>
      </c>
      <c r="BW17" s="9">
        <f t="shared" si="48"/>
        <v>0</v>
      </c>
      <c r="BX17" s="9">
        <f t="shared" si="48"/>
        <v>0</v>
      </c>
      <c r="BY17" s="9"/>
      <c r="BZ17" s="9">
        <f t="shared" ref="BZ17:CB17" si="49">SUM(BZ4:BZ16)</f>
        <v>0</v>
      </c>
      <c r="CA17" s="9">
        <f t="shared" si="49"/>
        <v>0</v>
      </c>
      <c r="CB17" s="9">
        <f t="shared" si="49"/>
        <v>0</v>
      </c>
      <c r="CC17" s="9">
        <f>SUM(CC4:CC16)</f>
        <v>8866</v>
      </c>
      <c r="CD17" s="106" t="b">
        <f>SUM(CD4:CD16)=CC27</f>
        <v>1</v>
      </c>
    </row>
    <row r="18" spans="1:82">
      <c r="A18" s="13"/>
      <c r="B18" s="5"/>
      <c r="C18" s="16"/>
      <c r="D18" s="16"/>
      <c r="E18" s="16"/>
      <c r="F18" s="16"/>
      <c r="G18" s="16"/>
      <c r="H18" s="16"/>
      <c r="I18" s="16"/>
      <c r="J18" s="7"/>
      <c r="K18" s="5"/>
      <c r="L18" s="16"/>
      <c r="M18" s="16"/>
      <c r="N18" s="16"/>
      <c r="O18" s="16"/>
      <c r="P18" s="16"/>
      <c r="Q18" s="16"/>
      <c r="R18" s="16"/>
      <c r="T18" s="5"/>
      <c r="U18" s="16"/>
      <c r="V18" s="16"/>
      <c r="W18" s="16"/>
      <c r="X18" s="16"/>
      <c r="Y18" s="16"/>
      <c r="Z18" s="16"/>
      <c r="AA18" s="16"/>
      <c r="AC18" s="5"/>
      <c r="AD18" s="16"/>
      <c r="AE18" s="16"/>
      <c r="AF18" s="16"/>
      <c r="AG18" s="16"/>
      <c r="AH18" s="16"/>
      <c r="AI18" s="16"/>
      <c r="AJ18" s="16"/>
      <c r="AL18" s="5"/>
      <c r="AM18" s="16"/>
      <c r="AN18" s="16"/>
      <c r="AO18" s="16"/>
      <c r="AP18" s="16"/>
      <c r="AQ18" s="16"/>
      <c r="AR18" s="16"/>
      <c r="AS18" s="16"/>
      <c r="AU18" s="5"/>
      <c r="AV18" s="16"/>
      <c r="AW18" s="16"/>
      <c r="AX18" s="16"/>
      <c r="AY18" s="16"/>
      <c r="AZ18" s="16"/>
      <c r="BA18" s="16"/>
      <c r="BB18" s="16"/>
      <c r="BD18" s="5"/>
      <c r="BE18" s="16"/>
      <c r="BF18" s="16"/>
      <c r="BG18" s="16"/>
      <c r="BH18" s="16"/>
      <c r="BI18" s="16"/>
      <c r="BJ18" s="16"/>
      <c r="BK18" s="16"/>
      <c r="BM18" s="5"/>
      <c r="BN18" s="16"/>
      <c r="BO18" s="16"/>
      <c r="BP18" s="16"/>
      <c r="BQ18" s="16"/>
      <c r="BR18" s="16"/>
      <c r="BS18" s="16"/>
      <c r="BT18" s="16"/>
      <c r="BV18" s="5"/>
      <c r="BW18" s="16"/>
      <c r="BX18" s="16"/>
      <c r="BY18" s="16"/>
      <c r="BZ18" s="16"/>
      <c r="CA18" s="16"/>
      <c r="CB18" s="16"/>
      <c r="CC18" s="16"/>
    </row>
    <row r="19" spans="1:82" ht="15">
      <c r="A19" s="17" t="s">
        <v>22</v>
      </c>
      <c r="B19" s="18" t="str">
        <f t="shared" ref="B19:I19" si="50">B1</f>
        <v>Operating</v>
      </c>
      <c r="C19" s="18" t="str">
        <f t="shared" si="50"/>
        <v>SPED</v>
      </c>
      <c r="D19" s="18" t="str">
        <f t="shared" si="50"/>
        <v>NSLP</v>
      </c>
      <c r="E19" s="18" t="str">
        <f t="shared" si="50"/>
        <v>Other</v>
      </c>
      <c r="F19" s="18" t="str">
        <f t="shared" si="50"/>
        <v>Title I</v>
      </c>
      <c r="G19" s="18" t="str">
        <f t="shared" si="50"/>
        <v>SGF</v>
      </c>
      <c r="H19" s="18" t="str">
        <f t="shared" si="50"/>
        <v>Title III</v>
      </c>
      <c r="I19" s="18" t="str">
        <f t="shared" si="50"/>
        <v>Horizon</v>
      </c>
      <c r="J19" s="19"/>
      <c r="K19" s="18" t="str">
        <f t="shared" ref="K19:R19" si="51">K1</f>
        <v>Operating</v>
      </c>
      <c r="L19" s="18" t="str">
        <f t="shared" si="51"/>
        <v>SPED</v>
      </c>
      <c r="M19" s="18" t="str">
        <f t="shared" si="51"/>
        <v>NSLP</v>
      </c>
      <c r="N19" s="18" t="str">
        <f t="shared" si="51"/>
        <v>Other</v>
      </c>
      <c r="O19" s="18" t="str">
        <f t="shared" si="51"/>
        <v>Title I</v>
      </c>
      <c r="P19" s="18" t="str">
        <f t="shared" si="51"/>
        <v>SGF</v>
      </c>
      <c r="Q19" s="18" t="str">
        <f t="shared" si="51"/>
        <v>Title III</v>
      </c>
      <c r="R19" s="18" t="str">
        <f t="shared" si="51"/>
        <v>St. Rose</v>
      </c>
      <c r="T19" s="18" t="str">
        <f t="shared" ref="T19:AA19" si="52">T1</f>
        <v>Operating</v>
      </c>
      <c r="U19" s="18" t="str">
        <f t="shared" si="52"/>
        <v>SPED</v>
      </c>
      <c r="V19" s="18" t="str">
        <f t="shared" si="52"/>
        <v>NSLP</v>
      </c>
      <c r="W19" s="18" t="str">
        <f t="shared" si="52"/>
        <v>Other</v>
      </c>
      <c r="X19" s="18" t="str">
        <f t="shared" si="52"/>
        <v>Title I</v>
      </c>
      <c r="Y19" s="18" t="str">
        <f t="shared" si="52"/>
        <v>SGF</v>
      </c>
      <c r="Z19" s="18" t="str">
        <f t="shared" si="52"/>
        <v>Title III</v>
      </c>
      <c r="AA19" s="18" t="str">
        <f t="shared" si="52"/>
        <v>Inspirada</v>
      </c>
      <c r="AC19" s="18" t="str">
        <f t="shared" ref="AC19:AJ19" si="53">AC1</f>
        <v>Operating</v>
      </c>
      <c r="AD19" s="18" t="str">
        <f t="shared" si="53"/>
        <v>SPED</v>
      </c>
      <c r="AE19" s="18" t="str">
        <f t="shared" si="53"/>
        <v>NSLP</v>
      </c>
      <c r="AF19" s="18" t="str">
        <f t="shared" si="53"/>
        <v>Other</v>
      </c>
      <c r="AG19" s="18" t="str">
        <f t="shared" si="53"/>
        <v>Title I</v>
      </c>
      <c r="AH19" s="18" t="str">
        <f t="shared" si="53"/>
        <v>SGF</v>
      </c>
      <c r="AI19" s="18" t="str">
        <f t="shared" si="53"/>
        <v>Title III</v>
      </c>
      <c r="AJ19" s="18" t="str">
        <f t="shared" si="53"/>
        <v>Cadence</v>
      </c>
      <c r="AL19" s="18" t="str">
        <f t="shared" ref="AL19:AS19" si="54">AL1</f>
        <v>Operating</v>
      </c>
      <c r="AM19" s="18" t="str">
        <f t="shared" si="54"/>
        <v>SPED</v>
      </c>
      <c r="AN19" s="18" t="str">
        <f t="shared" si="54"/>
        <v>NSLP</v>
      </c>
      <c r="AO19" s="18" t="str">
        <f t="shared" si="54"/>
        <v>Other</v>
      </c>
      <c r="AP19" s="18" t="str">
        <f t="shared" si="54"/>
        <v>Title I</v>
      </c>
      <c r="AQ19" s="18" t="str">
        <f t="shared" si="54"/>
        <v>SGF</v>
      </c>
      <c r="AR19" s="18" t="str">
        <f t="shared" si="54"/>
        <v>Title III</v>
      </c>
      <c r="AS19" s="18" t="str">
        <f t="shared" si="54"/>
        <v>Sloan</v>
      </c>
      <c r="AU19" s="18" t="str">
        <f t="shared" ref="AU19:BB19" si="55">AU1</f>
        <v>Operating</v>
      </c>
      <c r="AV19" s="18" t="str">
        <f t="shared" si="55"/>
        <v>SPED</v>
      </c>
      <c r="AW19" s="18" t="str">
        <f t="shared" si="55"/>
        <v>NSLP</v>
      </c>
      <c r="AX19" s="18" t="str">
        <f t="shared" si="55"/>
        <v>Other</v>
      </c>
      <c r="AY19" s="18" t="str">
        <f t="shared" si="55"/>
        <v>Title I</v>
      </c>
      <c r="AZ19" s="18" t="str">
        <f t="shared" si="55"/>
        <v>SGF</v>
      </c>
      <c r="BA19" s="18" t="str">
        <f t="shared" si="55"/>
        <v>Title III</v>
      </c>
      <c r="BB19" s="18" t="str">
        <f t="shared" si="55"/>
        <v>Virtual</v>
      </c>
      <c r="BD19" s="18" t="str">
        <f t="shared" ref="BD19:BK19" si="56">BD1</f>
        <v>Operating</v>
      </c>
      <c r="BE19" s="18" t="str">
        <f t="shared" si="56"/>
        <v>SPED</v>
      </c>
      <c r="BF19" s="18" t="str">
        <f t="shared" si="56"/>
        <v>NSLP</v>
      </c>
      <c r="BG19" s="18" t="str">
        <f t="shared" si="56"/>
        <v>Other</v>
      </c>
      <c r="BH19" s="18" t="str">
        <f t="shared" si="56"/>
        <v>Title I</v>
      </c>
      <c r="BI19" s="18" t="str">
        <f t="shared" si="56"/>
        <v>SGF</v>
      </c>
      <c r="BJ19" s="18" t="str">
        <f t="shared" si="56"/>
        <v>Title III</v>
      </c>
      <c r="BK19" s="18" t="str">
        <f t="shared" si="56"/>
        <v>Springs</v>
      </c>
      <c r="BM19" s="18" t="str">
        <f t="shared" ref="BM19:BT19" si="57">BM1</f>
        <v>Operating</v>
      </c>
      <c r="BN19" s="18" t="str">
        <f t="shared" si="57"/>
        <v>SPED</v>
      </c>
      <c r="BO19" s="18" t="str">
        <f t="shared" si="57"/>
        <v>NSLP</v>
      </c>
      <c r="BP19" s="18" t="str">
        <f t="shared" si="57"/>
        <v>Other</v>
      </c>
      <c r="BQ19" s="18" t="str">
        <f t="shared" si="57"/>
        <v>Title I</v>
      </c>
      <c r="BR19" s="18" t="str">
        <f t="shared" si="57"/>
        <v>SGF</v>
      </c>
      <c r="BS19" s="18" t="str">
        <f t="shared" si="57"/>
        <v>Title III</v>
      </c>
      <c r="BT19" s="18" t="str">
        <f t="shared" si="57"/>
        <v>Exec. Office</v>
      </c>
      <c r="BV19" s="18" t="str">
        <f t="shared" ref="BV19:CC19" si="58">BV1</f>
        <v>Operating</v>
      </c>
      <c r="BW19" s="18" t="str">
        <f t="shared" si="58"/>
        <v>SPED</v>
      </c>
      <c r="BX19" s="18" t="str">
        <f t="shared" si="58"/>
        <v>NSLP</v>
      </c>
      <c r="BY19" s="18" t="str">
        <f t="shared" si="58"/>
        <v>Other</v>
      </c>
      <c r="BZ19" s="18" t="str">
        <f t="shared" si="58"/>
        <v>Title I</v>
      </c>
      <c r="CA19" s="18" t="str">
        <f t="shared" si="58"/>
        <v>SGF</v>
      </c>
      <c r="CB19" s="18" t="str">
        <f t="shared" si="58"/>
        <v>Title III</v>
      </c>
      <c r="CC19" s="18" t="str">
        <f t="shared" si="58"/>
        <v>Systemwide</v>
      </c>
    </row>
    <row r="20" spans="1:82">
      <c r="A20" s="13" t="s">
        <v>23</v>
      </c>
      <c r="B20" s="5"/>
      <c r="C20" s="5">
        <f>('27-28'!C20/'27-28'!B17)*'28-29'!B17</f>
        <v>124.3425414364641</v>
      </c>
      <c r="D20" s="5"/>
      <c r="E20" s="5"/>
      <c r="F20" s="5"/>
      <c r="G20" s="5"/>
      <c r="H20" s="5"/>
      <c r="I20" s="5">
        <f>SUM(B20:H20)</f>
        <v>124.3425414364641</v>
      </c>
      <c r="J20" s="20"/>
      <c r="K20" s="5"/>
      <c r="L20" s="5">
        <f>('27-28'!L20/'27-28'!K17)*'28-29'!K17</f>
        <v>73.714285714285708</v>
      </c>
      <c r="M20" s="5"/>
      <c r="N20" s="5"/>
      <c r="O20" s="5"/>
      <c r="P20" s="5"/>
      <c r="Q20" s="5"/>
      <c r="R20" s="5">
        <f>SUM(K20:Q20)</f>
        <v>73.714285714285708</v>
      </c>
      <c r="T20" s="5"/>
      <c r="U20" s="5">
        <f>('27-28'!U20/'27-28'!T17)*'28-29'!T17</f>
        <v>112.70746018440904</v>
      </c>
      <c r="V20" s="5"/>
      <c r="W20" s="5"/>
      <c r="X20" s="5"/>
      <c r="Y20" s="5"/>
      <c r="Z20" s="5"/>
      <c r="AA20" s="5">
        <f>SUM(T20:Z20)</f>
        <v>112.70746018440904</v>
      </c>
      <c r="AC20" s="5"/>
      <c r="AD20" s="5">
        <f>('27-28'!AD20/'27-28'!AC17)*'28-29'!AC17</f>
        <v>302.73224978614195</v>
      </c>
      <c r="AE20" s="5"/>
      <c r="AF20" s="5"/>
      <c r="AG20" s="5"/>
      <c r="AH20" s="5"/>
      <c r="AI20" s="5"/>
      <c r="AJ20" s="5">
        <f>SUM(AC20:AI20)</f>
        <v>302.73224978614195</v>
      </c>
      <c r="AL20" s="5"/>
      <c r="AM20" s="5">
        <f>('27-28'!AM20/'27-28'!AL17)*'28-29'!AL17</f>
        <v>225.28665785997359</v>
      </c>
      <c r="AN20" s="5"/>
      <c r="AO20" s="5"/>
      <c r="AP20" s="5"/>
      <c r="AQ20" s="5"/>
      <c r="AR20" s="5"/>
      <c r="AS20" s="5">
        <f>SUM(AL20:AR20)</f>
        <v>225.28665785997359</v>
      </c>
      <c r="AU20" s="5"/>
      <c r="AV20" s="5">
        <f>('27-28'!AV20/'27-28'!AU17)*'28-29'!AU17</f>
        <v>18.666666666666668</v>
      </c>
      <c r="AW20" s="5"/>
      <c r="AX20" s="5"/>
      <c r="AY20" s="5"/>
      <c r="AZ20" s="5"/>
      <c r="BA20" s="5"/>
      <c r="BB20" s="5">
        <f>SUM(AU20:BA20)</f>
        <v>18.666666666666668</v>
      </c>
      <c r="BD20" s="5"/>
      <c r="BE20" s="5">
        <f>('27-28'!BE20/'27-28'!BD17)*'28-29'!BD17</f>
        <v>36.492481203007515</v>
      </c>
      <c r="BF20" s="5"/>
      <c r="BG20" s="5"/>
      <c r="BH20" s="5"/>
      <c r="BI20" s="5"/>
      <c r="BJ20" s="5"/>
      <c r="BK20" s="5">
        <f>SUM(BD20:BJ20)</f>
        <v>36.492481203007515</v>
      </c>
      <c r="BM20" s="5">
        <v>0</v>
      </c>
      <c r="BN20" s="5">
        <v>0</v>
      </c>
      <c r="BO20" s="5"/>
      <c r="BP20" s="5"/>
      <c r="BQ20" s="5"/>
      <c r="BR20" s="5"/>
      <c r="BS20" s="5"/>
      <c r="BT20" s="5">
        <f>SUM(BM20:BS20)</f>
        <v>0</v>
      </c>
      <c r="BV20" s="5">
        <f>B20+K20+T20+AC20+AL20+AU20+BD20+BM20</f>
        <v>0</v>
      </c>
      <c r="BW20" s="5">
        <f t="shared" ref="BW20:CA24" si="59">C20+L20+U20+AD20+AM20+AV20+BE20+BN20</f>
        <v>893.94234285094865</v>
      </c>
      <c r="BX20" s="5">
        <f t="shared" si="59"/>
        <v>0</v>
      </c>
      <c r="BY20" s="5">
        <f t="shared" si="59"/>
        <v>0</v>
      </c>
      <c r="BZ20" s="5">
        <f t="shared" si="59"/>
        <v>0</v>
      </c>
      <c r="CA20" s="5">
        <f t="shared" si="59"/>
        <v>0</v>
      </c>
      <c r="CB20" s="5"/>
      <c r="CC20" s="5">
        <f>SUM(BV20:CB20)</f>
        <v>893.94234285094865</v>
      </c>
    </row>
    <row r="21" spans="1:82">
      <c r="A21" s="13" t="s">
        <v>24</v>
      </c>
      <c r="B21" s="5">
        <f>('27-28'!B21/'27-28'!B17)*'28-29'!B17</f>
        <v>36.994475138121544</v>
      </c>
      <c r="C21" s="5"/>
      <c r="D21" s="5"/>
      <c r="E21" s="5"/>
      <c r="F21" s="5"/>
      <c r="G21" s="5"/>
      <c r="H21" s="5"/>
      <c r="I21" s="5">
        <f>SUM(B21:H21)</f>
        <v>36.994475138121544</v>
      </c>
      <c r="J21" s="20"/>
      <c r="K21" s="5">
        <f>('27-28'!K21/'27-28'!K17)*'28-29'!K17</f>
        <v>22.215264187866925</v>
      </c>
      <c r="L21" s="5"/>
      <c r="M21" s="5"/>
      <c r="N21" s="5"/>
      <c r="O21" s="5"/>
      <c r="P21" s="5"/>
      <c r="Q21" s="5"/>
      <c r="R21" s="5">
        <f>SUM(K21:Q21)</f>
        <v>22.215264187866925</v>
      </c>
      <c r="T21" s="5">
        <f>('27-28'!T21/'27-28'!T17)*'28-29'!T17</f>
        <v>17.740989103101423</v>
      </c>
      <c r="U21" s="5"/>
      <c r="V21" s="5"/>
      <c r="W21" s="5"/>
      <c r="X21" s="5"/>
      <c r="Y21" s="5"/>
      <c r="Z21" s="5"/>
      <c r="AA21" s="5">
        <f>SUM(T21:Z21)</f>
        <v>17.740989103101423</v>
      </c>
      <c r="AC21" s="5">
        <f>('27-28'!AC21/'27-28'!AC17)*'28-29'!AC17</f>
        <v>45.73652694610778</v>
      </c>
      <c r="AD21" s="5"/>
      <c r="AE21" s="5"/>
      <c r="AF21" s="5"/>
      <c r="AG21" s="5"/>
      <c r="AH21" s="5"/>
      <c r="AI21" s="5"/>
      <c r="AJ21" s="5">
        <f>SUM(AC21:AI21)</f>
        <v>45.73652694610778</v>
      </c>
      <c r="AL21" s="5">
        <f>('27-28'!AL21/'27-28'!AL17)*'28-29'!AL17</f>
        <v>43.365037428445625</v>
      </c>
      <c r="AM21" s="5"/>
      <c r="AN21" s="5"/>
      <c r="AO21" s="5"/>
      <c r="AP21" s="5"/>
      <c r="AQ21" s="5"/>
      <c r="AR21" s="5"/>
      <c r="AS21" s="5">
        <f>SUM(AL21:AR21)</f>
        <v>43.365037428445625</v>
      </c>
      <c r="AU21" s="5">
        <f>('27-28'!AU21/'27-28'!AU17)*'28-29'!AU17</f>
        <v>1.037037037037037</v>
      </c>
      <c r="AV21" s="5"/>
      <c r="AW21" s="5"/>
      <c r="AX21" s="5"/>
      <c r="AY21" s="5"/>
      <c r="AZ21" s="5"/>
      <c r="BA21" s="5"/>
      <c r="BB21" s="5">
        <f>SUM(AU21:BA21)</f>
        <v>1.037037037037037</v>
      </c>
      <c r="BD21" s="5">
        <f>('27-28'!BD21/'27-28'!BD17)*'28-29'!BD17</f>
        <v>47.225563909774436</v>
      </c>
      <c r="BE21" s="5"/>
      <c r="BF21" s="5"/>
      <c r="BG21" s="5"/>
      <c r="BH21" s="5"/>
      <c r="BI21" s="5"/>
      <c r="BJ21" s="5"/>
      <c r="BK21" s="5">
        <f>SUM(BD21:BJ21)</f>
        <v>47.225563909774436</v>
      </c>
      <c r="BM21" s="5"/>
      <c r="BN21" s="5"/>
      <c r="BO21" s="5"/>
      <c r="BP21" s="5"/>
      <c r="BQ21" s="5"/>
      <c r="BR21" s="5"/>
      <c r="BS21" s="5"/>
      <c r="BT21" s="5">
        <f>SUM(BM21:BS21)</f>
        <v>0</v>
      </c>
      <c r="BV21" s="5">
        <f t="shared" ref="BV21:BV24" si="60">B21+K21+T21+AC21+AL21+AU21+BD21+BM21</f>
        <v>214.31489375045476</v>
      </c>
      <c r="BW21" s="5">
        <f t="shared" si="59"/>
        <v>0</v>
      </c>
      <c r="BX21" s="5">
        <f t="shared" si="59"/>
        <v>0</v>
      </c>
      <c r="BY21" s="5">
        <f t="shared" si="59"/>
        <v>0</v>
      </c>
      <c r="BZ21" s="5">
        <f t="shared" si="59"/>
        <v>0</v>
      </c>
      <c r="CA21" s="5">
        <f t="shared" si="59"/>
        <v>0</v>
      </c>
      <c r="CB21" s="5"/>
      <c r="CC21" s="5">
        <f>SUM(BV21:CB21)</f>
        <v>214.31489375045476</v>
      </c>
    </row>
    <row r="22" spans="1:82">
      <c r="A22" s="13" t="s">
        <v>25</v>
      </c>
      <c r="B22" s="11">
        <f>('27-28'!B22/'27-28'!B17)*'28-29'!B17</f>
        <v>52.408839779005518</v>
      </c>
      <c r="C22" s="11"/>
      <c r="D22" s="11"/>
      <c r="E22" s="11"/>
      <c r="F22" s="11"/>
      <c r="G22" s="11"/>
      <c r="H22" s="11"/>
      <c r="I22" s="5">
        <f>SUM(B22:H22)</f>
        <v>52.408839779005518</v>
      </c>
      <c r="K22" s="11">
        <f>('27-28'!K22/'27-28'!K17)*'28-29'!K17</f>
        <v>67.655577299412911</v>
      </c>
      <c r="L22" s="11"/>
      <c r="M22" s="11"/>
      <c r="N22" s="11"/>
      <c r="O22" s="11"/>
      <c r="P22" s="11"/>
      <c r="Q22" s="11"/>
      <c r="R22" s="5">
        <f>SUM(K22:Q22)</f>
        <v>67.655577299412911</v>
      </c>
      <c r="T22" s="11">
        <f>('27-28'!T22/'27-28'!T17)*'28-29'!T17</f>
        <v>115.83822296730931</v>
      </c>
      <c r="U22" s="11"/>
      <c r="V22" s="11"/>
      <c r="W22" s="11"/>
      <c r="X22" s="11"/>
      <c r="Y22" s="11"/>
      <c r="Z22" s="11"/>
      <c r="AA22" s="5">
        <f>SUM(T22:Z22)</f>
        <v>115.83822296730931</v>
      </c>
      <c r="AC22" s="11">
        <f>('27-28'!AC22/'27-28'!AC17)*'28-29'!AC17</f>
        <v>69.693755346449947</v>
      </c>
      <c r="AD22" s="11"/>
      <c r="AE22" s="11"/>
      <c r="AF22" s="11"/>
      <c r="AG22" s="11"/>
      <c r="AH22" s="11"/>
      <c r="AI22" s="11"/>
      <c r="AJ22" s="5">
        <f>SUM(AC22:AI22)</f>
        <v>69.693755346449947</v>
      </c>
      <c r="AL22" s="11">
        <f>('27-28'!AL22/'27-28'!AL17)*'28-29'!AL17</f>
        <v>120.57595772787319</v>
      </c>
      <c r="AM22" s="11"/>
      <c r="AN22" s="11"/>
      <c r="AO22" s="11"/>
      <c r="AP22" s="11"/>
      <c r="AQ22" s="11"/>
      <c r="AR22" s="11"/>
      <c r="AS22" s="5">
        <f>SUM(AL22:AR22)</f>
        <v>120.57595772787319</v>
      </c>
      <c r="AU22" s="11">
        <f>('27-28'!AU22/'27-28'!AU17)*'28-29'!AU17</f>
        <v>0</v>
      </c>
      <c r="AV22" s="11"/>
      <c r="AW22" s="11"/>
      <c r="AX22" s="11"/>
      <c r="AY22" s="11"/>
      <c r="AZ22" s="11"/>
      <c r="BA22" s="11"/>
      <c r="BB22" s="5">
        <f>SUM(AU22:BA22)</f>
        <v>0</v>
      </c>
      <c r="BD22" s="11">
        <f>('27-28'!BD22/'27-28'!BD17)*'28-29'!BD17</f>
        <v>0</v>
      </c>
      <c r="BE22" s="11"/>
      <c r="BF22" s="11"/>
      <c r="BG22" s="11"/>
      <c r="BH22" s="11"/>
      <c r="BI22" s="11"/>
      <c r="BJ22" s="11"/>
      <c r="BK22" s="5">
        <f>SUM(BD22:BJ22)</f>
        <v>0</v>
      </c>
      <c r="BM22" s="11"/>
      <c r="BN22" s="11"/>
      <c r="BO22" s="11"/>
      <c r="BP22" s="11"/>
      <c r="BQ22" s="11"/>
      <c r="BR22" s="11"/>
      <c r="BS22" s="11"/>
      <c r="BT22" s="5">
        <f>SUM(BM22:BS22)</f>
        <v>0</v>
      </c>
      <c r="BV22" s="5">
        <f t="shared" si="60"/>
        <v>426.17235312005084</v>
      </c>
      <c r="BW22" s="5">
        <f t="shared" si="59"/>
        <v>0</v>
      </c>
      <c r="BX22" s="5">
        <f t="shared" si="59"/>
        <v>0</v>
      </c>
      <c r="BY22" s="5">
        <f t="shared" si="59"/>
        <v>0</v>
      </c>
      <c r="BZ22" s="5">
        <f t="shared" si="59"/>
        <v>0</v>
      </c>
      <c r="CA22" s="5">
        <f t="shared" si="59"/>
        <v>0</v>
      </c>
      <c r="CB22" s="11"/>
      <c r="CC22" s="5">
        <f>SUM(BV22:CB22)</f>
        <v>426.17235312005084</v>
      </c>
    </row>
    <row r="23" spans="1:82">
      <c r="A23" s="13" t="s">
        <v>26</v>
      </c>
      <c r="B23" s="21"/>
      <c r="C23" s="21"/>
      <c r="D23" s="22">
        <v>0.4073</v>
      </c>
      <c r="E23" s="22"/>
      <c r="F23" s="22"/>
      <c r="G23" s="22"/>
      <c r="H23" s="22"/>
      <c r="I23" s="21">
        <f>SUM(B23:H23)</f>
        <v>0.4073</v>
      </c>
      <c r="J23" s="23"/>
      <c r="K23" s="21"/>
      <c r="L23" s="21"/>
      <c r="M23" s="22">
        <v>0.31319999999999998</v>
      </c>
      <c r="N23" s="22"/>
      <c r="O23" s="22"/>
      <c r="P23" s="22"/>
      <c r="Q23" s="22"/>
      <c r="R23" s="21">
        <f>SUM(K23:Q23)</f>
        <v>0.31319999999999998</v>
      </c>
      <c r="T23" s="21"/>
      <c r="U23" s="21"/>
      <c r="V23" s="22">
        <v>0.13780000000000001</v>
      </c>
      <c r="W23" s="22"/>
      <c r="X23" s="22"/>
      <c r="Y23" s="22"/>
      <c r="Z23" s="22"/>
      <c r="AA23" s="21">
        <f>SUM(T23:Z23)</f>
        <v>0.13780000000000001</v>
      </c>
      <c r="AC23" s="21"/>
      <c r="AD23" s="21"/>
      <c r="AE23" s="22">
        <v>0.31780000000000003</v>
      </c>
      <c r="AF23" s="22"/>
      <c r="AG23" s="22"/>
      <c r="AH23" s="22"/>
      <c r="AI23" s="22"/>
      <c r="AJ23" s="21">
        <f>SUM(AC23:AI23)</f>
        <v>0.31780000000000003</v>
      </c>
      <c r="AL23" s="21"/>
      <c r="AM23" s="21"/>
      <c r="AN23" s="104">
        <v>0.1978</v>
      </c>
      <c r="AO23" s="22"/>
      <c r="AP23" s="22"/>
      <c r="AQ23" s="22"/>
      <c r="AR23" s="22"/>
      <c r="AS23" s="21">
        <f>SUM(AL23:AR23)</f>
        <v>0.1978</v>
      </c>
      <c r="AU23" s="21"/>
      <c r="AV23" s="21"/>
      <c r="AW23" s="22">
        <v>0.24360000000000001</v>
      </c>
      <c r="AX23" s="22"/>
      <c r="AY23" s="22"/>
      <c r="AZ23" s="22"/>
      <c r="BA23" s="22"/>
      <c r="BB23" s="21">
        <f>SUM(AU23:BA23)</f>
        <v>0.24360000000000001</v>
      </c>
      <c r="BD23" s="21"/>
      <c r="BE23" s="21"/>
      <c r="BF23" s="22">
        <v>1</v>
      </c>
      <c r="BG23" s="22"/>
      <c r="BH23" s="22"/>
      <c r="BI23" s="22"/>
      <c r="BJ23" s="22"/>
      <c r="BK23" s="21">
        <f>SUM(BD23:BJ23)</f>
        <v>1</v>
      </c>
      <c r="BM23" s="21"/>
      <c r="BN23" s="21"/>
      <c r="BO23" s="22"/>
      <c r="BP23" s="22"/>
      <c r="BQ23" s="22"/>
      <c r="BR23" s="22"/>
      <c r="BS23" s="22"/>
      <c r="BT23" s="21">
        <f>SUM(BM23:BS23)</f>
        <v>0</v>
      </c>
      <c r="BV23" s="5">
        <f t="shared" si="60"/>
        <v>0</v>
      </c>
      <c r="BW23" s="5">
        <f t="shared" si="59"/>
        <v>0</v>
      </c>
      <c r="BX23" s="101">
        <f>AVERAGE(D23,M23,V23,AE23,AN23,AW23,BF23,BO23)</f>
        <v>0.37392857142857139</v>
      </c>
      <c r="BY23" s="5">
        <f t="shared" si="59"/>
        <v>0</v>
      </c>
      <c r="BZ23" s="5">
        <f t="shared" si="59"/>
        <v>0</v>
      </c>
      <c r="CA23" s="5">
        <f t="shared" si="59"/>
        <v>0</v>
      </c>
      <c r="CB23" s="22"/>
      <c r="CC23" s="21">
        <f>SUM(BV23:CB23)</f>
        <v>0.37392857142857139</v>
      </c>
    </row>
    <row r="24" spans="1:82">
      <c r="A24" s="13" t="s">
        <v>27</v>
      </c>
      <c r="B24" s="5"/>
      <c r="C24" s="5"/>
      <c r="D24" s="5"/>
      <c r="E24" s="5"/>
      <c r="F24" s="5"/>
      <c r="G24" s="5"/>
      <c r="H24" s="5"/>
      <c r="I24" s="5">
        <f>SUM(B24:H24)</f>
        <v>0</v>
      </c>
      <c r="J24" s="23"/>
      <c r="K24" s="5"/>
      <c r="L24" s="5"/>
      <c r="M24" s="5"/>
      <c r="N24" s="5"/>
      <c r="O24" s="5"/>
      <c r="P24" s="5"/>
      <c r="Q24" s="5"/>
      <c r="R24" s="5">
        <f>SUM(K24:Q24)</f>
        <v>0</v>
      </c>
      <c r="T24" s="5">
        <v>0</v>
      </c>
      <c r="U24" s="5"/>
      <c r="V24" s="5"/>
      <c r="W24" s="5"/>
      <c r="X24" s="5"/>
      <c r="Y24" s="5"/>
      <c r="Z24" s="5"/>
      <c r="AA24" s="5">
        <f>SUM(T24:Z24)</f>
        <v>0</v>
      </c>
      <c r="AC24" s="5">
        <v>152</v>
      </c>
      <c r="AD24" s="5"/>
      <c r="AE24" s="5"/>
      <c r="AF24" s="5"/>
      <c r="AG24" s="5"/>
      <c r="AH24" s="5"/>
      <c r="AI24" s="5"/>
      <c r="AJ24" s="5">
        <f>SUM(AC24:AI24)</f>
        <v>152</v>
      </c>
      <c r="AL24" s="5">
        <v>122</v>
      </c>
      <c r="AM24" s="5"/>
      <c r="AN24" s="5"/>
      <c r="AO24" s="5"/>
      <c r="AP24" s="5"/>
      <c r="AQ24" s="5"/>
      <c r="AR24" s="5"/>
      <c r="AS24" s="5">
        <f>SUM(AL24:AR24)</f>
        <v>122</v>
      </c>
      <c r="AU24" s="5">
        <v>39</v>
      </c>
      <c r="AV24" s="5"/>
      <c r="AW24" s="5"/>
      <c r="AX24" s="5"/>
      <c r="AY24" s="5"/>
      <c r="AZ24" s="5"/>
      <c r="BA24" s="5"/>
      <c r="BB24" s="5">
        <f>SUM(AU24:BA24)</f>
        <v>39</v>
      </c>
      <c r="BD24" s="5">
        <v>35</v>
      </c>
      <c r="BE24" s="5"/>
      <c r="BF24" s="5"/>
      <c r="BG24" s="5"/>
      <c r="BH24" s="5"/>
      <c r="BI24" s="5"/>
      <c r="BJ24" s="5"/>
      <c r="BK24" s="5">
        <f>SUM(BD24:BJ24)</f>
        <v>35</v>
      </c>
      <c r="BM24" s="5"/>
      <c r="BN24" s="5"/>
      <c r="BO24" s="5"/>
      <c r="BP24" s="5"/>
      <c r="BQ24" s="5"/>
      <c r="BR24" s="5"/>
      <c r="BS24" s="5"/>
      <c r="BT24" s="5">
        <f>SUM(BM24:BS24)</f>
        <v>0</v>
      </c>
      <c r="BV24" s="5">
        <f t="shared" si="60"/>
        <v>348</v>
      </c>
      <c r="BW24" s="5">
        <f t="shared" si="59"/>
        <v>0</v>
      </c>
      <c r="BX24" s="5">
        <f t="shared" si="59"/>
        <v>0</v>
      </c>
      <c r="BY24" s="5">
        <f t="shared" si="59"/>
        <v>0</v>
      </c>
      <c r="BZ24" s="5">
        <f t="shared" si="59"/>
        <v>0</v>
      </c>
      <c r="CA24" s="5">
        <f t="shared" si="59"/>
        <v>0</v>
      </c>
      <c r="CB24" s="5"/>
      <c r="CC24" s="5">
        <f>SUM(BV24:CB24)</f>
        <v>348</v>
      </c>
    </row>
    <row r="25" spans="1:82">
      <c r="A25" s="13"/>
      <c r="B25" s="5"/>
      <c r="C25" s="5"/>
      <c r="D25" s="5"/>
      <c r="E25" s="5"/>
      <c r="F25" s="5"/>
      <c r="G25" s="5"/>
      <c r="H25" s="5"/>
      <c r="I25" s="5"/>
      <c r="J25" s="7"/>
      <c r="K25" s="5"/>
      <c r="L25" s="5"/>
      <c r="M25" s="5"/>
      <c r="N25" s="5"/>
      <c r="O25" s="5"/>
      <c r="P25" s="5"/>
      <c r="Q25" s="5"/>
      <c r="R25" s="5"/>
      <c r="T25" s="5"/>
      <c r="U25" s="5"/>
      <c r="V25" s="5"/>
      <c r="W25" s="5"/>
      <c r="X25" s="5"/>
      <c r="Y25" s="5"/>
      <c r="Z25" s="5"/>
      <c r="AA25" s="5"/>
      <c r="AC25" s="5"/>
      <c r="AD25" s="5"/>
      <c r="AE25" s="5"/>
      <c r="AF25" s="5"/>
      <c r="AG25" s="5"/>
      <c r="AH25" s="5"/>
      <c r="AI25" s="5"/>
      <c r="AJ25" s="5"/>
      <c r="AL25" s="5"/>
      <c r="AM25" s="5"/>
      <c r="AN25" s="5"/>
      <c r="AO25" s="5"/>
      <c r="AP25" s="5"/>
      <c r="AQ25" s="5"/>
      <c r="AR25" s="5"/>
      <c r="AS25" s="5"/>
      <c r="AU25" s="5"/>
      <c r="AV25" s="5"/>
      <c r="AW25" s="5"/>
      <c r="AX25" s="5"/>
      <c r="AY25" s="5"/>
      <c r="AZ25" s="5"/>
      <c r="BA25" s="5"/>
      <c r="BB25" s="5"/>
      <c r="BD25" s="5"/>
      <c r="BE25" s="5"/>
      <c r="BF25" s="5"/>
      <c r="BG25" s="5"/>
      <c r="BH25" s="5"/>
      <c r="BI25" s="5"/>
      <c r="BJ25" s="5"/>
      <c r="BK25" s="5"/>
      <c r="BM25" s="5"/>
      <c r="BN25" s="5"/>
      <c r="BO25" s="5"/>
      <c r="BP25" s="5"/>
      <c r="BQ25" s="5"/>
      <c r="BR25" s="5"/>
      <c r="BS25" s="5"/>
      <c r="BT25" s="5"/>
      <c r="BV25" s="5"/>
      <c r="BW25" s="5"/>
      <c r="BX25" s="5"/>
      <c r="BY25" s="5"/>
      <c r="BZ25" s="5"/>
      <c r="CA25" s="5"/>
      <c r="CB25" s="5"/>
      <c r="CC25" s="5"/>
    </row>
    <row r="26" spans="1:82" ht="15">
      <c r="A26" s="24" t="s">
        <v>28</v>
      </c>
      <c r="B26" s="18" t="str">
        <f t="shared" ref="B26:I26" si="61">B1</f>
        <v>Operating</v>
      </c>
      <c r="C26" s="18" t="str">
        <f t="shared" si="61"/>
        <v>SPED</v>
      </c>
      <c r="D26" s="18" t="str">
        <f t="shared" si="61"/>
        <v>NSLP</v>
      </c>
      <c r="E26" s="18" t="str">
        <f t="shared" si="61"/>
        <v>Other</v>
      </c>
      <c r="F26" s="18" t="str">
        <f t="shared" si="61"/>
        <v>Title I</v>
      </c>
      <c r="G26" s="18" t="str">
        <f t="shared" si="61"/>
        <v>SGF</v>
      </c>
      <c r="H26" s="18" t="str">
        <f t="shared" si="61"/>
        <v>Title III</v>
      </c>
      <c r="I26" s="18" t="str">
        <f t="shared" si="61"/>
        <v>Horizon</v>
      </c>
      <c r="J26" s="19"/>
      <c r="K26" s="18" t="str">
        <f t="shared" ref="K26:R26" si="62">K1</f>
        <v>Operating</v>
      </c>
      <c r="L26" s="18" t="str">
        <f t="shared" si="62"/>
        <v>SPED</v>
      </c>
      <c r="M26" s="18" t="str">
        <f t="shared" si="62"/>
        <v>NSLP</v>
      </c>
      <c r="N26" s="18" t="str">
        <f t="shared" si="62"/>
        <v>Other</v>
      </c>
      <c r="O26" s="18" t="str">
        <f t="shared" si="62"/>
        <v>Title I</v>
      </c>
      <c r="P26" s="18" t="str">
        <f t="shared" si="62"/>
        <v>SGF</v>
      </c>
      <c r="Q26" s="18" t="str">
        <f t="shared" si="62"/>
        <v>Title III</v>
      </c>
      <c r="R26" s="18" t="str">
        <f t="shared" si="62"/>
        <v>St. Rose</v>
      </c>
      <c r="T26" s="18" t="str">
        <f t="shared" ref="T26:AA26" si="63">T1</f>
        <v>Operating</v>
      </c>
      <c r="U26" s="18" t="str">
        <f t="shared" si="63"/>
        <v>SPED</v>
      </c>
      <c r="V26" s="18" t="str">
        <f t="shared" si="63"/>
        <v>NSLP</v>
      </c>
      <c r="W26" s="18" t="str">
        <f t="shared" si="63"/>
        <v>Other</v>
      </c>
      <c r="X26" s="18" t="str">
        <f t="shared" si="63"/>
        <v>Title I</v>
      </c>
      <c r="Y26" s="18" t="str">
        <f t="shared" si="63"/>
        <v>SGF</v>
      </c>
      <c r="Z26" s="18" t="str">
        <f t="shared" si="63"/>
        <v>Title III</v>
      </c>
      <c r="AA26" s="18" t="str">
        <f t="shared" si="63"/>
        <v>Inspirada</v>
      </c>
      <c r="AC26" s="18" t="str">
        <f t="shared" ref="AC26:AJ26" si="64">AC1</f>
        <v>Operating</v>
      </c>
      <c r="AD26" s="18" t="str">
        <f t="shared" si="64"/>
        <v>SPED</v>
      </c>
      <c r="AE26" s="18" t="str">
        <f t="shared" si="64"/>
        <v>NSLP</v>
      </c>
      <c r="AF26" s="18" t="str">
        <f t="shared" si="64"/>
        <v>Other</v>
      </c>
      <c r="AG26" s="18" t="str">
        <f t="shared" si="64"/>
        <v>Title I</v>
      </c>
      <c r="AH26" s="18" t="str">
        <f t="shared" si="64"/>
        <v>SGF</v>
      </c>
      <c r="AI26" s="18" t="str">
        <f t="shared" si="64"/>
        <v>Title III</v>
      </c>
      <c r="AJ26" s="18" t="str">
        <f t="shared" si="64"/>
        <v>Cadence</v>
      </c>
      <c r="AL26" s="18" t="str">
        <f t="shared" ref="AL26:AS26" si="65">AL1</f>
        <v>Operating</v>
      </c>
      <c r="AM26" s="18" t="str">
        <f t="shared" si="65"/>
        <v>SPED</v>
      </c>
      <c r="AN26" s="18" t="str">
        <f t="shared" si="65"/>
        <v>NSLP</v>
      </c>
      <c r="AO26" s="18" t="str">
        <f t="shared" si="65"/>
        <v>Other</v>
      </c>
      <c r="AP26" s="18" t="str">
        <f t="shared" si="65"/>
        <v>Title I</v>
      </c>
      <c r="AQ26" s="18" t="str">
        <f t="shared" si="65"/>
        <v>SGF</v>
      </c>
      <c r="AR26" s="18" t="str">
        <f t="shared" si="65"/>
        <v>Title III</v>
      </c>
      <c r="AS26" s="18" t="str">
        <f t="shared" si="65"/>
        <v>Sloan</v>
      </c>
      <c r="AU26" s="18" t="str">
        <f t="shared" ref="AU26:BB26" si="66">AU1</f>
        <v>Operating</v>
      </c>
      <c r="AV26" s="18" t="str">
        <f t="shared" si="66"/>
        <v>SPED</v>
      </c>
      <c r="AW26" s="18" t="str">
        <f t="shared" si="66"/>
        <v>NSLP</v>
      </c>
      <c r="AX26" s="18" t="str">
        <f t="shared" si="66"/>
        <v>Other</v>
      </c>
      <c r="AY26" s="18" t="str">
        <f t="shared" si="66"/>
        <v>Title I</v>
      </c>
      <c r="AZ26" s="18" t="str">
        <f t="shared" si="66"/>
        <v>SGF</v>
      </c>
      <c r="BA26" s="18" t="str">
        <f t="shared" si="66"/>
        <v>Title III</v>
      </c>
      <c r="BB26" s="18" t="str">
        <f t="shared" si="66"/>
        <v>Virtual</v>
      </c>
      <c r="BD26" s="18" t="str">
        <f t="shared" ref="BD26:BK26" si="67">BD1</f>
        <v>Operating</v>
      </c>
      <c r="BE26" s="18" t="str">
        <f t="shared" si="67"/>
        <v>SPED</v>
      </c>
      <c r="BF26" s="18" t="str">
        <f t="shared" si="67"/>
        <v>NSLP</v>
      </c>
      <c r="BG26" s="18" t="str">
        <f t="shared" si="67"/>
        <v>Other</v>
      </c>
      <c r="BH26" s="18" t="str">
        <f t="shared" si="67"/>
        <v>Title I</v>
      </c>
      <c r="BI26" s="18" t="str">
        <f t="shared" si="67"/>
        <v>SGF</v>
      </c>
      <c r="BJ26" s="18" t="str">
        <f t="shared" si="67"/>
        <v>Title III</v>
      </c>
      <c r="BK26" s="18" t="str">
        <f t="shared" si="67"/>
        <v>Springs</v>
      </c>
      <c r="BM26" s="18" t="str">
        <f t="shared" ref="BM26:BT26" si="68">BM1</f>
        <v>Operating</v>
      </c>
      <c r="BN26" s="18" t="str">
        <f t="shared" si="68"/>
        <v>SPED</v>
      </c>
      <c r="BO26" s="18" t="str">
        <f t="shared" si="68"/>
        <v>NSLP</v>
      </c>
      <c r="BP26" s="18" t="str">
        <f t="shared" si="68"/>
        <v>Other</v>
      </c>
      <c r="BQ26" s="18" t="str">
        <f t="shared" si="68"/>
        <v>Title I</v>
      </c>
      <c r="BR26" s="18" t="str">
        <f t="shared" si="68"/>
        <v>SGF</v>
      </c>
      <c r="BS26" s="18" t="str">
        <f t="shared" si="68"/>
        <v>Title III</v>
      </c>
      <c r="BT26" s="18" t="str">
        <f t="shared" si="68"/>
        <v>Exec. Office</v>
      </c>
      <c r="BV26" s="18" t="str">
        <f t="shared" ref="BV26:CC26" si="69">BV1</f>
        <v>Operating</v>
      </c>
      <c r="BW26" s="18" t="str">
        <f t="shared" si="69"/>
        <v>SPED</v>
      </c>
      <c r="BX26" s="18" t="str">
        <f t="shared" si="69"/>
        <v>NSLP</v>
      </c>
      <c r="BY26" s="18" t="str">
        <f t="shared" si="69"/>
        <v>Other</v>
      </c>
      <c r="BZ26" s="18" t="str">
        <f t="shared" si="69"/>
        <v>Title I</v>
      </c>
      <c r="CA26" s="18" t="str">
        <f t="shared" si="69"/>
        <v>SGF</v>
      </c>
      <c r="CB26" s="18" t="str">
        <f t="shared" si="69"/>
        <v>Title III</v>
      </c>
      <c r="CC26" s="18" t="str">
        <f t="shared" si="69"/>
        <v>Systemwide</v>
      </c>
    </row>
    <row r="27" spans="1:82">
      <c r="A27" s="25" t="s">
        <v>29</v>
      </c>
      <c r="B27" s="26">
        <v>36</v>
      </c>
      <c r="C27" s="26"/>
      <c r="D27" s="26"/>
      <c r="E27" s="26"/>
      <c r="F27" s="26"/>
      <c r="G27" s="26"/>
      <c r="H27" s="26"/>
      <c r="I27" s="26">
        <f t="shared" ref="I27:I32" si="70">SUM(B27:H27)</f>
        <v>36</v>
      </c>
      <c r="J27" s="12">
        <f>I27/6</f>
        <v>6</v>
      </c>
      <c r="K27" s="26">
        <v>36</v>
      </c>
      <c r="L27" s="26"/>
      <c r="M27" s="26"/>
      <c r="N27" s="26"/>
      <c r="O27" s="26"/>
      <c r="P27" s="26"/>
      <c r="Q27" s="26"/>
      <c r="R27" s="26">
        <f t="shared" ref="R27:R32" si="71">SUM(K27:Q27)</f>
        <v>36</v>
      </c>
      <c r="S27" s="12">
        <f>R27/6</f>
        <v>6</v>
      </c>
      <c r="T27" s="26">
        <v>46</v>
      </c>
      <c r="U27" s="26"/>
      <c r="V27" s="26"/>
      <c r="W27" s="26"/>
      <c r="X27" s="26"/>
      <c r="Y27" s="26"/>
      <c r="Z27" s="26"/>
      <c r="AA27" s="26">
        <f t="shared" ref="AA27:AA32" si="72">SUM(T27:Z27)</f>
        <v>46</v>
      </c>
      <c r="AB27" s="12">
        <f>AA27/6</f>
        <v>7.666666666666667</v>
      </c>
      <c r="AC27" s="26">
        <v>86</v>
      </c>
      <c r="AD27" s="26"/>
      <c r="AE27" s="26"/>
      <c r="AF27" s="26"/>
      <c r="AG27" s="26"/>
      <c r="AH27" s="26"/>
      <c r="AI27" s="26"/>
      <c r="AJ27" s="26">
        <f t="shared" ref="AJ27:AJ32" si="73">SUM(AC27:AI27)</f>
        <v>86</v>
      </c>
      <c r="AK27" s="12">
        <f>AJ27/6</f>
        <v>14.333333333333334</v>
      </c>
      <c r="AL27" s="26">
        <v>82</v>
      </c>
      <c r="AM27" s="26"/>
      <c r="AN27" s="26"/>
      <c r="AO27" s="26"/>
      <c r="AP27" s="26"/>
      <c r="AQ27" s="26"/>
      <c r="AR27" s="26"/>
      <c r="AS27" s="26">
        <f t="shared" ref="AS27:AS32" si="74">SUM(AL27:AR27)</f>
        <v>82</v>
      </c>
      <c r="AT27" s="12">
        <f>AS27/6</f>
        <v>13.666666666666666</v>
      </c>
      <c r="AU27" s="26"/>
      <c r="AV27" s="26"/>
      <c r="AW27" s="26"/>
      <c r="AX27" s="26"/>
      <c r="AY27" s="26"/>
      <c r="AZ27" s="26"/>
      <c r="BA27" s="26"/>
      <c r="BB27" s="26">
        <f t="shared" ref="BB27:BB32" si="75">SUM(AU27:BA27)</f>
        <v>0</v>
      </c>
      <c r="BC27" s="12">
        <f>BB27/6</f>
        <v>0</v>
      </c>
      <c r="BD27" s="26">
        <v>23</v>
      </c>
      <c r="BE27" s="26"/>
      <c r="BF27" s="26"/>
      <c r="BG27" s="26"/>
      <c r="BH27" s="26"/>
      <c r="BI27" s="26"/>
      <c r="BJ27" s="26"/>
      <c r="BK27" s="26">
        <f t="shared" ref="BK27:BK32" si="76">SUM(BD27:BJ27)</f>
        <v>23</v>
      </c>
      <c r="BL27" s="12">
        <f>BK27/6</f>
        <v>3.8333333333333335</v>
      </c>
      <c r="BM27" s="26"/>
      <c r="BN27" s="26"/>
      <c r="BO27" s="26"/>
      <c r="BP27" s="26"/>
      <c r="BQ27" s="26"/>
      <c r="BR27" s="26"/>
      <c r="BS27" s="26"/>
      <c r="BT27" s="26">
        <f t="shared" ref="BT27:BT32" si="77">SUM(BM27:BS27)</f>
        <v>0</v>
      </c>
      <c r="BU27" s="12">
        <f>BT27/6</f>
        <v>0</v>
      </c>
      <c r="BV27" s="26">
        <f>B27+K27+T27+AC27+AL27+AU27+BD27+BM27</f>
        <v>309</v>
      </c>
      <c r="BW27" s="26">
        <f t="shared" ref="BW27:CA35" si="78">C27+L27+U27+AD27+AM27+AV27+BE27+BN27</f>
        <v>0</v>
      </c>
      <c r="BX27" s="26">
        <f t="shared" si="78"/>
        <v>0</v>
      </c>
      <c r="BY27" s="26">
        <f t="shared" si="78"/>
        <v>0</v>
      </c>
      <c r="BZ27" s="26">
        <f t="shared" si="78"/>
        <v>0</v>
      </c>
      <c r="CA27" s="26">
        <f t="shared" si="78"/>
        <v>0</v>
      </c>
      <c r="CB27" s="26"/>
      <c r="CC27" s="26">
        <f t="shared" ref="CC27:CC28" si="79">SUM(BV27:CB27)</f>
        <v>309</v>
      </c>
      <c r="CD27" s="12">
        <f>CC27/6</f>
        <v>51.5</v>
      </c>
    </row>
    <row r="28" spans="1:82">
      <c r="A28" s="25" t="s">
        <v>30</v>
      </c>
      <c r="B28" s="27">
        <v>0</v>
      </c>
      <c r="C28" s="27">
        <v>5</v>
      </c>
      <c r="D28" s="27"/>
      <c r="E28" s="27"/>
      <c r="F28" s="27"/>
      <c r="G28" s="27"/>
      <c r="H28" s="27"/>
      <c r="I28" s="26">
        <f t="shared" si="70"/>
        <v>5</v>
      </c>
      <c r="J28" s="12">
        <f>C20/21</f>
        <v>5.9210734017363862</v>
      </c>
      <c r="K28" s="27">
        <v>0</v>
      </c>
      <c r="L28" s="27">
        <v>4</v>
      </c>
      <c r="M28" s="27"/>
      <c r="N28" s="27"/>
      <c r="O28" s="27"/>
      <c r="P28" s="27"/>
      <c r="Q28" s="27"/>
      <c r="R28" s="26">
        <f t="shared" si="71"/>
        <v>4</v>
      </c>
      <c r="S28" s="12">
        <f>L20/21</f>
        <v>3.510204081632653</v>
      </c>
      <c r="T28" s="27"/>
      <c r="U28" s="27">
        <v>5</v>
      </c>
      <c r="V28" s="27"/>
      <c r="W28" s="27"/>
      <c r="X28" s="27"/>
      <c r="Y28" s="27"/>
      <c r="Z28" s="27"/>
      <c r="AA28" s="26">
        <f t="shared" si="72"/>
        <v>5</v>
      </c>
      <c r="AB28" s="12">
        <f>U20/21</f>
        <v>5.3670219135432875</v>
      </c>
      <c r="AC28" s="27">
        <v>0</v>
      </c>
      <c r="AD28" s="27">
        <v>13</v>
      </c>
      <c r="AE28" s="27"/>
      <c r="AF28" s="27"/>
      <c r="AG28" s="27"/>
      <c r="AH28" s="27"/>
      <c r="AI28" s="27"/>
      <c r="AJ28" s="26">
        <f t="shared" si="73"/>
        <v>13</v>
      </c>
      <c r="AK28" s="12">
        <f>AD20/21</f>
        <v>14.415821418387711</v>
      </c>
      <c r="AL28" s="27">
        <v>0</v>
      </c>
      <c r="AM28" s="27">
        <v>12</v>
      </c>
      <c r="AN28" s="27"/>
      <c r="AO28" s="27"/>
      <c r="AP28" s="27"/>
      <c r="AQ28" s="27"/>
      <c r="AR28" s="27"/>
      <c r="AS28" s="26">
        <f t="shared" si="74"/>
        <v>12</v>
      </c>
      <c r="AT28" s="12">
        <f>AM20/21</f>
        <v>10.727936088570171</v>
      </c>
      <c r="AU28" s="27"/>
      <c r="AV28" s="27">
        <v>1</v>
      </c>
      <c r="AW28" s="27"/>
      <c r="AX28" s="27"/>
      <c r="AY28" s="27"/>
      <c r="AZ28" s="27"/>
      <c r="BA28" s="27"/>
      <c r="BB28" s="26">
        <f t="shared" si="75"/>
        <v>1</v>
      </c>
      <c r="BC28" s="12">
        <f>AV20/21</f>
        <v>0.88888888888888895</v>
      </c>
      <c r="BD28" s="27">
        <v>0</v>
      </c>
      <c r="BE28" s="27">
        <v>2</v>
      </c>
      <c r="BF28" s="27"/>
      <c r="BG28" s="27"/>
      <c r="BH28" s="27"/>
      <c r="BI28" s="27"/>
      <c r="BJ28" s="27"/>
      <c r="BK28" s="26">
        <f t="shared" si="76"/>
        <v>2</v>
      </c>
      <c r="BL28" s="12">
        <f>BE20/21</f>
        <v>1.737737200143215</v>
      </c>
      <c r="BM28" s="27"/>
      <c r="BN28" s="27"/>
      <c r="BO28" s="27"/>
      <c r="BP28" s="27"/>
      <c r="BQ28" s="27"/>
      <c r="BR28" s="27"/>
      <c r="BS28" s="27"/>
      <c r="BT28" s="26">
        <f t="shared" si="77"/>
        <v>0</v>
      </c>
      <c r="BU28" s="12">
        <f>BN20/21</f>
        <v>0</v>
      </c>
      <c r="BV28" s="26">
        <f t="shared" ref="BV28:BV35" si="80">B28+K28+T28+AC28+AL28+AU28+BD28+BM28</f>
        <v>0</v>
      </c>
      <c r="BW28" s="26">
        <f t="shared" si="78"/>
        <v>42</v>
      </c>
      <c r="BX28" s="26">
        <f t="shared" si="78"/>
        <v>0</v>
      </c>
      <c r="BY28" s="26">
        <f t="shared" si="78"/>
        <v>0</v>
      </c>
      <c r="BZ28" s="26">
        <f t="shared" si="78"/>
        <v>0</v>
      </c>
      <c r="CA28" s="26">
        <f t="shared" si="78"/>
        <v>0</v>
      </c>
      <c r="CB28" s="27"/>
      <c r="CC28" s="26">
        <f t="shared" si="79"/>
        <v>42</v>
      </c>
      <c r="CD28" s="12">
        <f>BW20/21</f>
        <v>42.568682992902318</v>
      </c>
    </row>
    <row r="29" spans="1:82">
      <c r="A29" s="25" t="s">
        <v>31</v>
      </c>
      <c r="B29" s="26">
        <v>1</v>
      </c>
      <c r="C29" s="26"/>
      <c r="D29" s="26"/>
      <c r="E29" s="26"/>
      <c r="F29" s="26"/>
      <c r="G29" s="26"/>
      <c r="H29" s="26"/>
      <c r="I29" s="26">
        <f>SUM(B29:H29)</f>
        <v>1</v>
      </c>
      <c r="K29" s="26">
        <v>1</v>
      </c>
      <c r="L29" s="26"/>
      <c r="M29" s="26"/>
      <c r="N29" s="26"/>
      <c r="O29" s="26"/>
      <c r="P29" s="26"/>
      <c r="Q29" s="26"/>
      <c r="R29" s="26">
        <f>SUM(K29:Q29)</f>
        <v>1</v>
      </c>
      <c r="T29" s="26">
        <v>1</v>
      </c>
      <c r="U29" s="26"/>
      <c r="V29" s="26"/>
      <c r="W29" s="26"/>
      <c r="X29" s="26"/>
      <c r="Y29" s="26"/>
      <c r="Z29" s="26"/>
      <c r="AA29" s="26">
        <f>SUM(T29:Z29)</f>
        <v>1</v>
      </c>
      <c r="AC29" s="26">
        <v>2</v>
      </c>
      <c r="AD29" s="26"/>
      <c r="AE29" s="26"/>
      <c r="AF29" s="26"/>
      <c r="AG29" s="26"/>
      <c r="AH29" s="26"/>
      <c r="AI29" s="26"/>
      <c r="AJ29" s="26">
        <f>SUM(AC29:AI29)</f>
        <v>2</v>
      </c>
      <c r="AL29" s="26">
        <v>2</v>
      </c>
      <c r="AM29" s="26"/>
      <c r="AN29" s="26"/>
      <c r="AO29" s="26"/>
      <c r="AP29" s="26"/>
      <c r="AQ29" s="26"/>
      <c r="AR29" s="26"/>
      <c r="AS29" s="26">
        <f>SUM(AL29:AR29)</f>
        <v>2</v>
      </c>
      <c r="AU29" s="26"/>
      <c r="AV29" s="26"/>
      <c r="AW29" s="26"/>
      <c r="AX29" s="26"/>
      <c r="AY29" s="26"/>
      <c r="AZ29" s="26"/>
      <c r="BA29" s="26"/>
      <c r="BB29" s="26">
        <f>SUM(AU29:BA29)</f>
        <v>0</v>
      </c>
      <c r="BD29" s="26">
        <v>0</v>
      </c>
      <c r="BE29" s="26"/>
      <c r="BF29" s="26"/>
      <c r="BG29" s="26"/>
      <c r="BH29" s="26"/>
      <c r="BI29" s="26"/>
      <c r="BJ29" s="26"/>
      <c r="BK29" s="26">
        <f>SUM(BD29:BJ29)</f>
        <v>0</v>
      </c>
      <c r="BM29" s="26"/>
      <c r="BN29" s="26"/>
      <c r="BO29" s="26"/>
      <c r="BP29" s="26"/>
      <c r="BQ29" s="26"/>
      <c r="BR29" s="26"/>
      <c r="BS29" s="26"/>
      <c r="BT29" s="26">
        <f>SUM(BM29:BS29)</f>
        <v>0</v>
      </c>
      <c r="BV29" s="26">
        <f t="shared" si="80"/>
        <v>7</v>
      </c>
      <c r="BW29" s="26">
        <f t="shared" si="78"/>
        <v>0</v>
      </c>
      <c r="BX29" s="26">
        <f t="shared" si="78"/>
        <v>0</v>
      </c>
      <c r="BY29" s="26">
        <f t="shared" si="78"/>
        <v>0</v>
      </c>
      <c r="BZ29" s="26">
        <f t="shared" si="78"/>
        <v>0</v>
      </c>
      <c r="CA29" s="26">
        <f t="shared" si="78"/>
        <v>0</v>
      </c>
      <c r="CB29" s="26"/>
      <c r="CC29" s="26">
        <f>SUM(BV29:CB29)</f>
        <v>7</v>
      </c>
    </row>
    <row r="30" spans="1:82">
      <c r="A30" s="25" t="s">
        <v>32</v>
      </c>
      <c r="B30" s="26">
        <v>1</v>
      </c>
      <c r="C30" s="26"/>
      <c r="D30" s="26"/>
      <c r="E30" s="26"/>
      <c r="F30" s="26"/>
      <c r="G30" s="26"/>
      <c r="H30" s="26"/>
      <c r="I30" s="26">
        <f t="shared" si="70"/>
        <v>1</v>
      </c>
      <c r="K30" s="26">
        <v>1</v>
      </c>
      <c r="L30" s="26"/>
      <c r="M30" s="26"/>
      <c r="N30" s="26"/>
      <c r="O30" s="26"/>
      <c r="P30" s="26"/>
      <c r="Q30" s="26"/>
      <c r="R30" s="26">
        <f t="shared" si="71"/>
        <v>1</v>
      </c>
      <c r="T30" s="26">
        <v>1</v>
      </c>
      <c r="U30" s="26"/>
      <c r="V30" s="26"/>
      <c r="W30" s="26"/>
      <c r="X30" s="26"/>
      <c r="Y30" s="26"/>
      <c r="Z30" s="26"/>
      <c r="AA30" s="26">
        <f t="shared" si="72"/>
        <v>1</v>
      </c>
      <c r="AC30" s="26">
        <v>2</v>
      </c>
      <c r="AD30" s="26"/>
      <c r="AE30" s="26"/>
      <c r="AF30" s="26"/>
      <c r="AG30" s="26"/>
      <c r="AH30" s="26"/>
      <c r="AI30" s="26"/>
      <c r="AJ30" s="26">
        <f t="shared" si="73"/>
        <v>2</v>
      </c>
      <c r="AL30" s="26">
        <v>3</v>
      </c>
      <c r="AM30" s="26"/>
      <c r="AN30" s="26"/>
      <c r="AO30" s="26"/>
      <c r="AP30" s="26"/>
      <c r="AQ30" s="26"/>
      <c r="AR30" s="26"/>
      <c r="AS30" s="26">
        <f t="shared" si="74"/>
        <v>3</v>
      </c>
      <c r="AU30" s="26"/>
      <c r="AV30" s="26"/>
      <c r="AW30" s="26"/>
      <c r="AX30" s="26"/>
      <c r="AY30" s="26"/>
      <c r="AZ30" s="26"/>
      <c r="BA30" s="26"/>
      <c r="BB30" s="26">
        <f t="shared" si="75"/>
        <v>0</v>
      </c>
      <c r="BD30" s="26">
        <v>0</v>
      </c>
      <c r="BE30" s="26"/>
      <c r="BF30" s="26"/>
      <c r="BG30" s="26"/>
      <c r="BH30" s="26"/>
      <c r="BI30" s="26"/>
      <c r="BJ30" s="26"/>
      <c r="BK30" s="26">
        <f t="shared" si="76"/>
        <v>0</v>
      </c>
      <c r="BM30" s="26">
        <v>1</v>
      </c>
      <c r="BN30" s="26"/>
      <c r="BO30" s="26"/>
      <c r="BP30" s="26"/>
      <c r="BQ30" s="26"/>
      <c r="BR30" s="26"/>
      <c r="BS30" s="26"/>
      <c r="BT30" s="26">
        <f t="shared" si="77"/>
        <v>1</v>
      </c>
      <c r="BV30" s="26">
        <f t="shared" si="80"/>
        <v>9</v>
      </c>
      <c r="BW30" s="26">
        <f t="shared" si="78"/>
        <v>0</v>
      </c>
      <c r="BX30" s="26">
        <f t="shared" si="78"/>
        <v>0</v>
      </c>
      <c r="BY30" s="26">
        <f t="shared" si="78"/>
        <v>0</v>
      </c>
      <c r="BZ30" s="26">
        <f t="shared" si="78"/>
        <v>0</v>
      </c>
      <c r="CA30" s="26">
        <f t="shared" si="78"/>
        <v>0</v>
      </c>
      <c r="CB30" s="26"/>
      <c r="CC30" s="26">
        <f t="shared" ref="CC30:CC32" si="81">SUM(BV30:CB30)</f>
        <v>9</v>
      </c>
    </row>
    <row r="31" spans="1:82">
      <c r="A31" s="25" t="s">
        <v>33</v>
      </c>
      <c r="B31" s="26">
        <v>1</v>
      </c>
      <c r="C31" s="26"/>
      <c r="D31" s="26"/>
      <c r="E31" s="26"/>
      <c r="F31" s="26"/>
      <c r="G31" s="26"/>
      <c r="H31" s="26"/>
      <c r="I31" s="26">
        <f t="shared" si="70"/>
        <v>1</v>
      </c>
      <c r="K31" s="26">
        <v>1</v>
      </c>
      <c r="L31" s="26"/>
      <c r="M31" s="26"/>
      <c r="N31" s="26"/>
      <c r="O31" s="26"/>
      <c r="P31" s="26"/>
      <c r="Q31" s="26"/>
      <c r="R31" s="26">
        <f t="shared" si="71"/>
        <v>1</v>
      </c>
      <c r="T31" s="26">
        <v>1</v>
      </c>
      <c r="U31" s="26"/>
      <c r="V31" s="26"/>
      <c r="W31" s="26"/>
      <c r="X31" s="26"/>
      <c r="Y31" s="26"/>
      <c r="Z31" s="26"/>
      <c r="AA31" s="26">
        <f t="shared" si="72"/>
        <v>1</v>
      </c>
      <c r="AC31" s="26">
        <v>3</v>
      </c>
      <c r="AD31" s="26"/>
      <c r="AE31" s="26"/>
      <c r="AF31" s="26"/>
      <c r="AG31" s="26"/>
      <c r="AH31" s="26"/>
      <c r="AI31" s="26"/>
      <c r="AJ31" s="26">
        <f t="shared" si="73"/>
        <v>3</v>
      </c>
      <c r="AL31" s="26">
        <v>2</v>
      </c>
      <c r="AM31" s="26"/>
      <c r="AN31" s="26"/>
      <c r="AO31" s="26"/>
      <c r="AP31" s="26"/>
      <c r="AQ31" s="26"/>
      <c r="AR31" s="26"/>
      <c r="AS31" s="26">
        <f t="shared" si="74"/>
        <v>2</v>
      </c>
      <c r="AU31" s="26"/>
      <c r="AV31" s="26"/>
      <c r="AW31" s="26"/>
      <c r="AX31" s="26"/>
      <c r="AY31" s="26"/>
      <c r="AZ31" s="26"/>
      <c r="BA31" s="26"/>
      <c r="BB31" s="26">
        <f t="shared" si="75"/>
        <v>0</v>
      </c>
      <c r="BD31" s="26">
        <v>1</v>
      </c>
      <c r="BE31" s="26"/>
      <c r="BF31" s="26"/>
      <c r="BG31" s="26"/>
      <c r="BH31" s="26"/>
      <c r="BI31" s="26"/>
      <c r="BJ31" s="26"/>
      <c r="BK31" s="26">
        <f t="shared" si="76"/>
        <v>1</v>
      </c>
      <c r="BM31" s="26"/>
      <c r="BN31" s="26"/>
      <c r="BO31" s="26"/>
      <c r="BP31" s="26"/>
      <c r="BQ31" s="26"/>
      <c r="BR31" s="26"/>
      <c r="BS31" s="26"/>
      <c r="BT31" s="26">
        <f t="shared" si="77"/>
        <v>0</v>
      </c>
      <c r="BV31" s="26">
        <f t="shared" si="80"/>
        <v>9</v>
      </c>
      <c r="BW31" s="26">
        <f t="shared" si="78"/>
        <v>0</v>
      </c>
      <c r="BX31" s="26">
        <f t="shared" si="78"/>
        <v>0</v>
      </c>
      <c r="BY31" s="26">
        <f t="shared" si="78"/>
        <v>0</v>
      </c>
      <c r="BZ31" s="26">
        <f t="shared" si="78"/>
        <v>0</v>
      </c>
      <c r="CA31" s="26">
        <f t="shared" si="78"/>
        <v>0</v>
      </c>
      <c r="CB31" s="26"/>
      <c r="CC31" s="26">
        <f t="shared" si="81"/>
        <v>9</v>
      </c>
    </row>
    <row r="32" spans="1:82">
      <c r="A32" s="28" t="s">
        <v>34</v>
      </c>
      <c r="B32" s="26">
        <v>1</v>
      </c>
      <c r="C32" s="26"/>
      <c r="D32" s="26"/>
      <c r="E32" s="26"/>
      <c r="F32" s="26"/>
      <c r="G32" s="26"/>
      <c r="H32" s="26"/>
      <c r="I32" s="26">
        <f t="shared" si="70"/>
        <v>1</v>
      </c>
      <c r="K32" s="26">
        <v>1</v>
      </c>
      <c r="L32" s="26"/>
      <c r="M32" s="26"/>
      <c r="N32" s="26"/>
      <c r="O32" s="26"/>
      <c r="P32" s="26"/>
      <c r="Q32" s="26"/>
      <c r="R32" s="26">
        <f t="shared" si="71"/>
        <v>1</v>
      </c>
      <c r="T32" s="26">
        <v>1</v>
      </c>
      <c r="U32" s="26"/>
      <c r="V32" s="26"/>
      <c r="W32" s="26"/>
      <c r="X32" s="26"/>
      <c r="Y32" s="26"/>
      <c r="Z32" s="26"/>
      <c r="AA32" s="26">
        <f t="shared" si="72"/>
        <v>1</v>
      </c>
      <c r="AC32" s="26">
        <v>3</v>
      </c>
      <c r="AD32" s="26"/>
      <c r="AE32" s="26"/>
      <c r="AF32" s="26"/>
      <c r="AG32" s="26"/>
      <c r="AH32" s="26"/>
      <c r="AI32" s="26"/>
      <c r="AJ32" s="26">
        <f t="shared" si="73"/>
        <v>3</v>
      </c>
      <c r="AL32" s="26">
        <v>2</v>
      </c>
      <c r="AM32" s="26"/>
      <c r="AN32" s="26"/>
      <c r="AO32" s="26"/>
      <c r="AP32" s="26"/>
      <c r="AQ32" s="26"/>
      <c r="AR32" s="26"/>
      <c r="AS32" s="26">
        <f t="shared" si="74"/>
        <v>2</v>
      </c>
      <c r="AU32" s="26"/>
      <c r="AV32" s="26"/>
      <c r="AW32" s="26"/>
      <c r="AX32" s="26"/>
      <c r="AY32" s="26"/>
      <c r="AZ32" s="26"/>
      <c r="BA32" s="26"/>
      <c r="BB32" s="26">
        <f t="shared" si="75"/>
        <v>0</v>
      </c>
      <c r="BD32" s="26">
        <v>1</v>
      </c>
      <c r="BE32" s="26"/>
      <c r="BF32" s="26"/>
      <c r="BG32" s="26"/>
      <c r="BH32" s="26"/>
      <c r="BI32" s="26"/>
      <c r="BJ32" s="26"/>
      <c r="BK32" s="26">
        <f t="shared" si="76"/>
        <v>1</v>
      </c>
      <c r="BM32" s="26"/>
      <c r="BN32" s="26"/>
      <c r="BO32" s="26"/>
      <c r="BP32" s="26"/>
      <c r="BQ32" s="26"/>
      <c r="BR32" s="26"/>
      <c r="BS32" s="26"/>
      <c r="BT32" s="26">
        <f t="shared" si="77"/>
        <v>0</v>
      </c>
      <c r="BV32" s="26">
        <f t="shared" si="80"/>
        <v>9</v>
      </c>
      <c r="BW32" s="26">
        <f t="shared" si="78"/>
        <v>0</v>
      </c>
      <c r="BX32" s="26">
        <f t="shared" si="78"/>
        <v>0</v>
      </c>
      <c r="BY32" s="26">
        <f t="shared" si="78"/>
        <v>0</v>
      </c>
      <c r="BZ32" s="26">
        <f t="shared" si="78"/>
        <v>0</v>
      </c>
      <c r="CA32" s="26">
        <f t="shared" si="78"/>
        <v>0</v>
      </c>
      <c r="CB32" s="26"/>
      <c r="CC32" s="26">
        <f t="shared" si="81"/>
        <v>9</v>
      </c>
    </row>
    <row r="33" spans="1:81">
      <c r="A33" s="28" t="s">
        <v>35</v>
      </c>
      <c r="B33" s="26">
        <v>1</v>
      </c>
      <c r="C33" s="26"/>
      <c r="D33" s="26"/>
      <c r="E33" s="26"/>
      <c r="F33" s="26"/>
      <c r="G33" s="26"/>
      <c r="H33" s="26"/>
      <c r="I33" s="26">
        <f>SUM(B33:H33)</f>
        <v>1</v>
      </c>
      <c r="K33" s="26">
        <v>1</v>
      </c>
      <c r="L33" s="26"/>
      <c r="M33" s="26"/>
      <c r="N33" s="26"/>
      <c r="O33" s="26"/>
      <c r="P33" s="26"/>
      <c r="Q33" s="26"/>
      <c r="R33" s="26">
        <f>SUM(K33:Q33)</f>
        <v>1</v>
      </c>
      <c r="T33" s="26">
        <v>1</v>
      </c>
      <c r="U33" s="26"/>
      <c r="V33" s="26"/>
      <c r="W33" s="26"/>
      <c r="X33" s="26"/>
      <c r="Y33" s="26"/>
      <c r="Z33" s="26"/>
      <c r="AA33" s="26">
        <f>SUM(T33:Z33)</f>
        <v>1</v>
      </c>
      <c r="AC33" s="26">
        <v>2</v>
      </c>
      <c r="AD33" s="26"/>
      <c r="AE33" s="26"/>
      <c r="AF33" s="26"/>
      <c r="AG33" s="26"/>
      <c r="AH33" s="26"/>
      <c r="AI33" s="26"/>
      <c r="AJ33" s="26">
        <f>SUM(AC33:AI33)</f>
        <v>2</v>
      </c>
      <c r="AL33" s="26">
        <v>2</v>
      </c>
      <c r="AM33" s="26"/>
      <c r="AN33" s="26"/>
      <c r="AO33" s="26"/>
      <c r="AP33" s="26"/>
      <c r="AQ33" s="26"/>
      <c r="AR33" s="26"/>
      <c r="AS33" s="26">
        <f>SUM(AL33:AR33)</f>
        <v>2</v>
      </c>
      <c r="AU33" s="26"/>
      <c r="AV33" s="26"/>
      <c r="AW33" s="26"/>
      <c r="AX33" s="26"/>
      <c r="AY33" s="26"/>
      <c r="AZ33" s="26"/>
      <c r="BA33" s="26"/>
      <c r="BB33" s="26">
        <f>SUM(AU33:BA33)</f>
        <v>0</v>
      </c>
      <c r="BD33" s="26">
        <v>0</v>
      </c>
      <c r="BE33" s="26"/>
      <c r="BF33" s="26"/>
      <c r="BG33" s="26"/>
      <c r="BH33" s="26"/>
      <c r="BI33" s="26"/>
      <c r="BJ33" s="26"/>
      <c r="BK33" s="26">
        <f>SUM(BD33:BJ33)</f>
        <v>0</v>
      </c>
      <c r="BM33" s="26"/>
      <c r="BN33" s="26"/>
      <c r="BO33" s="26"/>
      <c r="BP33" s="26"/>
      <c r="BQ33" s="26"/>
      <c r="BR33" s="26"/>
      <c r="BS33" s="26"/>
      <c r="BT33" s="26">
        <f>SUM(BM33:BS33)</f>
        <v>0</v>
      </c>
      <c r="BV33" s="26">
        <f t="shared" si="80"/>
        <v>7</v>
      </c>
      <c r="BW33" s="26">
        <f t="shared" si="78"/>
        <v>0</v>
      </c>
      <c r="BX33" s="26">
        <f t="shared" si="78"/>
        <v>0</v>
      </c>
      <c r="BY33" s="26">
        <f t="shared" si="78"/>
        <v>0</v>
      </c>
      <c r="BZ33" s="26">
        <f t="shared" si="78"/>
        <v>0</v>
      </c>
      <c r="CA33" s="26">
        <f t="shared" si="78"/>
        <v>0</v>
      </c>
      <c r="CB33" s="26"/>
      <c r="CC33" s="26">
        <f>SUM(BV33:CB33)</f>
        <v>7</v>
      </c>
    </row>
    <row r="34" spans="1:81">
      <c r="A34" s="28" t="s">
        <v>36</v>
      </c>
      <c r="B34" s="26">
        <v>1</v>
      </c>
      <c r="C34" s="26"/>
      <c r="D34" s="26"/>
      <c r="E34" s="26"/>
      <c r="F34" s="26"/>
      <c r="G34" s="26"/>
      <c r="H34" s="26"/>
      <c r="I34" s="26">
        <f>SUM(B34:H34)</f>
        <v>1</v>
      </c>
      <c r="K34" s="26">
        <v>2</v>
      </c>
      <c r="L34" s="26"/>
      <c r="M34" s="26"/>
      <c r="N34" s="26"/>
      <c r="O34" s="26"/>
      <c r="P34" s="26"/>
      <c r="Q34" s="26"/>
      <c r="R34" s="26">
        <f>SUM(K34:Q34)</f>
        <v>2</v>
      </c>
      <c r="T34" s="26">
        <v>3</v>
      </c>
      <c r="U34" s="26"/>
      <c r="V34" s="26"/>
      <c r="W34" s="26"/>
      <c r="X34" s="26"/>
      <c r="Y34" s="26"/>
      <c r="Z34" s="26"/>
      <c r="AA34" s="26">
        <f>SUM(T34:Z34)</f>
        <v>3</v>
      </c>
      <c r="AC34" s="26">
        <v>3</v>
      </c>
      <c r="AD34" s="26"/>
      <c r="AE34" s="26"/>
      <c r="AF34" s="26"/>
      <c r="AG34" s="26"/>
      <c r="AH34" s="26"/>
      <c r="AI34" s="26"/>
      <c r="AJ34" s="26">
        <f>SUM(AC34:AI34)</f>
        <v>3</v>
      </c>
      <c r="AL34" s="26">
        <v>3</v>
      </c>
      <c r="AM34" s="26"/>
      <c r="AN34" s="26"/>
      <c r="AO34" s="26"/>
      <c r="AP34" s="26"/>
      <c r="AQ34" s="26"/>
      <c r="AR34" s="26"/>
      <c r="AS34" s="26">
        <f>SUM(AL34:AR34)</f>
        <v>3</v>
      </c>
      <c r="AU34" s="26"/>
      <c r="AV34" s="26"/>
      <c r="AW34" s="26"/>
      <c r="AX34" s="26"/>
      <c r="AY34" s="26"/>
      <c r="AZ34" s="26"/>
      <c r="BA34" s="26"/>
      <c r="BB34" s="26">
        <f>SUM(AU34:BA34)</f>
        <v>0</v>
      </c>
      <c r="BD34" s="26">
        <v>1</v>
      </c>
      <c r="BE34" s="26"/>
      <c r="BF34" s="26"/>
      <c r="BG34" s="26"/>
      <c r="BH34" s="26"/>
      <c r="BI34" s="26"/>
      <c r="BJ34" s="26"/>
      <c r="BK34" s="26">
        <f>SUM(BD34:BJ34)</f>
        <v>1</v>
      </c>
      <c r="BM34" s="26"/>
      <c r="BN34" s="26"/>
      <c r="BO34" s="26"/>
      <c r="BP34" s="26"/>
      <c r="BQ34" s="26"/>
      <c r="BR34" s="26"/>
      <c r="BS34" s="26"/>
      <c r="BT34" s="26">
        <f>SUM(BM34:BS34)</f>
        <v>0</v>
      </c>
      <c r="BV34" s="26">
        <f t="shared" si="80"/>
        <v>13</v>
      </c>
      <c r="BW34" s="26">
        <f t="shared" si="78"/>
        <v>0</v>
      </c>
      <c r="BX34" s="26">
        <f t="shared" si="78"/>
        <v>0</v>
      </c>
      <c r="BY34" s="26">
        <f t="shared" si="78"/>
        <v>0</v>
      </c>
      <c r="BZ34" s="26">
        <f t="shared" si="78"/>
        <v>0</v>
      </c>
      <c r="CA34" s="26">
        <f t="shared" si="78"/>
        <v>0</v>
      </c>
      <c r="CB34" s="26"/>
      <c r="CC34" s="26">
        <f>SUM(BV34:CB34)</f>
        <v>13</v>
      </c>
    </row>
    <row r="35" spans="1:81">
      <c r="A35" s="29" t="s">
        <v>37</v>
      </c>
      <c r="B35" s="26">
        <v>0.5</v>
      </c>
      <c r="C35" s="26"/>
      <c r="D35" s="26"/>
      <c r="E35" s="26"/>
      <c r="F35" s="26"/>
      <c r="G35" s="26"/>
      <c r="H35" s="26"/>
      <c r="I35" s="26">
        <f>SUM(B35:H35)</f>
        <v>0.5</v>
      </c>
      <c r="K35" s="26">
        <v>1</v>
      </c>
      <c r="L35" s="26"/>
      <c r="M35" s="26"/>
      <c r="N35" s="26"/>
      <c r="O35" s="26"/>
      <c r="P35" s="26"/>
      <c r="Q35" s="26"/>
      <c r="R35" s="26">
        <f>SUM(K35:Q35)</f>
        <v>1</v>
      </c>
      <c r="T35" s="26">
        <v>2</v>
      </c>
      <c r="U35" s="26"/>
      <c r="V35" s="26"/>
      <c r="W35" s="26"/>
      <c r="X35" s="26"/>
      <c r="Y35" s="26"/>
      <c r="Z35" s="26"/>
      <c r="AA35" s="26">
        <f>SUM(T35:Z35)</f>
        <v>2</v>
      </c>
      <c r="AC35" s="26">
        <v>1</v>
      </c>
      <c r="AD35" s="26"/>
      <c r="AE35" s="26"/>
      <c r="AF35" s="26"/>
      <c r="AG35" s="26"/>
      <c r="AH35" s="26"/>
      <c r="AI35" s="26"/>
      <c r="AJ35" s="26">
        <f>SUM(AC35:AI35)</f>
        <v>1</v>
      </c>
      <c r="AL35" s="26">
        <v>2</v>
      </c>
      <c r="AM35" s="26"/>
      <c r="AN35" s="26"/>
      <c r="AO35" s="26"/>
      <c r="AP35" s="26"/>
      <c r="AQ35" s="26"/>
      <c r="AR35" s="26"/>
      <c r="AS35" s="26">
        <f>SUM(AL35:AR35)</f>
        <v>2</v>
      </c>
      <c r="AU35" s="26"/>
      <c r="AV35" s="26"/>
      <c r="AW35" s="26"/>
      <c r="AX35" s="26"/>
      <c r="AY35" s="26"/>
      <c r="AZ35" s="26"/>
      <c r="BA35" s="26"/>
      <c r="BB35" s="26">
        <f>SUM(AU35:BA35)</f>
        <v>0</v>
      </c>
      <c r="BD35" s="26">
        <v>0</v>
      </c>
      <c r="BE35" s="26"/>
      <c r="BF35" s="26"/>
      <c r="BG35" s="26"/>
      <c r="BH35" s="26"/>
      <c r="BI35" s="26"/>
      <c r="BJ35" s="26"/>
      <c r="BK35" s="26">
        <f>SUM(BD35:BJ35)</f>
        <v>0</v>
      </c>
      <c r="BM35" s="26">
        <v>0</v>
      </c>
      <c r="BN35" s="26"/>
      <c r="BO35" s="26"/>
      <c r="BP35" s="26"/>
      <c r="BQ35" s="26"/>
      <c r="BR35" s="26"/>
      <c r="BS35" s="26"/>
      <c r="BT35" s="26">
        <f>SUM(BM35:BS35)</f>
        <v>0</v>
      </c>
      <c r="BV35" s="26">
        <f t="shared" si="80"/>
        <v>6.5</v>
      </c>
      <c r="BW35" s="26">
        <f t="shared" si="78"/>
        <v>0</v>
      </c>
      <c r="BX35" s="26">
        <f t="shared" si="78"/>
        <v>0</v>
      </c>
      <c r="BY35" s="26">
        <f t="shared" si="78"/>
        <v>0</v>
      </c>
      <c r="BZ35" s="26">
        <f t="shared" si="78"/>
        <v>0</v>
      </c>
      <c r="CA35" s="26">
        <f t="shared" si="78"/>
        <v>0</v>
      </c>
      <c r="CB35" s="26"/>
      <c r="CC35" s="26">
        <f>SUM(BV35:CB35)</f>
        <v>6.5</v>
      </c>
    </row>
    <row r="36" spans="1:81" ht="15">
      <c r="A36" s="24" t="s">
        <v>38</v>
      </c>
      <c r="B36" s="30">
        <f>SUM(B27:B35)</f>
        <v>42.5</v>
      </c>
      <c r="C36" s="30">
        <f t="shared" ref="C36:H36" si="82">SUM(C27:C35)</f>
        <v>5</v>
      </c>
      <c r="D36" s="30">
        <f t="shared" si="82"/>
        <v>0</v>
      </c>
      <c r="E36" s="30"/>
      <c r="F36" s="30">
        <f t="shared" si="82"/>
        <v>0</v>
      </c>
      <c r="G36" s="30">
        <f t="shared" si="82"/>
        <v>0</v>
      </c>
      <c r="H36" s="30">
        <f t="shared" si="82"/>
        <v>0</v>
      </c>
      <c r="I36" s="30">
        <f>SUM(I27:I35)</f>
        <v>47.5</v>
      </c>
      <c r="J36" s="7"/>
      <c r="K36" s="30">
        <f>SUM(K27:K35)</f>
        <v>44</v>
      </c>
      <c r="L36" s="30">
        <f t="shared" ref="L36:Q36" si="83">SUM(L27:L35)</f>
        <v>4</v>
      </c>
      <c r="M36" s="30">
        <f t="shared" si="83"/>
        <v>0</v>
      </c>
      <c r="N36" s="30"/>
      <c r="O36" s="30">
        <f t="shared" si="83"/>
        <v>0</v>
      </c>
      <c r="P36" s="30">
        <f t="shared" si="83"/>
        <v>0</v>
      </c>
      <c r="Q36" s="30">
        <f t="shared" si="83"/>
        <v>0</v>
      </c>
      <c r="R36" s="30">
        <f>SUM(R27:R35)</f>
        <v>48</v>
      </c>
      <c r="T36" s="30">
        <f>SUM(T27:T35)</f>
        <v>56</v>
      </c>
      <c r="U36" s="30">
        <f t="shared" ref="U36:Z36" si="84">SUM(U27:U35)</f>
        <v>5</v>
      </c>
      <c r="V36" s="30">
        <f t="shared" si="84"/>
        <v>0</v>
      </c>
      <c r="W36" s="30"/>
      <c r="X36" s="30">
        <f t="shared" si="84"/>
        <v>0</v>
      </c>
      <c r="Y36" s="30">
        <f t="shared" si="84"/>
        <v>0</v>
      </c>
      <c r="Z36" s="30">
        <f t="shared" si="84"/>
        <v>0</v>
      </c>
      <c r="AA36" s="30">
        <f>SUM(AA27:AA35)</f>
        <v>61</v>
      </c>
      <c r="AC36" s="30">
        <f>SUM(AC27:AC35)</f>
        <v>102</v>
      </c>
      <c r="AD36" s="30">
        <f t="shared" ref="AD36:AI36" si="85">SUM(AD27:AD35)</f>
        <v>13</v>
      </c>
      <c r="AE36" s="30">
        <f t="shared" si="85"/>
        <v>0</v>
      </c>
      <c r="AF36" s="30"/>
      <c r="AG36" s="30">
        <f t="shared" si="85"/>
        <v>0</v>
      </c>
      <c r="AH36" s="30">
        <f t="shared" si="85"/>
        <v>0</v>
      </c>
      <c r="AI36" s="30">
        <f t="shared" si="85"/>
        <v>0</v>
      </c>
      <c r="AJ36" s="30">
        <f>SUM(AJ27:AJ35)</f>
        <v>115</v>
      </c>
      <c r="AL36" s="30">
        <f>SUM(AL27:AL35)</f>
        <v>98</v>
      </c>
      <c r="AM36" s="30">
        <f t="shared" ref="AM36:AR36" si="86">SUM(AM27:AM35)</f>
        <v>12</v>
      </c>
      <c r="AN36" s="30">
        <f t="shared" si="86"/>
        <v>0</v>
      </c>
      <c r="AO36" s="30"/>
      <c r="AP36" s="30">
        <f t="shared" si="86"/>
        <v>0</v>
      </c>
      <c r="AQ36" s="30">
        <f t="shared" si="86"/>
        <v>0</v>
      </c>
      <c r="AR36" s="30">
        <f t="shared" si="86"/>
        <v>0</v>
      </c>
      <c r="AS36" s="30">
        <f>SUM(AS27:AS35)</f>
        <v>110</v>
      </c>
      <c r="AU36" s="30">
        <f>SUM(AU27:AU35)</f>
        <v>0</v>
      </c>
      <c r="AV36" s="30">
        <f t="shared" ref="AV36:BA36" si="87">SUM(AV27:AV35)</f>
        <v>1</v>
      </c>
      <c r="AW36" s="30">
        <f t="shared" si="87"/>
        <v>0</v>
      </c>
      <c r="AX36" s="30"/>
      <c r="AY36" s="30">
        <f t="shared" si="87"/>
        <v>0</v>
      </c>
      <c r="AZ36" s="30">
        <f t="shared" si="87"/>
        <v>0</v>
      </c>
      <c r="BA36" s="30">
        <f t="shared" si="87"/>
        <v>0</v>
      </c>
      <c r="BB36" s="30">
        <f>SUM(BB27:BB35)</f>
        <v>1</v>
      </c>
      <c r="BD36" s="30">
        <f>SUM(BD27:BD35)</f>
        <v>26</v>
      </c>
      <c r="BE36" s="30">
        <f t="shared" ref="BE36:BJ36" si="88">SUM(BE27:BE35)</f>
        <v>2</v>
      </c>
      <c r="BF36" s="30">
        <f t="shared" si="88"/>
        <v>0</v>
      </c>
      <c r="BG36" s="30"/>
      <c r="BH36" s="30">
        <f t="shared" si="88"/>
        <v>0</v>
      </c>
      <c r="BI36" s="30">
        <f t="shared" si="88"/>
        <v>0</v>
      </c>
      <c r="BJ36" s="30">
        <f t="shared" si="88"/>
        <v>0</v>
      </c>
      <c r="BK36" s="30">
        <f>SUM(BK27:BK35)</f>
        <v>28</v>
      </c>
      <c r="BM36" s="30">
        <f>SUM(BM27:BM35)</f>
        <v>1</v>
      </c>
      <c r="BN36" s="30">
        <f t="shared" ref="BN36:BS36" si="89">SUM(BN27:BN35)</f>
        <v>0</v>
      </c>
      <c r="BO36" s="30">
        <f t="shared" si="89"/>
        <v>0</v>
      </c>
      <c r="BP36" s="30"/>
      <c r="BQ36" s="30">
        <f t="shared" si="89"/>
        <v>0</v>
      </c>
      <c r="BR36" s="30">
        <f t="shared" si="89"/>
        <v>0</v>
      </c>
      <c r="BS36" s="30">
        <f t="shared" si="89"/>
        <v>0</v>
      </c>
      <c r="BT36" s="30">
        <f>SUM(BT27:BT35)</f>
        <v>1</v>
      </c>
      <c r="BV36" s="30">
        <f>SUM(BV27:BV35)</f>
        <v>369.5</v>
      </c>
      <c r="BW36" s="30">
        <f t="shared" ref="BW36:BX36" si="90">SUM(BW27:BW35)</f>
        <v>42</v>
      </c>
      <c r="BX36" s="30">
        <f t="shared" si="90"/>
        <v>0</v>
      </c>
      <c r="BY36" s="30"/>
      <c r="BZ36" s="30">
        <f t="shared" ref="BZ36:CB36" si="91">SUM(BZ27:BZ35)</f>
        <v>0</v>
      </c>
      <c r="CA36" s="30">
        <f t="shared" si="91"/>
        <v>0</v>
      </c>
      <c r="CB36" s="30">
        <f t="shared" si="91"/>
        <v>0</v>
      </c>
      <c r="CC36" s="30">
        <f>SUM(CC27:CC35)</f>
        <v>411.5</v>
      </c>
    </row>
    <row r="37" spans="1:81" ht="15">
      <c r="A37" s="31"/>
      <c r="B37" s="5"/>
      <c r="C37" s="5"/>
      <c r="D37" s="5"/>
      <c r="E37" s="5"/>
      <c r="F37" s="5"/>
      <c r="G37" s="5"/>
      <c r="H37" s="5"/>
      <c r="I37" s="5"/>
      <c r="J37" s="7"/>
      <c r="K37" s="5"/>
      <c r="L37" s="5"/>
      <c r="M37" s="5"/>
      <c r="N37" s="5"/>
      <c r="O37" s="5"/>
      <c r="P37" s="5"/>
      <c r="Q37" s="5"/>
      <c r="R37" s="5"/>
      <c r="T37" s="5"/>
      <c r="U37" s="5"/>
      <c r="V37" s="5"/>
      <c r="W37" s="5"/>
      <c r="X37" s="5"/>
      <c r="Y37" s="5"/>
      <c r="Z37" s="5"/>
      <c r="AA37" s="5"/>
      <c r="AC37" s="5"/>
      <c r="AD37" s="5"/>
      <c r="AE37" s="5"/>
      <c r="AF37" s="5"/>
      <c r="AG37" s="5"/>
      <c r="AH37" s="5"/>
      <c r="AI37" s="5"/>
      <c r="AJ37" s="5"/>
      <c r="AL37" s="5"/>
      <c r="AM37" s="5"/>
      <c r="AN37" s="5"/>
      <c r="AO37" s="5"/>
      <c r="AP37" s="5"/>
      <c r="AQ37" s="5"/>
      <c r="AR37" s="5"/>
      <c r="AS37" s="5"/>
      <c r="AU37" s="5"/>
      <c r="AV37" s="5"/>
      <c r="AW37" s="5"/>
      <c r="AX37" s="5"/>
      <c r="AY37" s="5"/>
      <c r="AZ37" s="5"/>
      <c r="BA37" s="5"/>
      <c r="BB37" s="5"/>
      <c r="BD37" s="5"/>
      <c r="BE37" s="5"/>
      <c r="BF37" s="5"/>
      <c r="BG37" s="5"/>
      <c r="BH37" s="5"/>
      <c r="BI37" s="5"/>
      <c r="BJ37" s="5"/>
      <c r="BK37" s="5"/>
      <c r="BM37" s="5"/>
      <c r="BN37" s="5"/>
      <c r="BO37" s="5"/>
      <c r="BP37" s="5"/>
      <c r="BQ37" s="5"/>
      <c r="BR37" s="5"/>
      <c r="BS37" s="5"/>
      <c r="BT37" s="5"/>
      <c r="BV37" s="5"/>
      <c r="BW37" s="5"/>
      <c r="BX37" s="5"/>
      <c r="BY37" s="5"/>
      <c r="BZ37" s="5"/>
      <c r="CA37" s="5"/>
      <c r="CB37" s="5"/>
      <c r="CC37" s="5"/>
    </row>
    <row r="38" spans="1:81" ht="15">
      <c r="A38" s="24" t="s">
        <v>39</v>
      </c>
      <c r="B38" s="18" t="str">
        <f t="shared" ref="B38:I38" si="92">B1</f>
        <v>Operating</v>
      </c>
      <c r="C38" s="18" t="str">
        <f t="shared" si="92"/>
        <v>SPED</v>
      </c>
      <c r="D38" s="18" t="str">
        <f t="shared" si="92"/>
        <v>NSLP</v>
      </c>
      <c r="E38" s="18" t="str">
        <f t="shared" si="92"/>
        <v>Other</v>
      </c>
      <c r="F38" s="18" t="str">
        <f t="shared" si="92"/>
        <v>Title I</v>
      </c>
      <c r="G38" s="18" t="str">
        <f t="shared" si="92"/>
        <v>SGF</v>
      </c>
      <c r="H38" s="18" t="str">
        <f t="shared" si="92"/>
        <v>Title III</v>
      </c>
      <c r="I38" s="18" t="str">
        <f t="shared" si="92"/>
        <v>Horizon</v>
      </c>
      <c r="J38" s="19"/>
      <c r="K38" s="18" t="str">
        <f t="shared" ref="K38:R38" si="93">K1</f>
        <v>Operating</v>
      </c>
      <c r="L38" s="18" t="str">
        <f t="shared" si="93"/>
        <v>SPED</v>
      </c>
      <c r="M38" s="18" t="str">
        <f t="shared" si="93"/>
        <v>NSLP</v>
      </c>
      <c r="N38" s="18" t="str">
        <f t="shared" si="93"/>
        <v>Other</v>
      </c>
      <c r="O38" s="18" t="str">
        <f t="shared" si="93"/>
        <v>Title I</v>
      </c>
      <c r="P38" s="18" t="str">
        <f t="shared" si="93"/>
        <v>SGF</v>
      </c>
      <c r="Q38" s="18" t="str">
        <f t="shared" si="93"/>
        <v>Title III</v>
      </c>
      <c r="R38" s="18" t="str">
        <f t="shared" si="93"/>
        <v>St. Rose</v>
      </c>
      <c r="T38" s="18" t="str">
        <f t="shared" ref="T38:AA38" si="94">T1</f>
        <v>Operating</v>
      </c>
      <c r="U38" s="18" t="str">
        <f t="shared" si="94"/>
        <v>SPED</v>
      </c>
      <c r="V38" s="18" t="str">
        <f t="shared" si="94"/>
        <v>NSLP</v>
      </c>
      <c r="W38" s="18" t="str">
        <f t="shared" si="94"/>
        <v>Other</v>
      </c>
      <c r="X38" s="18" t="str">
        <f t="shared" si="94"/>
        <v>Title I</v>
      </c>
      <c r="Y38" s="18" t="str">
        <f t="shared" si="94"/>
        <v>SGF</v>
      </c>
      <c r="Z38" s="18" t="str">
        <f t="shared" si="94"/>
        <v>Title III</v>
      </c>
      <c r="AA38" s="18" t="str">
        <f t="shared" si="94"/>
        <v>Inspirada</v>
      </c>
      <c r="AC38" s="18" t="str">
        <f t="shared" ref="AC38:AJ38" si="95">AC1</f>
        <v>Operating</v>
      </c>
      <c r="AD38" s="18" t="str">
        <f t="shared" si="95"/>
        <v>SPED</v>
      </c>
      <c r="AE38" s="18" t="str">
        <f t="shared" si="95"/>
        <v>NSLP</v>
      </c>
      <c r="AF38" s="18" t="str">
        <f t="shared" si="95"/>
        <v>Other</v>
      </c>
      <c r="AG38" s="18" t="str">
        <f t="shared" si="95"/>
        <v>Title I</v>
      </c>
      <c r="AH38" s="18" t="str">
        <f t="shared" si="95"/>
        <v>SGF</v>
      </c>
      <c r="AI38" s="18" t="str">
        <f t="shared" si="95"/>
        <v>Title III</v>
      </c>
      <c r="AJ38" s="18" t="str">
        <f t="shared" si="95"/>
        <v>Cadence</v>
      </c>
      <c r="AL38" s="18" t="str">
        <f t="shared" ref="AL38:AS38" si="96">AL1</f>
        <v>Operating</v>
      </c>
      <c r="AM38" s="18" t="str">
        <f t="shared" si="96"/>
        <v>SPED</v>
      </c>
      <c r="AN38" s="18" t="str">
        <f t="shared" si="96"/>
        <v>NSLP</v>
      </c>
      <c r="AO38" s="18" t="str">
        <f t="shared" si="96"/>
        <v>Other</v>
      </c>
      <c r="AP38" s="18" t="str">
        <f t="shared" si="96"/>
        <v>Title I</v>
      </c>
      <c r="AQ38" s="18" t="str">
        <f t="shared" si="96"/>
        <v>SGF</v>
      </c>
      <c r="AR38" s="18" t="str">
        <f t="shared" si="96"/>
        <v>Title III</v>
      </c>
      <c r="AS38" s="18" t="str">
        <f t="shared" si="96"/>
        <v>Sloan</v>
      </c>
      <c r="AU38" s="18" t="str">
        <f t="shared" ref="AU38:BB38" si="97">AU1</f>
        <v>Operating</v>
      </c>
      <c r="AV38" s="18" t="str">
        <f t="shared" si="97"/>
        <v>SPED</v>
      </c>
      <c r="AW38" s="18" t="str">
        <f t="shared" si="97"/>
        <v>NSLP</v>
      </c>
      <c r="AX38" s="18" t="str">
        <f t="shared" si="97"/>
        <v>Other</v>
      </c>
      <c r="AY38" s="18" t="str">
        <f t="shared" si="97"/>
        <v>Title I</v>
      </c>
      <c r="AZ38" s="18" t="str">
        <f t="shared" si="97"/>
        <v>SGF</v>
      </c>
      <c r="BA38" s="18" t="str">
        <f t="shared" si="97"/>
        <v>Title III</v>
      </c>
      <c r="BB38" s="18" t="str">
        <f t="shared" si="97"/>
        <v>Virtual</v>
      </c>
      <c r="BD38" s="18" t="str">
        <f t="shared" ref="BD38:BK38" si="98">BD1</f>
        <v>Operating</v>
      </c>
      <c r="BE38" s="18" t="str">
        <f t="shared" si="98"/>
        <v>SPED</v>
      </c>
      <c r="BF38" s="18" t="str">
        <f t="shared" si="98"/>
        <v>NSLP</v>
      </c>
      <c r="BG38" s="18" t="str">
        <f t="shared" si="98"/>
        <v>Other</v>
      </c>
      <c r="BH38" s="18" t="str">
        <f t="shared" si="98"/>
        <v>Title I</v>
      </c>
      <c r="BI38" s="18" t="str">
        <f t="shared" si="98"/>
        <v>SGF</v>
      </c>
      <c r="BJ38" s="18" t="str">
        <f t="shared" si="98"/>
        <v>Title III</v>
      </c>
      <c r="BK38" s="18" t="str">
        <f t="shared" si="98"/>
        <v>Springs</v>
      </c>
      <c r="BM38" s="18" t="str">
        <f t="shared" ref="BM38:BT38" si="99">BM1</f>
        <v>Operating</v>
      </c>
      <c r="BN38" s="18" t="str">
        <f t="shared" si="99"/>
        <v>SPED</v>
      </c>
      <c r="BO38" s="18" t="str">
        <f t="shared" si="99"/>
        <v>NSLP</v>
      </c>
      <c r="BP38" s="18" t="str">
        <f t="shared" si="99"/>
        <v>Other</v>
      </c>
      <c r="BQ38" s="18" t="str">
        <f t="shared" si="99"/>
        <v>Title I</v>
      </c>
      <c r="BR38" s="18" t="str">
        <f t="shared" si="99"/>
        <v>SGF</v>
      </c>
      <c r="BS38" s="18" t="str">
        <f t="shared" si="99"/>
        <v>Title III</v>
      </c>
      <c r="BT38" s="18" t="str">
        <f t="shared" si="99"/>
        <v>Exec. Office</v>
      </c>
      <c r="BV38" s="18" t="str">
        <f t="shared" ref="BV38:CC38" si="100">BV1</f>
        <v>Operating</v>
      </c>
      <c r="BW38" s="18" t="str">
        <f t="shared" si="100"/>
        <v>SPED</v>
      </c>
      <c r="BX38" s="18" t="str">
        <f t="shared" si="100"/>
        <v>NSLP</v>
      </c>
      <c r="BY38" s="18" t="str">
        <f t="shared" si="100"/>
        <v>Other</v>
      </c>
      <c r="BZ38" s="18" t="str">
        <f t="shared" si="100"/>
        <v>Title I</v>
      </c>
      <c r="CA38" s="18" t="str">
        <f t="shared" si="100"/>
        <v>SGF</v>
      </c>
      <c r="CB38" s="18" t="str">
        <f t="shared" si="100"/>
        <v>Title III</v>
      </c>
      <c r="CC38" s="18" t="str">
        <f t="shared" si="100"/>
        <v>Systemwide</v>
      </c>
    </row>
    <row r="39" spans="1:81">
      <c r="A39" s="25" t="s">
        <v>40</v>
      </c>
      <c r="B39" s="27">
        <v>1</v>
      </c>
      <c r="C39" s="27"/>
      <c r="D39" s="27"/>
      <c r="E39" s="27"/>
      <c r="F39" s="27"/>
      <c r="G39" s="27"/>
      <c r="H39" s="27"/>
      <c r="I39" s="26">
        <f t="shared" ref="I39:I60" si="101">SUM(B39:H39)</f>
        <v>1</v>
      </c>
      <c r="K39" s="27">
        <v>1</v>
      </c>
      <c r="L39" s="27"/>
      <c r="M39" s="27"/>
      <c r="N39" s="27"/>
      <c r="O39" s="27"/>
      <c r="P39" s="27"/>
      <c r="Q39" s="27"/>
      <c r="R39" s="26">
        <f t="shared" ref="R39:R60" si="102">SUM(K39:Q39)</f>
        <v>1</v>
      </c>
      <c r="T39" s="27">
        <v>1</v>
      </c>
      <c r="U39" s="27"/>
      <c r="V39" s="27"/>
      <c r="W39" s="27"/>
      <c r="X39" s="27"/>
      <c r="Y39" s="27"/>
      <c r="Z39" s="27"/>
      <c r="AA39" s="26">
        <f t="shared" ref="AA39:AA60" si="103">SUM(T39:Z39)</f>
        <v>1</v>
      </c>
      <c r="AC39" s="27">
        <v>1</v>
      </c>
      <c r="AD39" s="27"/>
      <c r="AE39" s="27"/>
      <c r="AF39" s="27"/>
      <c r="AG39" s="27"/>
      <c r="AH39" s="27"/>
      <c r="AI39" s="27"/>
      <c r="AJ39" s="26">
        <f t="shared" ref="AJ39:AJ60" si="104">SUM(AC39:AI39)</f>
        <v>1</v>
      </c>
      <c r="AL39" s="27">
        <v>1</v>
      </c>
      <c r="AM39" s="27"/>
      <c r="AN39" s="27"/>
      <c r="AO39" s="27"/>
      <c r="AP39" s="27"/>
      <c r="AQ39" s="27"/>
      <c r="AR39" s="27"/>
      <c r="AS39" s="26">
        <f t="shared" ref="AS39:AS60" si="105">SUM(AL39:AR39)</f>
        <v>1</v>
      </c>
      <c r="AU39" s="27"/>
      <c r="AV39" s="27"/>
      <c r="AW39" s="27"/>
      <c r="AX39" s="27"/>
      <c r="AY39" s="27"/>
      <c r="AZ39" s="27"/>
      <c r="BA39" s="27"/>
      <c r="BB39" s="26">
        <f t="shared" ref="BB39:BB60" si="106">SUM(AU39:BA39)</f>
        <v>0</v>
      </c>
      <c r="BD39" s="27">
        <v>1</v>
      </c>
      <c r="BE39" s="27"/>
      <c r="BF39" s="27"/>
      <c r="BG39" s="27"/>
      <c r="BH39" s="27"/>
      <c r="BI39" s="27"/>
      <c r="BJ39" s="27"/>
      <c r="BK39" s="26">
        <f t="shared" ref="BK39:BK60" si="107">SUM(BD39:BJ39)</f>
        <v>1</v>
      </c>
      <c r="BM39" s="27">
        <v>0</v>
      </c>
      <c r="BN39" s="27"/>
      <c r="BO39" s="27"/>
      <c r="BP39" s="27"/>
      <c r="BQ39" s="27"/>
      <c r="BR39" s="27"/>
      <c r="BS39" s="27"/>
      <c r="BT39" s="26">
        <f t="shared" ref="BT39:BT60" si="108">SUM(BM39:BS39)</f>
        <v>0</v>
      </c>
      <c r="BV39" s="26">
        <f>B39+K39+T39+AC39+AL39+AU39+BD39+BM39</f>
        <v>6</v>
      </c>
      <c r="BW39" s="26">
        <f t="shared" ref="BW39:CA54" si="109">C39+L39+U39+AD39+AM39+AV39+BE39+BN39</f>
        <v>0</v>
      </c>
      <c r="BX39" s="26">
        <f t="shared" si="109"/>
        <v>0</v>
      </c>
      <c r="BY39" s="26">
        <f t="shared" si="109"/>
        <v>0</v>
      </c>
      <c r="BZ39" s="26">
        <f t="shared" si="109"/>
        <v>0</v>
      </c>
      <c r="CA39" s="26">
        <f t="shared" si="109"/>
        <v>0</v>
      </c>
      <c r="CB39" s="27"/>
      <c r="CC39" s="26">
        <f t="shared" ref="CC39" si="110">SUM(BV39:CB39)</f>
        <v>6</v>
      </c>
    </row>
    <row r="40" spans="1:81">
      <c r="A40" s="25" t="s">
        <v>41</v>
      </c>
      <c r="B40" s="27">
        <v>3</v>
      </c>
      <c r="C40" s="27"/>
      <c r="D40" s="27"/>
      <c r="E40" s="27"/>
      <c r="F40" s="27"/>
      <c r="G40" s="27"/>
      <c r="H40" s="27"/>
      <c r="I40" s="26">
        <f>SUM(B40:H40)</f>
        <v>3</v>
      </c>
      <c r="K40" s="27">
        <v>3</v>
      </c>
      <c r="L40" s="27"/>
      <c r="M40" s="27"/>
      <c r="N40" s="27"/>
      <c r="O40" s="27"/>
      <c r="P40" s="27"/>
      <c r="Q40" s="27"/>
      <c r="R40" s="26">
        <f>SUM(K40:Q40)</f>
        <v>3</v>
      </c>
      <c r="T40" s="27">
        <v>3</v>
      </c>
      <c r="U40" s="27"/>
      <c r="V40" s="27"/>
      <c r="W40" s="27"/>
      <c r="X40" s="27"/>
      <c r="Y40" s="27"/>
      <c r="Z40" s="27"/>
      <c r="AA40" s="26">
        <f>SUM(T40:Z40)</f>
        <v>3</v>
      </c>
      <c r="AC40" s="27">
        <v>5</v>
      </c>
      <c r="AD40" s="27"/>
      <c r="AE40" s="27"/>
      <c r="AF40" s="27"/>
      <c r="AG40" s="27"/>
      <c r="AH40" s="27"/>
      <c r="AI40" s="27"/>
      <c r="AJ40" s="26">
        <f>SUM(AC40:AI40)</f>
        <v>5</v>
      </c>
      <c r="AL40" s="27">
        <v>4</v>
      </c>
      <c r="AM40" s="27"/>
      <c r="AN40" s="27"/>
      <c r="AO40" s="27"/>
      <c r="AP40" s="27"/>
      <c r="AQ40" s="27"/>
      <c r="AR40" s="27"/>
      <c r="AS40" s="26">
        <f>SUM(AL40:AR40)</f>
        <v>4</v>
      </c>
      <c r="AU40" s="27"/>
      <c r="AV40" s="27"/>
      <c r="AW40" s="27"/>
      <c r="AX40" s="27"/>
      <c r="AY40" s="27"/>
      <c r="AZ40" s="27"/>
      <c r="BA40" s="27"/>
      <c r="BB40" s="26">
        <f>SUM(AU40:BA40)</f>
        <v>0</v>
      </c>
      <c r="BD40" s="27">
        <v>1</v>
      </c>
      <c r="BE40" s="27"/>
      <c r="BF40" s="27"/>
      <c r="BG40" s="27"/>
      <c r="BH40" s="27"/>
      <c r="BI40" s="27"/>
      <c r="BJ40" s="27"/>
      <c r="BK40" s="26">
        <f>SUM(BD40:BJ40)</f>
        <v>1</v>
      </c>
      <c r="BM40" s="27">
        <v>0</v>
      </c>
      <c r="BN40" s="27"/>
      <c r="BO40" s="27"/>
      <c r="BP40" s="27"/>
      <c r="BQ40" s="27"/>
      <c r="BR40" s="27"/>
      <c r="BS40" s="27"/>
      <c r="BT40" s="26">
        <f>SUM(BM40:BS40)</f>
        <v>0</v>
      </c>
      <c r="BV40" s="26">
        <f t="shared" ref="BV40:CA60" si="111">B40+K40+T40+AC40+AL40+AU40+BD40+BM40</f>
        <v>19</v>
      </c>
      <c r="BW40" s="26">
        <f t="shared" si="109"/>
        <v>0</v>
      </c>
      <c r="BX40" s="26">
        <f t="shared" si="109"/>
        <v>0</v>
      </c>
      <c r="BY40" s="26">
        <f t="shared" si="109"/>
        <v>0</v>
      </c>
      <c r="BZ40" s="26">
        <f t="shared" si="109"/>
        <v>0</v>
      </c>
      <c r="CA40" s="26">
        <f t="shared" si="109"/>
        <v>0</v>
      </c>
      <c r="CB40" s="27"/>
      <c r="CC40" s="26">
        <f>SUM(BV40:CB40)</f>
        <v>19</v>
      </c>
    </row>
    <row r="41" spans="1:81">
      <c r="A41" s="29" t="s">
        <v>42</v>
      </c>
      <c r="B41" s="27">
        <v>0</v>
      </c>
      <c r="C41" s="27"/>
      <c r="D41" s="27"/>
      <c r="E41" s="27"/>
      <c r="F41" s="27"/>
      <c r="G41" s="27"/>
      <c r="H41" s="27"/>
      <c r="I41" s="26">
        <f>SUM(B41:H41)</f>
        <v>0</v>
      </c>
      <c r="K41" s="27">
        <v>0</v>
      </c>
      <c r="L41" s="27"/>
      <c r="M41" s="27"/>
      <c r="N41" s="27"/>
      <c r="O41" s="27"/>
      <c r="P41" s="27"/>
      <c r="Q41" s="27"/>
      <c r="R41" s="26">
        <f>SUM(K41:Q41)</f>
        <v>0</v>
      </c>
      <c r="T41" s="27"/>
      <c r="U41" s="27"/>
      <c r="V41" s="27"/>
      <c r="W41" s="27"/>
      <c r="X41" s="27"/>
      <c r="Y41" s="27"/>
      <c r="Z41" s="27"/>
      <c r="AA41" s="26">
        <f>SUM(T41:Z41)</f>
        <v>0</v>
      </c>
      <c r="AC41" s="27">
        <v>0</v>
      </c>
      <c r="AD41" s="27"/>
      <c r="AE41" s="27"/>
      <c r="AF41" s="27"/>
      <c r="AG41" s="27"/>
      <c r="AH41" s="27"/>
      <c r="AI41" s="27"/>
      <c r="AJ41" s="26">
        <f>SUM(AC41:AI41)</f>
        <v>0</v>
      </c>
      <c r="AL41" s="27">
        <v>0</v>
      </c>
      <c r="AM41" s="27"/>
      <c r="AN41" s="27"/>
      <c r="AO41" s="27"/>
      <c r="AP41" s="27"/>
      <c r="AQ41" s="27"/>
      <c r="AR41" s="27"/>
      <c r="AS41" s="26">
        <f>SUM(AL41:AR41)</f>
        <v>0</v>
      </c>
      <c r="AU41" s="27"/>
      <c r="AV41" s="27"/>
      <c r="AW41" s="27"/>
      <c r="AX41" s="27"/>
      <c r="AY41" s="27"/>
      <c r="AZ41" s="27"/>
      <c r="BA41" s="27"/>
      <c r="BB41" s="26">
        <f>SUM(AU41:BA41)</f>
        <v>0</v>
      </c>
      <c r="BD41" s="27">
        <v>1</v>
      </c>
      <c r="BE41" s="27"/>
      <c r="BF41" s="27"/>
      <c r="BG41" s="27"/>
      <c r="BH41" s="27"/>
      <c r="BI41" s="27"/>
      <c r="BJ41" s="27"/>
      <c r="BK41" s="26">
        <f>SUM(BD41:BJ41)</f>
        <v>1</v>
      </c>
      <c r="BM41" s="27">
        <v>0</v>
      </c>
      <c r="BN41" s="27"/>
      <c r="BO41" s="27"/>
      <c r="BP41" s="27"/>
      <c r="BQ41" s="27"/>
      <c r="BR41" s="27"/>
      <c r="BS41" s="27"/>
      <c r="BT41" s="26">
        <f>SUM(BM41:BS41)</f>
        <v>0</v>
      </c>
      <c r="BV41" s="26">
        <f t="shared" si="111"/>
        <v>1</v>
      </c>
      <c r="BW41" s="26">
        <f t="shared" si="109"/>
        <v>0</v>
      </c>
      <c r="BX41" s="26">
        <f t="shared" si="109"/>
        <v>0</v>
      </c>
      <c r="BY41" s="26">
        <f t="shared" si="109"/>
        <v>0</v>
      </c>
      <c r="BZ41" s="26">
        <f t="shared" si="109"/>
        <v>0</v>
      </c>
      <c r="CA41" s="26">
        <f t="shared" si="109"/>
        <v>0</v>
      </c>
      <c r="CB41" s="27"/>
      <c r="CC41" s="26">
        <f>SUM(BV41:CB41)</f>
        <v>1</v>
      </c>
    </row>
    <row r="42" spans="1:81">
      <c r="A42" s="32" t="s">
        <v>43</v>
      </c>
      <c r="B42" s="27">
        <v>0</v>
      </c>
      <c r="C42" s="27"/>
      <c r="D42" s="27"/>
      <c r="E42" s="27"/>
      <c r="F42" s="27"/>
      <c r="G42" s="27"/>
      <c r="H42" s="27"/>
      <c r="I42" s="26">
        <f>SUM(B42:H42)</f>
        <v>0</v>
      </c>
      <c r="K42" s="27">
        <v>1</v>
      </c>
      <c r="L42" s="27"/>
      <c r="M42" s="27"/>
      <c r="N42" s="27"/>
      <c r="O42" s="27"/>
      <c r="P42" s="27"/>
      <c r="Q42" s="27"/>
      <c r="R42" s="26">
        <f>SUM(K42:Q42)</f>
        <v>1</v>
      </c>
      <c r="T42" s="27"/>
      <c r="U42" s="27"/>
      <c r="V42" s="27"/>
      <c r="W42" s="27"/>
      <c r="X42" s="27"/>
      <c r="Y42" s="27"/>
      <c r="Z42" s="27"/>
      <c r="AA42" s="26">
        <f>SUM(T42:Z42)</f>
        <v>0</v>
      </c>
      <c r="AC42" s="27">
        <v>3</v>
      </c>
      <c r="AD42" s="27"/>
      <c r="AE42" s="27"/>
      <c r="AF42" s="27"/>
      <c r="AG42" s="27"/>
      <c r="AH42" s="27"/>
      <c r="AI42" s="27"/>
      <c r="AJ42" s="26">
        <f>SUM(AC42:AI42)</f>
        <v>3</v>
      </c>
      <c r="AL42" s="27">
        <v>3</v>
      </c>
      <c r="AM42" s="27"/>
      <c r="AN42" s="27"/>
      <c r="AO42" s="27"/>
      <c r="AP42" s="27"/>
      <c r="AQ42" s="27"/>
      <c r="AR42" s="27"/>
      <c r="AS42" s="26">
        <f>SUM(AL42:AR42)</f>
        <v>3</v>
      </c>
      <c r="AU42" s="27"/>
      <c r="AV42" s="27"/>
      <c r="AW42" s="27"/>
      <c r="AX42" s="27"/>
      <c r="AY42" s="27"/>
      <c r="AZ42" s="27"/>
      <c r="BA42" s="27"/>
      <c r="BB42" s="26">
        <f>SUM(AU42:BA42)</f>
        <v>0</v>
      </c>
      <c r="BD42" s="27">
        <v>0</v>
      </c>
      <c r="BE42" s="27"/>
      <c r="BF42" s="27"/>
      <c r="BG42" s="27"/>
      <c r="BH42" s="27"/>
      <c r="BI42" s="27"/>
      <c r="BJ42" s="27"/>
      <c r="BK42" s="26">
        <f>SUM(BD42:BJ42)</f>
        <v>0</v>
      </c>
      <c r="BM42" s="27">
        <v>0</v>
      </c>
      <c r="BN42" s="27"/>
      <c r="BO42" s="27"/>
      <c r="BP42" s="27"/>
      <c r="BQ42" s="27"/>
      <c r="BR42" s="27"/>
      <c r="BS42" s="27"/>
      <c r="BT42" s="26">
        <f>SUM(BM42:BS42)</f>
        <v>0</v>
      </c>
      <c r="BV42" s="26">
        <f t="shared" si="111"/>
        <v>7</v>
      </c>
      <c r="BW42" s="26">
        <f t="shared" si="109"/>
        <v>0</v>
      </c>
      <c r="BX42" s="26">
        <f t="shared" si="109"/>
        <v>0</v>
      </c>
      <c r="BY42" s="26">
        <f t="shared" si="109"/>
        <v>0</v>
      </c>
      <c r="BZ42" s="26">
        <f t="shared" si="109"/>
        <v>0</v>
      </c>
      <c r="CA42" s="26">
        <f t="shared" si="109"/>
        <v>0</v>
      </c>
      <c r="CB42" s="27"/>
      <c r="CC42" s="26">
        <f>SUM(BV42:CB42)</f>
        <v>7</v>
      </c>
    </row>
    <row r="43" spans="1:81">
      <c r="A43" s="32" t="s">
        <v>44</v>
      </c>
      <c r="B43" s="27">
        <v>1</v>
      </c>
      <c r="C43" s="27"/>
      <c r="D43" s="27"/>
      <c r="E43" s="27"/>
      <c r="F43" s="27"/>
      <c r="G43" s="27"/>
      <c r="H43" s="27"/>
      <c r="I43" s="26">
        <f>SUM(B43:H43)</f>
        <v>1</v>
      </c>
      <c r="K43" s="27">
        <v>1</v>
      </c>
      <c r="L43" s="27"/>
      <c r="M43" s="27"/>
      <c r="N43" s="27"/>
      <c r="O43" s="27"/>
      <c r="P43" s="27"/>
      <c r="Q43" s="27"/>
      <c r="R43" s="26">
        <f>SUM(K43:Q43)</f>
        <v>1</v>
      </c>
      <c r="T43" s="27">
        <v>1</v>
      </c>
      <c r="U43" s="27"/>
      <c r="V43" s="27"/>
      <c r="W43" s="27"/>
      <c r="X43" s="27"/>
      <c r="Y43" s="27"/>
      <c r="Z43" s="27"/>
      <c r="AA43" s="26">
        <f>SUM(T43:Z43)</f>
        <v>1</v>
      </c>
      <c r="AC43" s="27">
        <v>2</v>
      </c>
      <c r="AD43" s="27"/>
      <c r="AE43" s="27"/>
      <c r="AF43" s="27"/>
      <c r="AG43" s="27"/>
      <c r="AH43" s="27"/>
      <c r="AI43" s="27"/>
      <c r="AJ43" s="26">
        <f>SUM(AC43:AI43)</f>
        <v>2</v>
      </c>
      <c r="AL43" s="27">
        <v>2</v>
      </c>
      <c r="AM43" s="27"/>
      <c r="AN43" s="27"/>
      <c r="AO43" s="27"/>
      <c r="AP43" s="27"/>
      <c r="AQ43" s="27"/>
      <c r="AR43" s="27"/>
      <c r="AS43" s="26">
        <f>SUM(AL43:AR43)</f>
        <v>2</v>
      </c>
      <c r="AU43" s="27">
        <v>1</v>
      </c>
      <c r="AV43" s="27"/>
      <c r="AW43" s="27"/>
      <c r="AX43" s="27"/>
      <c r="AY43" s="27"/>
      <c r="AZ43" s="27"/>
      <c r="BA43" s="27"/>
      <c r="BB43" s="26">
        <f>SUM(AU43:BA43)</f>
        <v>1</v>
      </c>
      <c r="BD43" s="27">
        <v>0</v>
      </c>
      <c r="BE43" s="27"/>
      <c r="BF43" s="27"/>
      <c r="BG43" s="27"/>
      <c r="BH43" s="27"/>
      <c r="BI43" s="27"/>
      <c r="BJ43" s="27"/>
      <c r="BK43" s="26">
        <f>SUM(BD43:BJ43)</f>
        <v>0</v>
      </c>
      <c r="BM43" s="27">
        <v>1</v>
      </c>
      <c r="BN43" s="27"/>
      <c r="BO43" s="27"/>
      <c r="BP43" s="27"/>
      <c r="BQ43" s="27"/>
      <c r="BR43" s="27"/>
      <c r="BS43" s="27"/>
      <c r="BT43" s="26">
        <f>SUM(BM43:BS43)</f>
        <v>1</v>
      </c>
      <c r="BV43" s="26">
        <f t="shared" si="111"/>
        <v>9</v>
      </c>
      <c r="BW43" s="26">
        <f t="shared" si="109"/>
        <v>0</v>
      </c>
      <c r="BX43" s="26">
        <f t="shared" si="109"/>
        <v>0</v>
      </c>
      <c r="BY43" s="26">
        <f t="shared" si="109"/>
        <v>0</v>
      </c>
      <c r="BZ43" s="26">
        <f t="shared" si="109"/>
        <v>0</v>
      </c>
      <c r="CA43" s="26">
        <f t="shared" si="109"/>
        <v>0</v>
      </c>
      <c r="CB43" s="27"/>
      <c r="CC43" s="26">
        <f>SUM(BV43:CB43)</f>
        <v>9</v>
      </c>
    </row>
    <row r="44" spans="1:81">
      <c r="A44" s="32" t="s">
        <v>45</v>
      </c>
      <c r="B44" s="27">
        <v>0</v>
      </c>
      <c r="C44" s="27"/>
      <c r="D44" s="27"/>
      <c r="E44" s="27"/>
      <c r="F44" s="27"/>
      <c r="G44" s="27"/>
      <c r="H44" s="27"/>
      <c r="I44" s="26">
        <f>SUM(B44:H44)</f>
        <v>0</v>
      </c>
      <c r="K44" s="27">
        <v>0</v>
      </c>
      <c r="L44" s="27"/>
      <c r="M44" s="27"/>
      <c r="N44" s="27"/>
      <c r="O44" s="27"/>
      <c r="P44" s="27"/>
      <c r="Q44" s="27"/>
      <c r="R44" s="26">
        <f>SUM(K44:Q44)</f>
        <v>0</v>
      </c>
      <c r="T44" s="27">
        <v>1</v>
      </c>
      <c r="U44" s="27"/>
      <c r="V44" s="27"/>
      <c r="W44" s="27"/>
      <c r="X44" s="27"/>
      <c r="Y44" s="27"/>
      <c r="Z44" s="27"/>
      <c r="AA44" s="26">
        <f>SUM(T44:Z44)</f>
        <v>1</v>
      </c>
      <c r="AC44" s="27">
        <v>4</v>
      </c>
      <c r="AD44" s="27"/>
      <c r="AE44" s="27"/>
      <c r="AF44" s="27"/>
      <c r="AG44" s="27"/>
      <c r="AH44" s="27"/>
      <c r="AI44" s="27"/>
      <c r="AJ44" s="26">
        <f>SUM(AC44:AI44)</f>
        <v>4</v>
      </c>
      <c r="AL44" s="27">
        <v>3</v>
      </c>
      <c r="AM44" s="27"/>
      <c r="AN44" s="27"/>
      <c r="AO44" s="27"/>
      <c r="AP44" s="27"/>
      <c r="AQ44" s="27"/>
      <c r="AR44" s="27"/>
      <c r="AS44" s="26">
        <f>SUM(AL44:AR44)</f>
        <v>3</v>
      </c>
      <c r="AU44" s="27"/>
      <c r="AV44" s="27"/>
      <c r="AW44" s="27"/>
      <c r="AX44" s="27"/>
      <c r="AY44" s="27"/>
      <c r="AZ44" s="27"/>
      <c r="BA44" s="27"/>
      <c r="BB44" s="26">
        <f>SUM(AU44:BA44)</f>
        <v>0</v>
      </c>
      <c r="BD44" s="27">
        <v>0</v>
      </c>
      <c r="BE44" s="27"/>
      <c r="BF44" s="27"/>
      <c r="BG44" s="27"/>
      <c r="BH44" s="27"/>
      <c r="BI44" s="27"/>
      <c r="BJ44" s="27"/>
      <c r="BK44" s="26">
        <f>SUM(BD44:BJ44)</f>
        <v>0</v>
      </c>
      <c r="BM44" s="27">
        <v>0</v>
      </c>
      <c r="BN44" s="27"/>
      <c r="BO44" s="27"/>
      <c r="BP44" s="27"/>
      <c r="BQ44" s="27"/>
      <c r="BR44" s="27"/>
      <c r="BS44" s="27"/>
      <c r="BT44" s="26">
        <f>SUM(BM44:BS44)</f>
        <v>0</v>
      </c>
      <c r="BV44" s="26">
        <f t="shared" si="111"/>
        <v>8</v>
      </c>
      <c r="BW44" s="26">
        <f t="shared" si="109"/>
        <v>0</v>
      </c>
      <c r="BX44" s="26">
        <f t="shared" si="109"/>
        <v>0</v>
      </c>
      <c r="BY44" s="26">
        <f t="shared" si="109"/>
        <v>0</v>
      </c>
      <c r="BZ44" s="26">
        <f t="shared" si="109"/>
        <v>0</v>
      </c>
      <c r="CA44" s="26">
        <f t="shared" si="109"/>
        <v>0</v>
      </c>
      <c r="CB44" s="27"/>
      <c r="CC44" s="26">
        <f>SUM(BV44:CB44)</f>
        <v>8</v>
      </c>
    </row>
    <row r="45" spans="1:81">
      <c r="A45" s="32" t="s">
        <v>46</v>
      </c>
      <c r="B45" s="27">
        <v>0</v>
      </c>
      <c r="C45" s="27"/>
      <c r="D45" s="27"/>
      <c r="E45" s="27"/>
      <c r="F45" s="27"/>
      <c r="G45" s="27"/>
      <c r="H45" s="27"/>
      <c r="I45" s="26">
        <f t="shared" si="101"/>
        <v>0</v>
      </c>
      <c r="K45" s="27"/>
      <c r="L45" s="27"/>
      <c r="M45" s="27"/>
      <c r="N45" s="27"/>
      <c r="O45" s="27"/>
      <c r="P45" s="27"/>
      <c r="Q45" s="27"/>
      <c r="R45" s="26">
        <f t="shared" si="102"/>
        <v>0</v>
      </c>
      <c r="T45" s="27"/>
      <c r="U45" s="27"/>
      <c r="V45" s="27"/>
      <c r="W45" s="27"/>
      <c r="X45" s="27"/>
      <c r="Y45" s="27"/>
      <c r="Z45" s="27"/>
      <c r="AA45" s="26">
        <f t="shared" si="103"/>
        <v>0</v>
      </c>
      <c r="AC45" s="27">
        <v>0</v>
      </c>
      <c r="AD45" s="27"/>
      <c r="AE45" s="27"/>
      <c r="AF45" s="27"/>
      <c r="AG45" s="27"/>
      <c r="AH45" s="27"/>
      <c r="AI45" s="27"/>
      <c r="AJ45" s="26">
        <f t="shared" si="104"/>
        <v>0</v>
      </c>
      <c r="AL45" s="27">
        <v>0</v>
      </c>
      <c r="AM45" s="27"/>
      <c r="AN45" s="27"/>
      <c r="AO45" s="27"/>
      <c r="AP45" s="27"/>
      <c r="AQ45" s="27"/>
      <c r="AR45" s="27"/>
      <c r="AS45" s="26">
        <f t="shared" si="105"/>
        <v>0</v>
      </c>
      <c r="AU45" s="27"/>
      <c r="AV45" s="27"/>
      <c r="AW45" s="27"/>
      <c r="AX45" s="27"/>
      <c r="AY45" s="27"/>
      <c r="AZ45" s="27"/>
      <c r="BA45" s="27"/>
      <c r="BB45" s="26">
        <f t="shared" si="106"/>
        <v>0</v>
      </c>
      <c r="BD45" s="27">
        <v>0</v>
      </c>
      <c r="BE45" s="27"/>
      <c r="BF45" s="27"/>
      <c r="BG45" s="27"/>
      <c r="BH45" s="27"/>
      <c r="BI45" s="27"/>
      <c r="BJ45" s="27"/>
      <c r="BK45" s="26">
        <f t="shared" si="107"/>
        <v>0</v>
      </c>
      <c r="BM45" s="27">
        <v>0</v>
      </c>
      <c r="BN45" s="27"/>
      <c r="BO45" s="27"/>
      <c r="BP45" s="27"/>
      <c r="BQ45" s="27"/>
      <c r="BR45" s="27"/>
      <c r="BS45" s="27"/>
      <c r="BT45" s="26">
        <f t="shared" si="108"/>
        <v>0</v>
      </c>
      <c r="BV45" s="26">
        <f t="shared" si="111"/>
        <v>0</v>
      </c>
      <c r="BW45" s="26">
        <f t="shared" si="109"/>
        <v>0</v>
      </c>
      <c r="BX45" s="26">
        <f t="shared" si="109"/>
        <v>0</v>
      </c>
      <c r="BY45" s="26">
        <f t="shared" si="109"/>
        <v>0</v>
      </c>
      <c r="BZ45" s="26">
        <f t="shared" si="109"/>
        <v>0</v>
      </c>
      <c r="CA45" s="26">
        <f t="shared" si="109"/>
        <v>0</v>
      </c>
      <c r="CB45" s="27"/>
      <c r="CC45" s="26">
        <f t="shared" ref="CC45:CC46" si="112">SUM(BV45:CB45)</f>
        <v>0</v>
      </c>
    </row>
    <row r="46" spans="1:81">
      <c r="A46" s="25" t="s">
        <v>47</v>
      </c>
      <c r="B46" s="27">
        <v>2</v>
      </c>
      <c r="C46" s="27"/>
      <c r="D46" s="27"/>
      <c r="E46" s="27"/>
      <c r="F46" s="27"/>
      <c r="G46" s="27"/>
      <c r="H46" s="27"/>
      <c r="I46" s="26">
        <f t="shared" si="101"/>
        <v>2</v>
      </c>
      <c r="K46" s="27">
        <v>1</v>
      </c>
      <c r="L46" s="27"/>
      <c r="M46" s="27"/>
      <c r="N46" s="27"/>
      <c r="O46" s="27"/>
      <c r="P46" s="27"/>
      <c r="Q46" s="27"/>
      <c r="R46" s="26">
        <f t="shared" si="102"/>
        <v>1</v>
      </c>
      <c r="T46" s="27">
        <v>1</v>
      </c>
      <c r="U46" s="27"/>
      <c r="V46" s="27"/>
      <c r="W46" s="27"/>
      <c r="X46" s="27"/>
      <c r="Y46" s="27"/>
      <c r="Z46" s="27"/>
      <c r="AA46" s="26">
        <f t="shared" si="103"/>
        <v>1</v>
      </c>
      <c r="AC46" s="27">
        <v>2</v>
      </c>
      <c r="AD46" s="27"/>
      <c r="AE46" s="27"/>
      <c r="AF46" s="27"/>
      <c r="AG46" s="27"/>
      <c r="AH46" s="27"/>
      <c r="AI46" s="27"/>
      <c r="AJ46" s="26">
        <f t="shared" si="104"/>
        <v>2</v>
      </c>
      <c r="AL46" s="27">
        <v>2</v>
      </c>
      <c r="AM46" s="27"/>
      <c r="AN46" s="27"/>
      <c r="AO46" s="27"/>
      <c r="AP46" s="27"/>
      <c r="AQ46" s="27"/>
      <c r="AR46" s="27"/>
      <c r="AS46" s="26">
        <f t="shared" si="105"/>
        <v>2</v>
      </c>
      <c r="AU46" s="27"/>
      <c r="AV46" s="27"/>
      <c r="AW46" s="27"/>
      <c r="AX46" s="27"/>
      <c r="AY46" s="27"/>
      <c r="AZ46" s="27"/>
      <c r="BA46" s="27"/>
      <c r="BB46" s="26">
        <f t="shared" si="106"/>
        <v>0</v>
      </c>
      <c r="BD46" s="27">
        <v>1</v>
      </c>
      <c r="BE46" s="27"/>
      <c r="BF46" s="27"/>
      <c r="BG46" s="27"/>
      <c r="BH46" s="27"/>
      <c r="BI46" s="27"/>
      <c r="BJ46" s="27"/>
      <c r="BK46" s="26">
        <f t="shared" si="107"/>
        <v>1</v>
      </c>
      <c r="BM46" s="27">
        <v>1</v>
      </c>
      <c r="BN46" s="27"/>
      <c r="BO46" s="27"/>
      <c r="BP46" s="27"/>
      <c r="BQ46" s="27"/>
      <c r="BR46" s="27"/>
      <c r="BS46" s="27"/>
      <c r="BT46" s="26">
        <f t="shared" si="108"/>
        <v>1</v>
      </c>
      <c r="BV46" s="26">
        <f t="shared" si="111"/>
        <v>10</v>
      </c>
      <c r="BW46" s="26">
        <f t="shared" si="109"/>
        <v>0</v>
      </c>
      <c r="BX46" s="26">
        <f t="shared" si="109"/>
        <v>0</v>
      </c>
      <c r="BY46" s="26">
        <f t="shared" si="109"/>
        <v>0</v>
      </c>
      <c r="BZ46" s="26">
        <f t="shared" si="109"/>
        <v>0</v>
      </c>
      <c r="CA46" s="26">
        <f t="shared" si="109"/>
        <v>0</v>
      </c>
      <c r="CB46" s="27"/>
      <c r="CC46" s="26">
        <f t="shared" si="112"/>
        <v>10</v>
      </c>
    </row>
    <row r="47" spans="1:81">
      <c r="A47" s="25" t="s">
        <v>48</v>
      </c>
      <c r="B47" s="27">
        <v>1</v>
      </c>
      <c r="C47" s="27"/>
      <c r="D47" s="27"/>
      <c r="E47" s="27"/>
      <c r="F47" s="27"/>
      <c r="G47" s="27"/>
      <c r="H47" s="27"/>
      <c r="I47" s="26">
        <f>SUM(B47:H47)</f>
        <v>1</v>
      </c>
      <c r="K47" s="27">
        <v>1</v>
      </c>
      <c r="L47" s="27"/>
      <c r="M47" s="27"/>
      <c r="N47" s="27"/>
      <c r="O47" s="27"/>
      <c r="P47" s="27"/>
      <c r="Q47" s="27"/>
      <c r="R47" s="26">
        <f>SUM(K47:Q47)</f>
        <v>1</v>
      </c>
      <c r="T47" s="27">
        <v>1</v>
      </c>
      <c r="U47" s="27"/>
      <c r="V47" s="27"/>
      <c r="W47" s="27"/>
      <c r="X47" s="27"/>
      <c r="Y47" s="27"/>
      <c r="Z47" s="27"/>
      <c r="AA47" s="26">
        <f>SUM(T47:Z47)</f>
        <v>1</v>
      </c>
      <c r="AC47" s="27">
        <v>2</v>
      </c>
      <c r="AD47" s="27"/>
      <c r="AE47" s="27"/>
      <c r="AF47" s="27"/>
      <c r="AG47" s="27"/>
      <c r="AH47" s="27"/>
      <c r="AI47" s="27"/>
      <c r="AJ47" s="26">
        <f>SUM(AC47:AI47)</f>
        <v>2</v>
      </c>
      <c r="AL47" s="27">
        <v>2</v>
      </c>
      <c r="AM47" s="27"/>
      <c r="AN47" s="27"/>
      <c r="AO47" s="27"/>
      <c r="AP47" s="27"/>
      <c r="AQ47" s="27"/>
      <c r="AR47" s="27"/>
      <c r="AS47" s="26">
        <f>SUM(AL47:AR47)</f>
        <v>2</v>
      </c>
      <c r="AU47" s="27"/>
      <c r="AV47" s="27"/>
      <c r="AW47" s="27"/>
      <c r="AX47" s="27"/>
      <c r="AY47" s="27"/>
      <c r="AZ47" s="27"/>
      <c r="BA47" s="27"/>
      <c r="BB47" s="26">
        <f>SUM(AU47:BA47)</f>
        <v>0</v>
      </c>
      <c r="BD47" s="27">
        <v>0</v>
      </c>
      <c r="BE47" s="27"/>
      <c r="BF47" s="27"/>
      <c r="BG47" s="27"/>
      <c r="BH47" s="27"/>
      <c r="BI47" s="27"/>
      <c r="BJ47" s="27"/>
      <c r="BK47" s="26">
        <f>SUM(BD47:BJ47)</f>
        <v>0</v>
      </c>
      <c r="BM47" s="27">
        <v>0</v>
      </c>
      <c r="BN47" s="27"/>
      <c r="BO47" s="27"/>
      <c r="BP47" s="27"/>
      <c r="BQ47" s="27"/>
      <c r="BR47" s="27"/>
      <c r="BS47" s="27"/>
      <c r="BT47" s="26">
        <f>SUM(BM47:BS47)</f>
        <v>0</v>
      </c>
      <c r="BV47" s="26">
        <f t="shared" si="111"/>
        <v>7</v>
      </c>
      <c r="BW47" s="26">
        <f t="shared" si="109"/>
        <v>0</v>
      </c>
      <c r="BX47" s="26">
        <f t="shared" si="109"/>
        <v>0</v>
      </c>
      <c r="BY47" s="26">
        <f t="shared" si="109"/>
        <v>0</v>
      </c>
      <c r="BZ47" s="26">
        <f t="shared" si="109"/>
        <v>0</v>
      </c>
      <c r="CA47" s="26">
        <f t="shared" si="109"/>
        <v>0</v>
      </c>
      <c r="CB47" s="27"/>
      <c r="CC47" s="26">
        <f>SUM(BV47:CB47)</f>
        <v>7</v>
      </c>
    </row>
    <row r="48" spans="1:81">
      <c r="A48" s="25" t="s">
        <v>49</v>
      </c>
      <c r="B48" s="27">
        <v>1</v>
      </c>
      <c r="C48" s="27"/>
      <c r="D48" s="27"/>
      <c r="E48" s="27"/>
      <c r="F48" s="27"/>
      <c r="G48" s="27"/>
      <c r="H48" s="27"/>
      <c r="I48" s="26">
        <f t="shared" si="101"/>
        <v>1</v>
      </c>
      <c r="K48" s="27">
        <v>1</v>
      </c>
      <c r="L48" s="27"/>
      <c r="M48" s="27"/>
      <c r="N48" s="27"/>
      <c r="O48" s="27"/>
      <c r="P48" s="27"/>
      <c r="Q48" s="27"/>
      <c r="R48" s="26">
        <f t="shared" si="102"/>
        <v>1</v>
      </c>
      <c r="T48" s="27">
        <v>1</v>
      </c>
      <c r="U48" s="27"/>
      <c r="V48" s="27"/>
      <c r="W48" s="27"/>
      <c r="X48" s="27"/>
      <c r="Y48" s="27"/>
      <c r="Z48" s="27"/>
      <c r="AA48" s="26">
        <f t="shared" si="103"/>
        <v>1</v>
      </c>
      <c r="AC48" s="27">
        <v>3</v>
      </c>
      <c r="AD48" s="27"/>
      <c r="AE48" s="27"/>
      <c r="AF48" s="27"/>
      <c r="AG48" s="27"/>
      <c r="AH48" s="27"/>
      <c r="AI48" s="27"/>
      <c r="AJ48" s="26">
        <f t="shared" si="104"/>
        <v>3</v>
      </c>
      <c r="AL48" s="27">
        <v>2</v>
      </c>
      <c r="AM48" s="27"/>
      <c r="AN48" s="27"/>
      <c r="AO48" s="27"/>
      <c r="AP48" s="27"/>
      <c r="AQ48" s="27"/>
      <c r="AR48" s="27"/>
      <c r="AS48" s="26">
        <f t="shared" si="105"/>
        <v>2</v>
      </c>
      <c r="AU48" s="27"/>
      <c r="AV48" s="27"/>
      <c r="AW48" s="27"/>
      <c r="AX48" s="27"/>
      <c r="AY48" s="27"/>
      <c r="AZ48" s="27"/>
      <c r="BA48" s="27"/>
      <c r="BB48" s="26">
        <f t="shared" si="106"/>
        <v>0</v>
      </c>
      <c r="BD48" s="27">
        <v>0</v>
      </c>
      <c r="BE48" s="27"/>
      <c r="BF48" s="27"/>
      <c r="BG48" s="27"/>
      <c r="BH48" s="27"/>
      <c r="BI48" s="27"/>
      <c r="BJ48" s="27"/>
      <c r="BK48" s="26">
        <f t="shared" si="107"/>
        <v>0</v>
      </c>
      <c r="BM48" s="27">
        <v>0</v>
      </c>
      <c r="BN48" s="27"/>
      <c r="BO48" s="27"/>
      <c r="BP48" s="27"/>
      <c r="BQ48" s="27"/>
      <c r="BR48" s="27"/>
      <c r="BS48" s="27"/>
      <c r="BT48" s="26">
        <f t="shared" si="108"/>
        <v>0</v>
      </c>
      <c r="BV48" s="26">
        <f t="shared" si="111"/>
        <v>8</v>
      </c>
      <c r="BW48" s="26">
        <f t="shared" si="109"/>
        <v>0</v>
      </c>
      <c r="BX48" s="26">
        <f t="shared" si="109"/>
        <v>0</v>
      </c>
      <c r="BY48" s="26">
        <f t="shared" si="109"/>
        <v>0</v>
      </c>
      <c r="BZ48" s="26">
        <f t="shared" si="109"/>
        <v>0</v>
      </c>
      <c r="CA48" s="26">
        <f t="shared" si="109"/>
        <v>0</v>
      </c>
      <c r="CB48" s="27"/>
      <c r="CC48" s="26">
        <f t="shared" ref="CC48" si="113">SUM(BV48:CB48)</f>
        <v>8</v>
      </c>
    </row>
    <row r="49" spans="1:81">
      <c r="A49" s="25" t="s">
        <v>50</v>
      </c>
      <c r="B49" s="27">
        <v>2</v>
      </c>
      <c r="C49" s="27"/>
      <c r="D49" s="27"/>
      <c r="E49" s="27"/>
      <c r="F49" s="27"/>
      <c r="G49" s="27"/>
      <c r="H49" s="27"/>
      <c r="I49" s="26">
        <f>SUM(B49:H49)</f>
        <v>2</v>
      </c>
      <c r="K49" s="27">
        <v>2</v>
      </c>
      <c r="L49" s="27"/>
      <c r="M49" s="27"/>
      <c r="N49" s="27"/>
      <c r="O49" s="27"/>
      <c r="P49" s="27"/>
      <c r="Q49" s="27"/>
      <c r="R49" s="26">
        <f>SUM(K49:Q49)</f>
        <v>2</v>
      </c>
      <c r="T49" s="27">
        <v>2</v>
      </c>
      <c r="U49" s="27"/>
      <c r="V49" s="27"/>
      <c r="W49" s="27"/>
      <c r="X49" s="27"/>
      <c r="Y49" s="27"/>
      <c r="Z49" s="27"/>
      <c r="AA49" s="26">
        <f>SUM(T49:Z49)</f>
        <v>2</v>
      </c>
      <c r="AC49" s="27">
        <v>5</v>
      </c>
      <c r="AD49" s="27"/>
      <c r="AE49" s="27"/>
      <c r="AF49" s="27"/>
      <c r="AG49" s="27"/>
      <c r="AH49" s="27"/>
      <c r="AI49" s="27"/>
      <c r="AJ49" s="26">
        <f>SUM(AC49:AI49)</f>
        <v>5</v>
      </c>
      <c r="AL49" s="27">
        <v>4</v>
      </c>
      <c r="AM49" s="27"/>
      <c r="AN49" s="27"/>
      <c r="AO49" s="27"/>
      <c r="AP49" s="27"/>
      <c r="AQ49" s="27"/>
      <c r="AR49" s="27"/>
      <c r="AS49" s="26">
        <f>SUM(AL49:AR49)</f>
        <v>4</v>
      </c>
      <c r="AU49" s="27"/>
      <c r="AV49" s="27"/>
      <c r="AW49" s="27"/>
      <c r="AX49" s="27"/>
      <c r="AY49" s="27"/>
      <c r="AZ49" s="27"/>
      <c r="BA49" s="27"/>
      <c r="BB49" s="26">
        <f>SUM(AU49:BA49)</f>
        <v>0</v>
      </c>
      <c r="BD49" s="27">
        <v>1</v>
      </c>
      <c r="BE49" s="27"/>
      <c r="BF49" s="27"/>
      <c r="BG49" s="27"/>
      <c r="BH49" s="27">
        <v>0</v>
      </c>
      <c r="BI49" s="27"/>
      <c r="BJ49" s="27"/>
      <c r="BK49" s="26">
        <f>SUM(BD49:BJ49)</f>
        <v>1</v>
      </c>
      <c r="BM49" s="27">
        <v>0</v>
      </c>
      <c r="BN49" s="27"/>
      <c r="BO49" s="27"/>
      <c r="BP49" s="27"/>
      <c r="BQ49" s="27"/>
      <c r="BR49" s="27"/>
      <c r="BS49" s="27"/>
      <c r="BT49" s="26">
        <f>SUM(BM49:BS49)</f>
        <v>0</v>
      </c>
      <c r="BV49" s="26">
        <f t="shared" si="111"/>
        <v>16</v>
      </c>
      <c r="BW49" s="26">
        <f t="shared" si="109"/>
        <v>0</v>
      </c>
      <c r="BX49" s="26">
        <f t="shared" si="109"/>
        <v>0</v>
      </c>
      <c r="BY49" s="26">
        <f t="shared" si="109"/>
        <v>0</v>
      </c>
      <c r="BZ49" s="26">
        <f t="shared" si="109"/>
        <v>0</v>
      </c>
      <c r="CA49" s="26">
        <f t="shared" si="109"/>
        <v>0</v>
      </c>
      <c r="CB49" s="27"/>
      <c r="CC49" s="26">
        <f>SUM(BV49:CB49)</f>
        <v>16</v>
      </c>
    </row>
    <row r="50" spans="1:81">
      <c r="A50" s="25" t="s">
        <v>51</v>
      </c>
      <c r="B50" s="27">
        <v>4</v>
      </c>
      <c r="C50" s="27">
        <v>4</v>
      </c>
      <c r="D50" s="27">
        <v>1</v>
      </c>
      <c r="E50" s="27"/>
      <c r="F50" s="27"/>
      <c r="G50" s="27"/>
      <c r="H50" s="27"/>
      <c r="I50" s="26">
        <f>SUM(B50:H50)</f>
        <v>9</v>
      </c>
      <c r="K50" s="27">
        <v>7</v>
      </c>
      <c r="L50" s="27">
        <v>4</v>
      </c>
      <c r="M50" s="27">
        <v>1</v>
      </c>
      <c r="N50" s="27"/>
      <c r="O50" s="27"/>
      <c r="P50" s="27"/>
      <c r="Q50" s="27"/>
      <c r="R50" s="26">
        <f>SUM(K50:Q50)</f>
        <v>12</v>
      </c>
      <c r="T50" s="27">
        <v>5</v>
      </c>
      <c r="U50" s="27">
        <v>5</v>
      </c>
      <c r="V50" s="27">
        <v>1</v>
      </c>
      <c r="W50" s="27"/>
      <c r="X50" s="27"/>
      <c r="Y50" s="27"/>
      <c r="Z50" s="27"/>
      <c r="AA50" s="26">
        <f>SUM(T50:Z50)</f>
        <v>11</v>
      </c>
      <c r="AC50" s="27">
        <v>11</v>
      </c>
      <c r="AD50" s="27">
        <v>13</v>
      </c>
      <c r="AE50" s="27">
        <v>3</v>
      </c>
      <c r="AF50" s="27"/>
      <c r="AG50" s="27"/>
      <c r="AH50" s="27"/>
      <c r="AI50" s="27"/>
      <c r="AJ50" s="26">
        <f>SUM(AC50:AI50)</f>
        <v>27</v>
      </c>
      <c r="AL50" s="27">
        <v>5</v>
      </c>
      <c r="AM50" s="27">
        <v>12</v>
      </c>
      <c r="AN50" s="27">
        <v>3</v>
      </c>
      <c r="AO50" s="27"/>
      <c r="AP50" s="27"/>
      <c r="AQ50" s="27"/>
      <c r="AR50" s="27"/>
      <c r="AS50" s="26">
        <f>SUM(AL50:AR50)</f>
        <v>20</v>
      </c>
      <c r="AU50" s="27">
        <v>2</v>
      </c>
      <c r="AV50" s="27">
        <v>1</v>
      </c>
      <c r="AW50" s="27"/>
      <c r="AX50" s="27"/>
      <c r="AY50" s="27"/>
      <c r="AZ50" s="27"/>
      <c r="BA50" s="27"/>
      <c r="BB50" s="26">
        <f>SUM(AU50:BA50)</f>
        <v>3</v>
      </c>
      <c r="BD50" s="27">
        <v>3</v>
      </c>
      <c r="BE50" s="27">
        <v>2</v>
      </c>
      <c r="BF50" s="27">
        <v>0</v>
      </c>
      <c r="BG50" s="27"/>
      <c r="BH50" s="27"/>
      <c r="BI50" s="27"/>
      <c r="BJ50" s="27"/>
      <c r="BK50" s="26">
        <f>SUM(BD50:BJ50)</f>
        <v>5</v>
      </c>
      <c r="BM50" s="27">
        <v>0.5</v>
      </c>
      <c r="BN50" s="27"/>
      <c r="BO50" s="27">
        <v>0</v>
      </c>
      <c r="BP50" s="27"/>
      <c r="BQ50" s="27"/>
      <c r="BR50" s="27"/>
      <c r="BS50" s="27"/>
      <c r="BT50" s="26">
        <f>SUM(BM50:BS50)</f>
        <v>0.5</v>
      </c>
      <c r="BV50" s="26">
        <f t="shared" si="111"/>
        <v>37.5</v>
      </c>
      <c r="BW50" s="26">
        <f t="shared" si="109"/>
        <v>41</v>
      </c>
      <c r="BX50" s="26">
        <f t="shared" si="109"/>
        <v>9</v>
      </c>
      <c r="BY50" s="26">
        <f t="shared" si="109"/>
        <v>0</v>
      </c>
      <c r="BZ50" s="26">
        <f t="shared" si="109"/>
        <v>0</v>
      </c>
      <c r="CA50" s="26">
        <f t="shared" si="109"/>
        <v>0</v>
      </c>
      <c r="CB50" s="27"/>
      <c r="CC50" s="26">
        <f>SUM(BV50:CB50)</f>
        <v>87.5</v>
      </c>
    </row>
    <row r="51" spans="1:81">
      <c r="A51" s="25" t="s">
        <v>52</v>
      </c>
      <c r="B51" s="27">
        <v>2</v>
      </c>
      <c r="C51" s="27"/>
      <c r="D51" s="27"/>
      <c r="E51" s="27"/>
      <c r="F51" s="27"/>
      <c r="G51" s="27"/>
      <c r="H51" s="27"/>
      <c r="I51" s="26">
        <f t="shared" si="101"/>
        <v>2</v>
      </c>
      <c r="K51" s="27">
        <v>3</v>
      </c>
      <c r="L51" s="27"/>
      <c r="M51" s="27"/>
      <c r="N51" s="27"/>
      <c r="O51" s="27"/>
      <c r="P51" s="27"/>
      <c r="Q51" s="27"/>
      <c r="R51" s="26">
        <f t="shared" si="102"/>
        <v>3</v>
      </c>
      <c r="T51" s="27">
        <v>3</v>
      </c>
      <c r="U51" s="27"/>
      <c r="V51" s="27"/>
      <c r="W51" s="27"/>
      <c r="X51" s="27"/>
      <c r="Y51" s="27"/>
      <c r="Z51" s="27"/>
      <c r="AA51" s="26">
        <f t="shared" si="103"/>
        <v>3</v>
      </c>
      <c r="AC51" s="27">
        <v>7</v>
      </c>
      <c r="AD51" s="27"/>
      <c r="AE51" s="27"/>
      <c r="AF51" s="27"/>
      <c r="AG51" s="27"/>
      <c r="AH51" s="27"/>
      <c r="AI51" s="27"/>
      <c r="AJ51" s="26">
        <f t="shared" si="104"/>
        <v>7</v>
      </c>
      <c r="AL51" s="27">
        <v>8</v>
      </c>
      <c r="AM51" s="27"/>
      <c r="AN51" s="27"/>
      <c r="AO51" s="27"/>
      <c r="AP51" s="27"/>
      <c r="AQ51" s="27"/>
      <c r="AR51" s="27"/>
      <c r="AS51" s="26">
        <f t="shared" si="105"/>
        <v>8</v>
      </c>
      <c r="AU51" s="27"/>
      <c r="AV51" s="27"/>
      <c r="AW51" s="27"/>
      <c r="AX51" s="27"/>
      <c r="AY51" s="27"/>
      <c r="AZ51" s="27"/>
      <c r="BA51" s="27"/>
      <c r="BB51" s="26">
        <f t="shared" si="106"/>
        <v>0</v>
      </c>
      <c r="BD51" s="27">
        <v>1</v>
      </c>
      <c r="BE51" s="27"/>
      <c r="BF51" s="27"/>
      <c r="BG51" s="27"/>
      <c r="BH51" s="27"/>
      <c r="BI51" s="27"/>
      <c r="BJ51" s="27"/>
      <c r="BK51" s="26">
        <f t="shared" si="107"/>
        <v>1</v>
      </c>
      <c r="BM51" s="27">
        <v>0</v>
      </c>
      <c r="BN51" s="27"/>
      <c r="BO51" s="27"/>
      <c r="BP51" s="27"/>
      <c r="BQ51" s="27"/>
      <c r="BR51" s="27"/>
      <c r="BS51" s="27"/>
      <c r="BT51" s="26">
        <f t="shared" si="108"/>
        <v>0</v>
      </c>
      <c r="BV51" s="26">
        <f t="shared" si="111"/>
        <v>24</v>
      </c>
      <c r="BW51" s="26">
        <f t="shared" si="109"/>
        <v>0</v>
      </c>
      <c r="BX51" s="26">
        <f t="shared" si="109"/>
        <v>0</v>
      </c>
      <c r="BY51" s="26">
        <f t="shared" si="109"/>
        <v>0</v>
      </c>
      <c r="BZ51" s="26">
        <f t="shared" si="109"/>
        <v>0</v>
      </c>
      <c r="CA51" s="26">
        <f t="shared" si="109"/>
        <v>0</v>
      </c>
      <c r="CB51" s="27"/>
      <c r="CC51" s="26">
        <f t="shared" ref="CC51" si="114">SUM(BV51:CB51)</f>
        <v>24</v>
      </c>
    </row>
    <row r="52" spans="1:81">
      <c r="A52" s="25" t="s">
        <v>53</v>
      </c>
      <c r="B52" s="27"/>
      <c r="C52" s="27"/>
      <c r="D52" s="27">
        <v>1</v>
      </c>
      <c r="E52" s="27"/>
      <c r="F52" s="27"/>
      <c r="G52" s="27"/>
      <c r="H52" s="27"/>
      <c r="I52" s="26">
        <f>SUM(B52:H52)</f>
        <v>1</v>
      </c>
      <c r="K52" s="27"/>
      <c r="L52" s="27"/>
      <c r="M52" s="27">
        <v>1</v>
      </c>
      <c r="N52" s="27"/>
      <c r="O52" s="27"/>
      <c r="P52" s="27"/>
      <c r="Q52" s="27"/>
      <c r="R52" s="26">
        <f>SUM(K52:Q52)</f>
        <v>1</v>
      </c>
      <c r="T52" s="27"/>
      <c r="U52" s="27"/>
      <c r="V52" s="27">
        <v>1</v>
      </c>
      <c r="W52" s="27"/>
      <c r="X52" s="27"/>
      <c r="Y52" s="27"/>
      <c r="Z52" s="27"/>
      <c r="AA52" s="26">
        <f>SUM(T52:Z52)</f>
        <v>1</v>
      </c>
      <c r="AC52" s="27"/>
      <c r="AD52" s="27"/>
      <c r="AE52" s="27">
        <v>3</v>
      </c>
      <c r="AF52" s="27"/>
      <c r="AG52" s="27"/>
      <c r="AH52" s="27"/>
      <c r="AI52" s="27"/>
      <c r="AJ52" s="26">
        <f>SUM(AC52:AI52)</f>
        <v>3</v>
      </c>
      <c r="AL52" s="27"/>
      <c r="AM52" s="27"/>
      <c r="AN52" s="27">
        <v>1</v>
      </c>
      <c r="AO52" s="27"/>
      <c r="AP52" s="27"/>
      <c r="AQ52" s="27"/>
      <c r="AR52" s="27"/>
      <c r="AS52" s="26">
        <f>SUM(AL52:AR52)</f>
        <v>1</v>
      </c>
      <c r="AU52" s="27"/>
      <c r="AV52" s="27"/>
      <c r="AW52" s="27"/>
      <c r="AX52" s="27"/>
      <c r="AY52" s="27"/>
      <c r="AZ52" s="27"/>
      <c r="BA52" s="27"/>
      <c r="BB52" s="26">
        <f>SUM(AU52:BA52)</f>
        <v>0</v>
      </c>
      <c r="BD52" s="27"/>
      <c r="BE52" s="27"/>
      <c r="BF52" s="27">
        <v>1</v>
      </c>
      <c r="BG52" s="27"/>
      <c r="BH52" s="27"/>
      <c r="BI52" s="27"/>
      <c r="BJ52" s="27"/>
      <c r="BK52" s="26">
        <f>SUM(BD52:BJ52)</f>
        <v>1</v>
      </c>
      <c r="BM52" s="27">
        <v>0</v>
      </c>
      <c r="BN52" s="27"/>
      <c r="BO52" s="27">
        <v>0.5</v>
      </c>
      <c r="BP52" s="27"/>
      <c r="BQ52" s="27"/>
      <c r="BR52" s="27"/>
      <c r="BS52" s="27"/>
      <c r="BT52" s="26">
        <f>SUM(BM52:BS52)</f>
        <v>0.5</v>
      </c>
      <c r="BV52" s="26">
        <f t="shared" si="111"/>
        <v>0</v>
      </c>
      <c r="BW52" s="26">
        <f t="shared" si="109"/>
        <v>0</v>
      </c>
      <c r="BX52" s="26">
        <f t="shared" si="109"/>
        <v>8.5</v>
      </c>
      <c r="BY52" s="26">
        <f t="shared" si="109"/>
        <v>0</v>
      </c>
      <c r="BZ52" s="26">
        <f t="shared" si="109"/>
        <v>0</v>
      </c>
      <c r="CA52" s="26">
        <f t="shared" si="109"/>
        <v>0</v>
      </c>
      <c r="CB52" s="27"/>
      <c r="CC52" s="26">
        <f>SUM(BV52:CB52)</f>
        <v>8.5</v>
      </c>
    </row>
    <row r="53" spans="1:81">
      <c r="A53" s="25" t="s">
        <v>54</v>
      </c>
      <c r="B53" s="27">
        <v>0</v>
      </c>
      <c r="C53" s="27"/>
      <c r="D53" s="27"/>
      <c r="E53" s="27"/>
      <c r="F53" s="27"/>
      <c r="G53" s="27"/>
      <c r="H53" s="27"/>
      <c r="I53" s="26">
        <f t="shared" si="101"/>
        <v>0</v>
      </c>
      <c r="J53" s="6"/>
      <c r="K53" s="27"/>
      <c r="L53" s="27"/>
      <c r="M53" s="27"/>
      <c r="N53" s="27"/>
      <c r="O53" s="27"/>
      <c r="P53" s="27"/>
      <c r="Q53" s="27"/>
      <c r="R53" s="26">
        <f t="shared" si="102"/>
        <v>0</v>
      </c>
      <c r="T53" s="27"/>
      <c r="U53" s="27"/>
      <c r="V53" s="27"/>
      <c r="W53" s="27"/>
      <c r="X53" s="27"/>
      <c r="Y53" s="27"/>
      <c r="Z53" s="27"/>
      <c r="AA53" s="26">
        <f t="shared" si="103"/>
        <v>0</v>
      </c>
      <c r="AC53" s="27">
        <v>0</v>
      </c>
      <c r="AD53" s="27"/>
      <c r="AE53" s="27"/>
      <c r="AF53" s="27"/>
      <c r="AG53" s="27"/>
      <c r="AH53" s="27"/>
      <c r="AI53" s="27"/>
      <c r="AJ53" s="26">
        <f t="shared" si="104"/>
        <v>0</v>
      </c>
      <c r="AL53" s="27">
        <v>0</v>
      </c>
      <c r="AM53" s="27"/>
      <c r="AN53" s="27"/>
      <c r="AO53" s="27"/>
      <c r="AP53" s="27"/>
      <c r="AQ53" s="27"/>
      <c r="AR53" s="27"/>
      <c r="AS53" s="26">
        <f t="shared" si="105"/>
        <v>0</v>
      </c>
      <c r="AU53" s="27"/>
      <c r="AV53" s="27"/>
      <c r="AW53" s="27"/>
      <c r="AX53" s="27"/>
      <c r="AY53" s="27"/>
      <c r="AZ53" s="27"/>
      <c r="BA53" s="27"/>
      <c r="BB53" s="26">
        <f t="shared" si="106"/>
        <v>0</v>
      </c>
      <c r="BD53" s="27"/>
      <c r="BE53" s="27"/>
      <c r="BF53" s="27"/>
      <c r="BG53" s="27"/>
      <c r="BH53" s="27"/>
      <c r="BI53" s="27"/>
      <c r="BJ53" s="27"/>
      <c r="BK53" s="26">
        <f t="shared" si="107"/>
        <v>0</v>
      </c>
      <c r="BM53" s="27">
        <v>0</v>
      </c>
      <c r="BN53" s="27"/>
      <c r="BO53" s="27"/>
      <c r="BP53" s="27"/>
      <c r="BQ53" s="27"/>
      <c r="BR53" s="27"/>
      <c r="BS53" s="27"/>
      <c r="BT53" s="26">
        <f t="shared" si="108"/>
        <v>0</v>
      </c>
      <c r="BV53" s="26">
        <f t="shared" si="111"/>
        <v>0</v>
      </c>
      <c r="BW53" s="26">
        <f t="shared" si="109"/>
        <v>0</v>
      </c>
      <c r="BX53" s="26">
        <f t="shared" si="109"/>
        <v>0</v>
      </c>
      <c r="BY53" s="26">
        <f t="shared" si="109"/>
        <v>0</v>
      </c>
      <c r="BZ53" s="26">
        <f t="shared" si="109"/>
        <v>0</v>
      </c>
      <c r="CA53" s="26">
        <f t="shared" si="109"/>
        <v>0</v>
      </c>
      <c r="CB53" s="27"/>
      <c r="CC53" s="26">
        <f t="shared" ref="CC53:CC55" si="115">SUM(BV53:CB53)</f>
        <v>0</v>
      </c>
    </row>
    <row r="54" spans="1:81">
      <c r="A54" s="29" t="s">
        <v>55</v>
      </c>
      <c r="B54" s="27"/>
      <c r="C54" s="27">
        <v>1</v>
      </c>
      <c r="D54" s="27"/>
      <c r="E54" s="27"/>
      <c r="F54" s="27"/>
      <c r="G54" s="27"/>
      <c r="H54" s="27"/>
      <c r="I54" s="26">
        <f t="shared" si="101"/>
        <v>1</v>
      </c>
      <c r="J54" s="6"/>
      <c r="K54" s="27"/>
      <c r="L54" s="27">
        <v>1</v>
      </c>
      <c r="M54" s="27"/>
      <c r="N54" s="27"/>
      <c r="O54" s="27"/>
      <c r="P54" s="27"/>
      <c r="Q54" s="27"/>
      <c r="R54" s="26">
        <f t="shared" si="102"/>
        <v>1</v>
      </c>
      <c r="T54" s="27"/>
      <c r="U54" s="27">
        <v>1</v>
      </c>
      <c r="V54" s="27"/>
      <c r="W54" s="27"/>
      <c r="X54" s="27"/>
      <c r="Y54" s="27"/>
      <c r="Z54" s="27"/>
      <c r="AA54" s="26">
        <f t="shared" si="103"/>
        <v>1</v>
      </c>
      <c r="AC54" s="27"/>
      <c r="AD54" s="27">
        <v>1</v>
      </c>
      <c r="AE54" s="27"/>
      <c r="AF54" s="27"/>
      <c r="AG54" s="27"/>
      <c r="AH54" s="27"/>
      <c r="AI54" s="27"/>
      <c r="AJ54" s="26">
        <f t="shared" si="104"/>
        <v>1</v>
      </c>
      <c r="AL54" s="27"/>
      <c r="AM54" s="27">
        <v>0</v>
      </c>
      <c r="AN54" s="27"/>
      <c r="AO54" s="27"/>
      <c r="AP54" s="27"/>
      <c r="AQ54" s="27"/>
      <c r="AR54" s="27"/>
      <c r="AS54" s="26">
        <f t="shared" si="105"/>
        <v>0</v>
      </c>
      <c r="AU54" s="27"/>
      <c r="AV54" s="27"/>
      <c r="AW54" s="27"/>
      <c r="AX54" s="27"/>
      <c r="AY54" s="27"/>
      <c r="AZ54" s="27"/>
      <c r="BA54" s="27"/>
      <c r="BB54" s="26">
        <f t="shared" si="106"/>
        <v>0</v>
      </c>
      <c r="BD54" s="27"/>
      <c r="BE54" s="27"/>
      <c r="BF54" s="27"/>
      <c r="BG54" s="27"/>
      <c r="BH54" s="27"/>
      <c r="BI54" s="27"/>
      <c r="BJ54" s="27"/>
      <c r="BK54" s="26">
        <f t="shared" si="107"/>
        <v>0</v>
      </c>
      <c r="BM54" s="27"/>
      <c r="BN54" s="27"/>
      <c r="BO54" s="27"/>
      <c r="BP54" s="27"/>
      <c r="BQ54" s="27"/>
      <c r="BR54" s="27"/>
      <c r="BS54" s="27"/>
      <c r="BT54" s="26">
        <f t="shared" si="108"/>
        <v>0</v>
      </c>
      <c r="BV54" s="26">
        <f t="shared" si="111"/>
        <v>0</v>
      </c>
      <c r="BW54" s="26">
        <f t="shared" si="109"/>
        <v>4</v>
      </c>
      <c r="BX54" s="26">
        <f t="shared" si="109"/>
        <v>0</v>
      </c>
      <c r="BY54" s="26">
        <f t="shared" si="109"/>
        <v>0</v>
      </c>
      <c r="BZ54" s="26">
        <f t="shared" si="109"/>
        <v>0</v>
      </c>
      <c r="CA54" s="26">
        <f t="shared" si="109"/>
        <v>0</v>
      </c>
      <c r="CB54" s="27"/>
      <c r="CC54" s="26">
        <f t="shared" si="115"/>
        <v>4</v>
      </c>
    </row>
    <row r="55" spans="1:81">
      <c r="A55" s="29" t="s">
        <v>56</v>
      </c>
      <c r="B55" s="27"/>
      <c r="C55" s="27">
        <v>0</v>
      </c>
      <c r="D55" s="27"/>
      <c r="E55" s="27"/>
      <c r="F55" s="27"/>
      <c r="G55" s="27"/>
      <c r="H55" s="27"/>
      <c r="I55" s="26">
        <f t="shared" si="101"/>
        <v>0</v>
      </c>
      <c r="J55" s="6"/>
      <c r="K55" s="27"/>
      <c r="L55" s="27">
        <v>0</v>
      </c>
      <c r="M55" s="27"/>
      <c r="N55" s="27"/>
      <c r="O55" s="27"/>
      <c r="P55" s="27"/>
      <c r="Q55" s="27"/>
      <c r="R55" s="26">
        <f t="shared" si="102"/>
        <v>0</v>
      </c>
      <c r="T55" s="27"/>
      <c r="U55" s="27">
        <v>1</v>
      </c>
      <c r="V55" s="27"/>
      <c r="W55" s="27"/>
      <c r="X55" s="27"/>
      <c r="Y55" s="27"/>
      <c r="Z55" s="27"/>
      <c r="AA55" s="26">
        <f t="shared" si="103"/>
        <v>1</v>
      </c>
      <c r="AC55" s="27"/>
      <c r="AD55" s="27">
        <v>1</v>
      </c>
      <c r="AE55" s="27"/>
      <c r="AF55" s="27"/>
      <c r="AG55" s="27"/>
      <c r="AH55" s="27"/>
      <c r="AI55" s="27"/>
      <c r="AJ55" s="26">
        <f t="shared" si="104"/>
        <v>1</v>
      </c>
      <c r="AL55" s="27"/>
      <c r="AM55" s="27">
        <v>0</v>
      </c>
      <c r="AN55" s="27"/>
      <c r="AO55" s="27"/>
      <c r="AP55" s="27"/>
      <c r="AQ55" s="27"/>
      <c r="AR55" s="27"/>
      <c r="AS55" s="26">
        <f t="shared" si="105"/>
        <v>0</v>
      </c>
      <c r="AU55" s="27"/>
      <c r="AV55" s="27"/>
      <c r="AW55" s="27"/>
      <c r="AX55" s="27"/>
      <c r="AY55" s="27"/>
      <c r="AZ55" s="27"/>
      <c r="BA55" s="27"/>
      <c r="BB55" s="26">
        <f t="shared" si="106"/>
        <v>0</v>
      </c>
      <c r="BD55" s="27"/>
      <c r="BE55" s="27"/>
      <c r="BF55" s="27"/>
      <c r="BG55" s="27"/>
      <c r="BH55" s="27"/>
      <c r="BI55" s="27"/>
      <c r="BJ55" s="27"/>
      <c r="BK55" s="26">
        <f t="shared" si="107"/>
        <v>0</v>
      </c>
      <c r="BM55" s="27"/>
      <c r="BN55" s="27"/>
      <c r="BO55" s="27"/>
      <c r="BP55" s="27"/>
      <c r="BQ55" s="27"/>
      <c r="BR55" s="27"/>
      <c r="BS55" s="27"/>
      <c r="BT55" s="26">
        <f t="shared" si="108"/>
        <v>0</v>
      </c>
      <c r="BV55" s="26">
        <f t="shared" si="111"/>
        <v>0</v>
      </c>
      <c r="BW55" s="26">
        <f t="shared" si="111"/>
        <v>2</v>
      </c>
      <c r="BX55" s="26">
        <f t="shared" si="111"/>
        <v>0</v>
      </c>
      <c r="BY55" s="26">
        <f t="shared" si="111"/>
        <v>0</v>
      </c>
      <c r="BZ55" s="26">
        <f t="shared" si="111"/>
        <v>0</v>
      </c>
      <c r="CA55" s="26">
        <f t="shared" si="111"/>
        <v>0</v>
      </c>
      <c r="CB55" s="27"/>
      <c r="CC55" s="26">
        <f t="shared" si="115"/>
        <v>2</v>
      </c>
    </row>
    <row r="56" spans="1:81">
      <c r="A56" s="29" t="s">
        <v>57</v>
      </c>
      <c r="B56" s="27"/>
      <c r="C56" s="27">
        <v>0</v>
      </c>
      <c r="D56" s="27"/>
      <c r="E56" s="27"/>
      <c r="F56" s="27"/>
      <c r="G56" s="27"/>
      <c r="H56" s="27"/>
      <c r="I56" s="26">
        <f>SUM(B56:H56)</f>
        <v>0</v>
      </c>
      <c r="J56" s="6"/>
      <c r="K56" s="27"/>
      <c r="L56" s="27">
        <v>0.5</v>
      </c>
      <c r="M56" s="27"/>
      <c r="N56" s="27"/>
      <c r="O56" s="27"/>
      <c r="P56" s="27"/>
      <c r="Q56" s="27"/>
      <c r="R56" s="26">
        <f>SUM(K56:Q56)</f>
        <v>0.5</v>
      </c>
      <c r="T56" s="27"/>
      <c r="U56" s="27">
        <v>0.5</v>
      </c>
      <c r="V56" s="27"/>
      <c r="W56" s="27"/>
      <c r="X56" s="27"/>
      <c r="Y56" s="27"/>
      <c r="Z56" s="27"/>
      <c r="AA56" s="26">
        <f>SUM(T56:Z56)</f>
        <v>0.5</v>
      </c>
      <c r="AC56" s="27"/>
      <c r="AD56" s="27">
        <v>1</v>
      </c>
      <c r="AE56" s="27"/>
      <c r="AF56" s="27"/>
      <c r="AG56" s="27"/>
      <c r="AH56" s="27"/>
      <c r="AI56" s="27"/>
      <c r="AJ56" s="26">
        <f>SUM(AC56:AI56)</f>
        <v>1</v>
      </c>
      <c r="AL56" s="27"/>
      <c r="AM56" s="27">
        <v>1</v>
      </c>
      <c r="AN56" s="27"/>
      <c r="AO56" s="27"/>
      <c r="AP56" s="27"/>
      <c r="AQ56" s="27"/>
      <c r="AR56" s="27"/>
      <c r="AS56" s="26">
        <f>SUM(AL56:AR56)</f>
        <v>1</v>
      </c>
      <c r="AU56" s="27"/>
      <c r="AV56" s="27"/>
      <c r="AW56" s="27"/>
      <c r="AX56" s="27"/>
      <c r="AY56" s="27"/>
      <c r="AZ56" s="27"/>
      <c r="BA56" s="27"/>
      <c r="BB56" s="26">
        <f>SUM(AU56:BA56)</f>
        <v>0</v>
      </c>
      <c r="BD56" s="27"/>
      <c r="BE56" s="27"/>
      <c r="BF56" s="27"/>
      <c r="BG56" s="27"/>
      <c r="BH56" s="27"/>
      <c r="BI56" s="27"/>
      <c r="BJ56" s="27"/>
      <c r="BK56" s="26">
        <f>SUM(BD56:BJ56)</f>
        <v>0</v>
      </c>
      <c r="BM56" s="27"/>
      <c r="BN56" s="27">
        <v>0</v>
      </c>
      <c r="BO56" s="27"/>
      <c r="BP56" s="27"/>
      <c r="BQ56" s="27"/>
      <c r="BR56" s="27"/>
      <c r="BS56" s="27"/>
      <c r="BT56" s="26">
        <f>SUM(BM56:BS56)</f>
        <v>0</v>
      </c>
      <c r="BV56" s="26">
        <f t="shared" si="111"/>
        <v>0</v>
      </c>
      <c r="BW56" s="26">
        <f t="shared" si="111"/>
        <v>3</v>
      </c>
      <c r="BX56" s="26">
        <f t="shared" si="111"/>
        <v>0</v>
      </c>
      <c r="BY56" s="26">
        <f t="shared" si="111"/>
        <v>0</v>
      </c>
      <c r="BZ56" s="26">
        <f t="shared" si="111"/>
        <v>0</v>
      </c>
      <c r="CA56" s="26">
        <f t="shared" si="111"/>
        <v>0</v>
      </c>
      <c r="CB56" s="27"/>
      <c r="CC56" s="26">
        <f>SUM(BV56:CB56)</f>
        <v>3</v>
      </c>
    </row>
    <row r="57" spans="1:81">
      <c r="A57" s="29" t="s">
        <v>58</v>
      </c>
      <c r="B57" s="27"/>
      <c r="C57" s="27"/>
      <c r="D57" s="27"/>
      <c r="E57" s="27"/>
      <c r="F57" s="27"/>
      <c r="G57" s="27"/>
      <c r="H57" s="27"/>
      <c r="I57" s="26">
        <f t="shared" si="101"/>
        <v>0</v>
      </c>
      <c r="J57" s="6"/>
      <c r="K57" s="27"/>
      <c r="L57" s="27"/>
      <c r="M57" s="27"/>
      <c r="N57" s="27"/>
      <c r="O57" s="27"/>
      <c r="P57" s="27"/>
      <c r="Q57" s="27"/>
      <c r="R57" s="26">
        <f t="shared" si="102"/>
        <v>0</v>
      </c>
      <c r="T57" s="27"/>
      <c r="U57" s="27">
        <v>0.33</v>
      </c>
      <c r="V57" s="27"/>
      <c r="W57" s="27"/>
      <c r="X57" s="27"/>
      <c r="Y57" s="27"/>
      <c r="Z57" s="27"/>
      <c r="AA57" s="26">
        <f t="shared" si="103"/>
        <v>0.33</v>
      </c>
      <c r="AC57" s="27"/>
      <c r="AD57" s="27"/>
      <c r="AE57" s="27"/>
      <c r="AF57" s="27"/>
      <c r="AG57" s="27"/>
      <c r="AH57" s="27"/>
      <c r="AI57" s="27"/>
      <c r="AJ57" s="26">
        <f t="shared" si="104"/>
        <v>0</v>
      </c>
      <c r="AL57" s="27"/>
      <c r="AM57" s="27">
        <v>0.5</v>
      </c>
      <c r="AN57" s="27"/>
      <c r="AO57" s="27"/>
      <c r="AP57" s="27"/>
      <c r="AQ57" s="27"/>
      <c r="AR57" s="27"/>
      <c r="AS57" s="26">
        <f t="shared" si="105"/>
        <v>0.5</v>
      </c>
      <c r="AU57" s="27"/>
      <c r="AV57" s="27"/>
      <c r="AW57" s="27"/>
      <c r="AX57" s="27"/>
      <c r="AY57" s="27"/>
      <c r="AZ57" s="27"/>
      <c r="BA57" s="27"/>
      <c r="BB57" s="26">
        <f t="shared" si="106"/>
        <v>0</v>
      </c>
      <c r="BD57" s="27"/>
      <c r="BE57" s="27"/>
      <c r="BF57" s="27"/>
      <c r="BG57" s="27"/>
      <c r="BH57" s="27"/>
      <c r="BI57" s="27"/>
      <c r="BJ57" s="27"/>
      <c r="BK57" s="26">
        <f t="shared" si="107"/>
        <v>0</v>
      </c>
      <c r="BM57" s="27"/>
      <c r="BN57" s="27"/>
      <c r="BO57" s="27"/>
      <c r="BP57" s="27"/>
      <c r="BQ57" s="27"/>
      <c r="BR57" s="27"/>
      <c r="BS57" s="27"/>
      <c r="BT57" s="26">
        <f t="shared" si="108"/>
        <v>0</v>
      </c>
      <c r="BV57" s="26">
        <f t="shared" si="111"/>
        <v>0</v>
      </c>
      <c r="BW57" s="26">
        <f t="shared" si="111"/>
        <v>0.83000000000000007</v>
      </c>
      <c r="BX57" s="26">
        <f t="shared" si="111"/>
        <v>0</v>
      </c>
      <c r="BY57" s="26">
        <f t="shared" si="111"/>
        <v>0</v>
      </c>
      <c r="BZ57" s="26">
        <f t="shared" si="111"/>
        <v>0</v>
      </c>
      <c r="CA57" s="26">
        <f t="shared" si="111"/>
        <v>0</v>
      </c>
      <c r="CB57" s="27"/>
      <c r="CC57" s="26">
        <f t="shared" ref="CC57" si="116">SUM(BV57:CB57)</f>
        <v>0.83000000000000007</v>
      </c>
    </row>
    <row r="58" spans="1:81">
      <c r="A58" s="29" t="s">
        <v>59</v>
      </c>
      <c r="B58" s="27">
        <v>0</v>
      </c>
      <c r="C58" s="27"/>
      <c r="D58" s="27"/>
      <c r="E58" s="27"/>
      <c r="F58" s="27"/>
      <c r="G58" s="27"/>
      <c r="H58" s="27"/>
      <c r="I58" s="26">
        <f>SUM(B58:H58)</f>
        <v>0</v>
      </c>
      <c r="J58" s="6"/>
      <c r="K58" s="27">
        <v>0</v>
      </c>
      <c r="L58" s="27">
        <v>0.5</v>
      </c>
      <c r="M58" s="27"/>
      <c r="N58" s="27"/>
      <c r="O58" s="27"/>
      <c r="P58" s="27"/>
      <c r="Q58" s="27"/>
      <c r="R58" s="26">
        <f>SUM(K58:Q58)</f>
        <v>0.5</v>
      </c>
      <c r="T58" s="27">
        <v>0</v>
      </c>
      <c r="U58" s="27">
        <v>0.5</v>
      </c>
      <c r="V58" s="27"/>
      <c r="W58" s="27"/>
      <c r="X58" s="27"/>
      <c r="Y58" s="27"/>
      <c r="Z58" s="27"/>
      <c r="AA58" s="26">
        <f>SUM(T58:Z58)</f>
        <v>0.5</v>
      </c>
      <c r="AC58" s="27">
        <v>0</v>
      </c>
      <c r="AD58" s="27">
        <v>1</v>
      </c>
      <c r="AE58" s="27"/>
      <c r="AF58" s="27"/>
      <c r="AG58" s="27"/>
      <c r="AH58" s="27"/>
      <c r="AI58" s="27"/>
      <c r="AJ58" s="26">
        <f>SUM(AC58:AI58)</f>
        <v>1</v>
      </c>
      <c r="AL58" s="27">
        <v>0</v>
      </c>
      <c r="AM58" s="27">
        <v>1</v>
      </c>
      <c r="AN58" s="27"/>
      <c r="AO58" s="27"/>
      <c r="AP58" s="27"/>
      <c r="AQ58" s="27"/>
      <c r="AR58" s="27"/>
      <c r="AS58" s="26">
        <f>SUM(AL58:AR58)</f>
        <v>1</v>
      </c>
      <c r="AU58" s="27"/>
      <c r="AV58" s="27"/>
      <c r="AW58" s="27"/>
      <c r="AX58" s="27"/>
      <c r="AY58" s="27"/>
      <c r="AZ58" s="27"/>
      <c r="BA58" s="27"/>
      <c r="BB58" s="26">
        <f>SUM(AU58:BA58)</f>
        <v>0</v>
      </c>
      <c r="BD58" s="27"/>
      <c r="BE58" s="27"/>
      <c r="BF58" s="27"/>
      <c r="BG58" s="27"/>
      <c r="BH58" s="27"/>
      <c r="BI58" s="27"/>
      <c r="BJ58" s="27"/>
      <c r="BK58" s="26">
        <f>SUM(BD58:BJ58)</f>
        <v>0</v>
      </c>
      <c r="BM58" s="27">
        <v>0</v>
      </c>
      <c r="BN58" s="27"/>
      <c r="BO58" s="27"/>
      <c r="BP58" s="27"/>
      <c r="BQ58" s="27"/>
      <c r="BR58" s="27"/>
      <c r="BS58" s="27"/>
      <c r="BT58" s="26">
        <f>SUM(BM58:BS58)</f>
        <v>0</v>
      </c>
      <c r="BV58" s="26">
        <f t="shared" si="111"/>
        <v>0</v>
      </c>
      <c r="BW58" s="26">
        <f t="shared" si="111"/>
        <v>3</v>
      </c>
      <c r="BX58" s="26">
        <f t="shared" si="111"/>
        <v>0</v>
      </c>
      <c r="BY58" s="26">
        <f t="shared" si="111"/>
        <v>0</v>
      </c>
      <c r="BZ58" s="26">
        <f t="shared" si="111"/>
        <v>0</v>
      </c>
      <c r="CA58" s="26">
        <f t="shared" si="111"/>
        <v>0</v>
      </c>
      <c r="CB58" s="27"/>
      <c r="CC58" s="26">
        <f>SUM(BV58:CB58)</f>
        <v>3</v>
      </c>
    </row>
    <row r="59" spans="1:81">
      <c r="A59" s="29" t="s">
        <v>60</v>
      </c>
      <c r="B59" s="27">
        <v>1</v>
      </c>
      <c r="C59" s="27"/>
      <c r="D59" s="27"/>
      <c r="E59" s="27"/>
      <c r="F59" s="27"/>
      <c r="G59" s="27"/>
      <c r="H59" s="27"/>
      <c r="I59" s="26">
        <f t="shared" si="101"/>
        <v>1</v>
      </c>
      <c r="J59" s="6"/>
      <c r="K59" s="27">
        <v>1</v>
      </c>
      <c r="L59" s="27"/>
      <c r="M59" s="27"/>
      <c r="N59" s="27"/>
      <c r="O59" s="27"/>
      <c r="P59" s="27"/>
      <c r="Q59" s="27"/>
      <c r="R59" s="26">
        <f t="shared" si="102"/>
        <v>1</v>
      </c>
      <c r="T59" s="27">
        <v>2</v>
      </c>
      <c r="U59" s="27"/>
      <c r="V59" s="27"/>
      <c r="W59" s="27"/>
      <c r="X59" s="27"/>
      <c r="Y59" s="27"/>
      <c r="Z59" s="27"/>
      <c r="AA59" s="26">
        <f t="shared" si="103"/>
        <v>2</v>
      </c>
      <c r="AC59" s="27">
        <v>3</v>
      </c>
      <c r="AD59" s="27"/>
      <c r="AE59" s="27"/>
      <c r="AF59" s="27"/>
      <c r="AG59" s="27"/>
      <c r="AH59" s="27"/>
      <c r="AI59" s="27"/>
      <c r="AJ59" s="26">
        <f t="shared" si="104"/>
        <v>3</v>
      </c>
      <c r="AL59" s="27">
        <v>4</v>
      </c>
      <c r="AM59" s="27"/>
      <c r="AN59" s="27"/>
      <c r="AO59" s="27"/>
      <c r="AP59" s="27"/>
      <c r="AQ59" s="27"/>
      <c r="AR59" s="27"/>
      <c r="AS59" s="26">
        <f t="shared" si="105"/>
        <v>4</v>
      </c>
      <c r="AU59" s="27"/>
      <c r="AV59" s="27"/>
      <c r="AW59" s="27"/>
      <c r="AX59" s="27"/>
      <c r="AY59" s="27"/>
      <c r="AZ59" s="27"/>
      <c r="BA59" s="27"/>
      <c r="BB59" s="26">
        <f t="shared" si="106"/>
        <v>0</v>
      </c>
      <c r="BD59" s="27"/>
      <c r="BE59" s="27"/>
      <c r="BF59" s="27"/>
      <c r="BG59" s="27"/>
      <c r="BH59" s="27"/>
      <c r="BI59" s="27"/>
      <c r="BJ59" s="27"/>
      <c r="BK59" s="26">
        <f t="shared" si="107"/>
        <v>0</v>
      </c>
      <c r="BM59" s="27">
        <v>0</v>
      </c>
      <c r="BN59" s="27"/>
      <c r="BO59" s="27"/>
      <c r="BP59" s="27"/>
      <c r="BQ59" s="27"/>
      <c r="BR59" s="27"/>
      <c r="BS59" s="27"/>
      <c r="BT59" s="26">
        <f t="shared" si="108"/>
        <v>0</v>
      </c>
      <c r="BV59" s="26">
        <f t="shared" si="111"/>
        <v>11</v>
      </c>
      <c r="BW59" s="26">
        <f t="shared" si="111"/>
        <v>0</v>
      </c>
      <c r="BX59" s="26">
        <f t="shared" si="111"/>
        <v>0</v>
      </c>
      <c r="BY59" s="26">
        <f t="shared" si="111"/>
        <v>0</v>
      </c>
      <c r="BZ59" s="26">
        <f t="shared" si="111"/>
        <v>0</v>
      </c>
      <c r="CA59" s="26">
        <f t="shared" si="111"/>
        <v>0</v>
      </c>
      <c r="CB59" s="27"/>
      <c r="CC59" s="26">
        <f t="shared" ref="CC59:CC60" si="117">SUM(BV59:CB59)</f>
        <v>11</v>
      </c>
    </row>
    <row r="60" spans="1:81">
      <c r="A60" s="25" t="s">
        <v>61</v>
      </c>
      <c r="B60" s="26"/>
      <c r="C60" s="26"/>
      <c r="D60" s="26"/>
      <c r="E60" s="26"/>
      <c r="F60" s="26"/>
      <c r="G60" s="26"/>
      <c r="H60" s="26"/>
      <c r="I60" s="26">
        <f t="shared" si="101"/>
        <v>0</v>
      </c>
      <c r="J60" s="6"/>
      <c r="K60" s="26"/>
      <c r="L60" s="26"/>
      <c r="M60" s="26"/>
      <c r="N60" s="26"/>
      <c r="O60" s="26"/>
      <c r="P60" s="26"/>
      <c r="Q60" s="26"/>
      <c r="R60" s="26">
        <f t="shared" si="102"/>
        <v>0</v>
      </c>
      <c r="T60" s="26">
        <v>1</v>
      </c>
      <c r="U60" s="26"/>
      <c r="V60" s="26"/>
      <c r="W60" s="26"/>
      <c r="X60" s="26"/>
      <c r="Y60" s="26"/>
      <c r="Z60" s="26"/>
      <c r="AA60" s="26">
        <f t="shared" si="103"/>
        <v>1</v>
      </c>
      <c r="AC60" s="26">
        <v>1</v>
      </c>
      <c r="AD60" s="26"/>
      <c r="AE60" s="26"/>
      <c r="AF60" s="26"/>
      <c r="AG60" s="26"/>
      <c r="AH60" s="26"/>
      <c r="AI60" s="26"/>
      <c r="AJ60" s="26">
        <f t="shared" si="104"/>
        <v>1</v>
      </c>
      <c r="AL60" s="26">
        <v>2</v>
      </c>
      <c r="AM60" s="26"/>
      <c r="AN60" s="26"/>
      <c r="AO60" s="26"/>
      <c r="AP60" s="26"/>
      <c r="AQ60" s="26"/>
      <c r="AR60" s="26"/>
      <c r="AS60" s="26">
        <f t="shared" si="105"/>
        <v>2</v>
      </c>
      <c r="AU60" s="26"/>
      <c r="AV60" s="26"/>
      <c r="AW60" s="26"/>
      <c r="AX60" s="26"/>
      <c r="AY60" s="26"/>
      <c r="AZ60" s="26"/>
      <c r="BA60" s="26"/>
      <c r="BB60" s="26">
        <f t="shared" si="106"/>
        <v>0</v>
      </c>
      <c r="BD60" s="26"/>
      <c r="BE60" s="26"/>
      <c r="BF60" s="26"/>
      <c r="BG60" s="26"/>
      <c r="BH60" s="26"/>
      <c r="BI60" s="26"/>
      <c r="BJ60" s="26"/>
      <c r="BK60" s="26">
        <f t="shared" si="107"/>
        <v>0</v>
      </c>
      <c r="BM60" s="26"/>
      <c r="BN60" s="26"/>
      <c r="BO60" s="26"/>
      <c r="BP60" s="26"/>
      <c r="BQ60" s="26"/>
      <c r="BR60" s="26"/>
      <c r="BS60" s="26"/>
      <c r="BT60" s="26">
        <f t="shared" si="108"/>
        <v>0</v>
      </c>
      <c r="BV60" s="26">
        <f t="shared" si="111"/>
        <v>4</v>
      </c>
      <c r="BW60" s="26">
        <f t="shared" si="111"/>
        <v>0</v>
      </c>
      <c r="BX60" s="26">
        <f t="shared" si="111"/>
        <v>0</v>
      </c>
      <c r="BY60" s="26">
        <f t="shared" si="111"/>
        <v>0</v>
      </c>
      <c r="BZ60" s="26">
        <f t="shared" si="111"/>
        <v>0</v>
      </c>
      <c r="CA60" s="26">
        <f t="shared" si="111"/>
        <v>0</v>
      </c>
      <c r="CB60" s="26"/>
      <c r="CC60" s="26">
        <f t="shared" si="117"/>
        <v>4</v>
      </c>
    </row>
    <row r="61" spans="1:81" ht="15">
      <c r="A61" s="24" t="s">
        <v>62</v>
      </c>
      <c r="B61" s="33">
        <f t="shared" ref="B61:I61" si="118">SUM(B39:B60)</f>
        <v>18</v>
      </c>
      <c r="C61" s="33">
        <f t="shared" si="118"/>
        <v>5</v>
      </c>
      <c r="D61" s="33">
        <f t="shared" si="118"/>
        <v>2</v>
      </c>
      <c r="E61" s="33">
        <f t="shared" si="118"/>
        <v>0</v>
      </c>
      <c r="F61" s="33">
        <f t="shared" si="118"/>
        <v>0</v>
      </c>
      <c r="G61" s="33">
        <f t="shared" si="118"/>
        <v>0</v>
      </c>
      <c r="H61" s="33">
        <f t="shared" si="118"/>
        <v>0</v>
      </c>
      <c r="I61" s="33">
        <f t="shared" si="118"/>
        <v>25</v>
      </c>
      <c r="J61" s="7"/>
      <c r="K61" s="33">
        <f t="shared" ref="K61:R61" si="119">SUM(K39:K60)</f>
        <v>22</v>
      </c>
      <c r="L61" s="33">
        <f t="shared" si="119"/>
        <v>6</v>
      </c>
      <c r="M61" s="33">
        <f t="shared" si="119"/>
        <v>2</v>
      </c>
      <c r="N61" s="33">
        <f t="shared" si="119"/>
        <v>0</v>
      </c>
      <c r="O61" s="33">
        <f t="shared" si="119"/>
        <v>0</v>
      </c>
      <c r="P61" s="33">
        <f t="shared" si="119"/>
        <v>0</v>
      </c>
      <c r="Q61" s="33">
        <f t="shared" si="119"/>
        <v>0</v>
      </c>
      <c r="R61" s="33">
        <f t="shared" si="119"/>
        <v>30</v>
      </c>
      <c r="T61" s="33">
        <f t="shared" ref="T61:AA61" si="120">SUM(T39:T60)</f>
        <v>22</v>
      </c>
      <c r="U61" s="33">
        <f t="shared" si="120"/>
        <v>8.33</v>
      </c>
      <c r="V61" s="33">
        <f t="shared" si="120"/>
        <v>2</v>
      </c>
      <c r="W61" s="33">
        <f t="shared" si="120"/>
        <v>0</v>
      </c>
      <c r="X61" s="33">
        <f t="shared" si="120"/>
        <v>0</v>
      </c>
      <c r="Y61" s="33">
        <f t="shared" si="120"/>
        <v>0</v>
      </c>
      <c r="Z61" s="33">
        <f t="shared" si="120"/>
        <v>0</v>
      </c>
      <c r="AA61" s="33">
        <f t="shared" si="120"/>
        <v>32.33</v>
      </c>
      <c r="AC61" s="33">
        <f t="shared" ref="AC61:AJ61" si="121">SUM(AC39:AC60)</f>
        <v>49</v>
      </c>
      <c r="AD61" s="33">
        <f t="shared" si="121"/>
        <v>17</v>
      </c>
      <c r="AE61" s="33">
        <f t="shared" si="121"/>
        <v>6</v>
      </c>
      <c r="AF61" s="33">
        <f t="shared" si="121"/>
        <v>0</v>
      </c>
      <c r="AG61" s="33">
        <f t="shared" si="121"/>
        <v>0</v>
      </c>
      <c r="AH61" s="33">
        <f t="shared" si="121"/>
        <v>0</v>
      </c>
      <c r="AI61" s="33">
        <f t="shared" si="121"/>
        <v>0</v>
      </c>
      <c r="AJ61" s="33">
        <f t="shared" si="121"/>
        <v>72</v>
      </c>
      <c r="AL61" s="33">
        <f t="shared" ref="AL61:AS61" si="122">SUM(AL39:AL60)</f>
        <v>42</v>
      </c>
      <c r="AM61" s="33">
        <f t="shared" si="122"/>
        <v>14.5</v>
      </c>
      <c r="AN61" s="33">
        <f t="shared" si="122"/>
        <v>4</v>
      </c>
      <c r="AO61" s="33">
        <f t="shared" si="122"/>
        <v>0</v>
      </c>
      <c r="AP61" s="33">
        <f t="shared" si="122"/>
        <v>0</v>
      </c>
      <c r="AQ61" s="33">
        <f t="shared" si="122"/>
        <v>0</v>
      </c>
      <c r="AR61" s="33">
        <f t="shared" si="122"/>
        <v>0</v>
      </c>
      <c r="AS61" s="33">
        <f t="shared" si="122"/>
        <v>60.5</v>
      </c>
      <c r="AU61" s="33">
        <f t="shared" ref="AU61:BB61" si="123">SUM(AU39:AU60)</f>
        <v>3</v>
      </c>
      <c r="AV61" s="33">
        <f t="shared" si="123"/>
        <v>1</v>
      </c>
      <c r="AW61" s="33">
        <f t="shared" si="123"/>
        <v>0</v>
      </c>
      <c r="AX61" s="33">
        <f t="shared" si="123"/>
        <v>0</v>
      </c>
      <c r="AY61" s="33">
        <f t="shared" si="123"/>
        <v>0</v>
      </c>
      <c r="AZ61" s="33">
        <f t="shared" si="123"/>
        <v>0</v>
      </c>
      <c r="BA61" s="33">
        <f t="shared" si="123"/>
        <v>0</v>
      </c>
      <c r="BB61" s="33">
        <f t="shared" si="123"/>
        <v>4</v>
      </c>
      <c r="BD61" s="33">
        <f t="shared" ref="BD61:BK61" si="124">SUM(BD39:BD60)</f>
        <v>9</v>
      </c>
      <c r="BE61" s="33">
        <f t="shared" si="124"/>
        <v>2</v>
      </c>
      <c r="BF61" s="33">
        <f t="shared" si="124"/>
        <v>1</v>
      </c>
      <c r="BG61" s="33">
        <f t="shared" si="124"/>
        <v>0</v>
      </c>
      <c r="BH61" s="33">
        <f t="shared" si="124"/>
        <v>0</v>
      </c>
      <c r="BI61" s="33">
        <f t="shared" si="124"/>
        <v>0</v>
      </c>
      <c r="BJ61" s="33">
        <f t="shared" si="124"/>
        <v>0</v>
      </c>
      <c r="BK61" s="33">
        <f t="shared" si="124"/>
        <v>12</v>
      </c>
      <c r="BM61" s="33">
        <f t="shared" ref="BM61:BT61" si="125">SUM(BM39:BM60)</f>
        <v>2.5</v>
      </c>
      <c r="BN61" s="33">
        <f t="shared" si="125"/>
        <v>0</v>
      </c>
      <c r="BO61" s="33">
        <f t="shared" si="125"/>
        <v>0.5</v>
      </c>
      <c r="BP61" s="33">
        <f t="shared" si="125"/>
        <v>0</v>
      </c>
      <c r="BQ61" s="33">
        <f t="shared" si="125"/>
        <v>0</v>
      </c>
      <c r="BR61" s="33">
        <f t="shared" si="125"/>
        <v>0</v>
      </c>
      <c r="BS61" s="33">
        <f t="shared" si="125"/>
        <v>0</v>
      </c>
      <c r="BT61" s="33">
        <f t="shared" si="125"/>
        <v>3</v>
      </c>
      <c r="BV61" s="33">
        <f t="shared" ref="BV61:CC61" si="126">SUM(BV39:BV60)</f>
        <v>167.5</v>
      </c>
      <c r="BW61" s="33">
        <f t="shared" si="126"/>
        <v>53.83</v>
      </c>
      <c r="BX61" s="33">
        <f t="shared" si="126"/>
        <v>17.5</v>
      </c>
      <c r="BY61" s="33">
        <f t="shared" si="126"/>
        <v>0</v>
      </c>
      <c r="BZ61" s="33">
        <f t="shared" si="126"/>
        <v>0</v>
      </c>
      <c r="CA61" s="33">
        <f t="shared" si="126"/>
        <v>0</v>
      </c>
      <c r="CB61" s="33">
        <f t="shared" si="126"/>
        <v>0</v>
      </c>
      <c r="CC61" s="33">
        <f t="shared" si="126"/>
        <v>238.83</v>
      </c>
    </row>
    <row r="62" spans="1:81" ht="15.75" thickBot="1">
      <c r="A62" s="34"/>
      <c r="B62" s="35"/>
      <c r="C62" s="35"/>
      <c r="D62" s="35"/>
      <c r="E62" s="35"/>
      <c r="F62" s="35"/>
      <c r="G62" s="35"/>
      <c r="H62" s="35"/>
      <c r="I62" s="35"/>
      <c r="J62" s="7"/>
      <c r="K62" s="35"/>
      <c r="L62" s="35"/>
      <c r="M62" s="35"/>
      <c r="N62" s="35"/>
      <c r="O62" s="35"/>
      <c r="P62" s="35"/>
      <c r="Q62" s="35"/>
      <c r="R62" s="35"/>
      <c r="T62" s="35"/>
      <c r="U62" s="35"/>
      <c r="V62" s="35"/>
      <c r="W62" s="35"/>
      <c r="X62" s="35"/>
      <c r="Y62" s="35"/>
      <c r="Z62" s="35"/>
      <c r="AA62" s="35"/>
      <c r="AC62" s="35"/>
      <c r="AD62" s="35"/>
      <c r="AE62" s="35"/>
      <c r="AF62" s="35"/>
      <c r="AG62" s="35"/>
      <c r="AH62" s="35"/>
      <c r="AI62" s="35"/>
      <c r="AJ62" s="35"/>
      <c r="AL62" s="35"/>
      <c r="AM62" s="35"/>
      <c r="AN62" s="35"/>
      <c r="AO62" s="35"/>
      <c r="AP62" s="35"/>
      <c r="AQ62" s="35"/>
      <c r="AR62" s="35"/>
      <c r="AS62" s="35"/>
      <c r="AU62" s="35"/>
      <c r="AV62" s="35"/>
      <c r="AW62" s="35"/>
      <c r="AX62" s="35"/>
      <c r="AY62" s="35"/>
      <c r="AZ62" s="35"/>
      <c r="BA62" s="35"/>
      <c r="BB62" s="35"/>
      <c r="BD62" s="35"/>
      <c r="BE62" s="35"/>
      <c r="BF62" s="35"/>
      <c r="BG62" s="35"/>
      <c r="BH62" s="35"/>
      <c r="BI62" s="35"/>
      <c r="BJ62" s="35"/>
      <c r="BK62" s="35"/>
      <c r="BM62" s="35"/>
      <c r="BN62" s="35"/>
      <c r="BO62" s="35"/>
      <c r="BP62" s="35"/>
      <c r="BQ62" s="35"/>
      <c r="BR62" s="35"/>
      <c r="BS62" s="35"/>
      <c r="BT62" s="35"/>
      <c r="BV62" s="35"/>
      <c r="BW62" s="35"/>
      <c r="BX62" s="35"/>
      <c r="BY62" s="35"/>
      <c r="BZ62" s="35"/>
      <c r="CA62" s="35"/>
      <c r="CB62" s="35"/>
      <c r="CC62" s="35"/>
    </row>
    <row r="63" spans="1:81" ht="15">
      <c r="A63" s="36" t="s">
        <v>63</v>
      </c>
      <c r="B63" s="37">
        <f t="shared" ref="B63:I63" si="127">B36</f>
        <v>42.5</v>
      </c>
      <c r="C63" s="37">
        <f t="shared" si="127"/>
        <v>5</v>
      </c>
      <c r="D63" s="37">
        <f t="shared" si="127"/>
        <v>0</v>
      </c>
      <c r="E63" s="37">
        <f t="shared" si="127"/>
        <v>0</v>
      </c>
      <c r="F63" s="37">
        <f t="shared" si="127"/>
        <v>0</v>
      </c>
      <c r="G63" s="37">
        <f t="shared" si="127"/>
        <v>0</v>
      </c>
      <c r="H63" s="37">
        <f t="shared" si="127"/>
        <v>0</v>
      </c>
      <c r="I63" s="37">
        <f t="shared" si="127"/>
        <v>47.5</v>
      </c>
      <c r="J63" s="7"/>
      <c r="K63" s="37">
        <f t="shared" ref="K63:R63" si="128">K36</f>
        <v>44</v>
      </c>
      <c r="L63" s="37">
        <f t="shared" si="128"/>
        <v>4</v>
      </c>
      <c r="M63" s="37">
        <f t="shared" si="128"/>
        <v>0</v>
      </c>
      <c r="N63" s="37">
        <f t="shared" si="128"/>
        <v>0</v>
      </c>
      <c r="O63" s="37">
        <f t="shared" si="128"/>
        <v>0</v>
      </c>
      <c r="P63" s="37">
        <f t="shared" si="128"/>
        <v>0</v>
      </c>
      <c r="Q63" s="37">
        <f t="shared" si="128"/>
        <v>0</v>
      </c>
      <c r="R63" s="37">
        <f t="shared" si="128"/>
        <v>48</v>
      </c>
      <c r="T63" s="37">
        <f t="shared" ref="T63:AA63" si="129">T36</f>
        <v>56</v>
      </c>
      <c r="U63" s="37">
        <f t="shared" si="129"/>
        <v>5</v>
      </c>
      <c r="V63" s="37">
        <f t="shared" si="129"/>
        <v>0</v>
      </c>
      <c r="W63" s="37">
        <f t="shared" si="129"/>
        <v>0</v>
      </c>
      <c r="X63" s="37">
        <f t="shared" si="129"/>
        <v>0</v>
      </c>
      <c r="Y63" s="37">
        <f t="shared" si="129"/>
        <v>0</v>
      </c>
      <c r="Z63" s="37">
        <f t="shared" si="129"/>
        <v>0</v>
      </c>
      <c r="AA63" s="37">
        <f t="shared" si="129"/>
        <v>61</v>
      </c>
      <c r="AC63" s="37">
        <f t="shared" ref="AC63:AJ63" si="130">AC36</f>
        <v>102</v>
      </c>
      <c r="AD63" s="37">
        <f t="shared" si="130"/>
        <v>13</v>
      </c>
      <c r="AE63" s="37">
        <f t="shared" si="130"/>
        <v>0</v>
      </c>
      <c r="AF63" s="37">
        <f t="shared" si="130"/>
        <v>0</v>
      </c>
      <c r="AG63" s="37">
        <f t="shared" si="130"/>
        <v>0</v>
      </c>
      <c r="AH63" s="37">
        <f t="shared" si="130"/>
        <v>0</v>
      </c>
      <c r="AI63" s="37">
        <f t="shared" si="130"/>
        <v>0</v>
      </c>
      <c r="AJ63" s="37">
        <f t="shared" si="130"/>
        <v>115</v>
      </c>
      <c r="AL63" s="37">
        <f t="shared" ref="AL63:AS63" si="131">AL36</f>
        <v>98</v>
      </c>
      <c r="AM63" s="37">
        <f t="shared" si="131"/>
        <v>12</v>
      </c>
      <c r="AN63" s="37">
        <f t="shared" si="131"/>
        <v>0</v>
      </c>
      <c r="AO63" s="37">
        <f t="shared" si="131"/>
        <v>0</v>
      </c>
      <c r="AP63" s="37">
        <f t="shared" si="131"/>
        <v>0</v>
      </c>
      <c r="AQ63" s="37">
        <f t="shared" si="131"/>
        <v>0</v>
      </c>
      <c r="AR63" s="37">
        <f t="shared" si="131"/>
        <v>0</v>
      </c>
      <c r="AS63" s="37">
        <f t="shared" si="131"/>
        <v>110</v>
      </c>
      <c r="AU63" s="37">
        <f t="shared" ref="AU63:BB63" si="132">AU36</f>
        <v>0</v>
      </c>
      <c r="AV63" s="37">
        <f t="shared" si="132"/>
        <v>1</v>
      </c>
      <c r="AW63" s="37">
        <f t="shared" si="132"/>
        <v>0</v>
      </c>
      <c r="AX63" s="37">
        <f t="shared" si="132"/>
        <v>0</v>
      </c>
      <c r="AY63" s="37">
        <f t="shared" si="132"/>
        <v>0</v>
      </c>
      <c r="AZ63" s="37">
        <f t="shared" si="132"/>
        <v>0</v>
      </c>
      <c r="BA63" s="37">
        <f t="shared" si="132"/>
        <v>0</v>
      </c>
      <c r="BB63" s="37">
        <f t="shared" si="132"/>
        <v>1</v>
      </c>
      <c r="BD63" s="37">
        <f t="shared" ref="BD63:BK63" si="133">BD36</f>
        <v>26</v>
      </c>
      <c r="BE63" s="37">
        <f t="shared" si="133"/>
        <v>2</v>
      </c>
      <c r="BF63" s="37">
        <f t="shared" si="133"/>
        <v>0</v>
      </c>
      <c r="BG63" s="37">
        <f t="shared" si="133"/>
        <v>0</v>
      </c>
      <c r="BH63" s="37">
        <f t="shared" si="133"/>
        <v>0</v>
      </c>
      <c r="BI63" s="37">
        <f t="shared" si="133"/>
        <v>0</v>
      </c>
      <c r="BJ63" s="37">
        <f t="shared" si="133"/>
        <v>0</v>
      </c>
      <c r="BK63" s="37">
        <f t="shared" si="133"/>
        <v>28</v>
      </c>
      <c r="BM63" s="37">
        <f t="shared" ref="BM63:BT63" si="134">BM36</f>
        <v>1</v>
      </c>
      <c r="BN63" s="37">
        <f t="shared" si="134"/>
        <v>0</v>
      </c>
      <c r="BO63" s="37">
        <f t="shared" si="134"/>
        <v>0</v>
      </c>
      <c r="BP63" s="37">
        <f t="shared" si="134"/>
        <v>0</v>
      </c>
      <c r="BQ63" s="37">
        <f t="shared" si="134"/>
        <v>0</v>
      </c>
      <c r="BR63" s="37">
        <f t="shared" si="134"/>
        <v>0</v>
      </c>
      <c r="BS63" s="37">
        <f t="shared" si="134"/>
        <v>0</v>
      </c>
      <c r="BT63" s="37">
        <f t="shared" si="134"/>
        <v>1</v>
      </c>
      <c r="BV63" s="37">
        <f t="shared" ref="BV63:CC63" si="135">BV36</f>
        <v>369.5</v>
      </c>
      <c r="BW63" s="37">
        <f t="shared" si="135"/>
        <v>42</v>
      </c>
      <c r="BX63" s="37">
        <f t="shared" si="135"/>
        <v>0</v>
      </c>
      <c r="BY63" s="37">
        <f t="shared" si="135"/>
        <v>0</v>
      </c>
      <c r="BZ63" s="37">
        <f t="shared" si="135"/>
        <v>0</v>
      </c>
      <c r="CA63" s="37">
        <f t="shared" si="135"/>
        <v>0</v>
      </c>
      <c r="CB63" s="37">
        <f t="shared" si="135"/>
        <v>0</v>
      </c>
      <c r="CC63" s="37">
        <f t="shared" si="135"/>
        <v>411.5</v>
      </c>
    </row>
    <row r="64" spans="1:81" ht="15">
      <c r="A64" s="38" t="s">
        <v>64</v>
      </c>
      <c r="B64" s="39">
        <f>B61</f>
        <v>18</v>
      </c>
      <c r="C64" s="39">
        <f t="shared" ref="C64:I64" si="136">C61</f>
        <v>5</v>
      </c>
      <c r="D64" s="39">
        <f t="shared" si="136"/>
        <v>2</v>
      </c>
      <c r="E64" s="39">
        <f t="shared" si="136"/>
        <v>0</v>
      </c>
      <c r="F64" s="39">
        <f t="shared" si="136"/>
        <v>0</v>
      </c>
      <c r="G64" s="39">
        <f t="shared" si="136"/>
        <v>0</v>
      </c>
      <c r="H64" s="39">
        <f t="shared" si="136"/>
        <v>0</v>
      </c>
      <c r="I64" s="39">
        <f t="shared" si="136"/>
        <v>25</v>
      </c>
      <c r="J64" s="7"/>
      <c r="K64" s="39">
        <f>K61</f>
        <v>22</v>
      </c>
      <c r="L64" s="39">
        <f t="shared" ref="L64:R64" si="137">L61</f>
        <v>6</v>
      </c>
      <c r="M64" s="39">
        <f t="shared" si="137"/>
        <v>2</v>
      </c>
      <c r="N64" s="39">
        <f t="shared" si="137"/>
        <v>0</v>
      </c>
      <c r="O64" s="39">
        <f t="shared" si="137"/>
        <v>0</v>
      </c>
      <c r="P64" s="39">
        <f t="shared" si="137"/>
        <v>0</v>
      </c>
      <c r="Q64" s="39">
        <f t="shared" si="137"/>
        <v>0</v>
      </c>
      <c r="R64" s="39">
        <f t="shared" si="137"/>
        <v>30</v>
      </c>
      <c r="T64" s="39">
        <f>T61</f>
        <v>22</v>
      </c>
      <c r="U64" s="39">
        <f t="shared" ref="U64:AA64" si="138">U61</f>
        <v>8.33</v>
      </c>
      <c r="V64" s="39">
        <f t="shared" si="138"/>
        <v>2</v>
      </c>
      <c r="W64" s="39">
        <f t="shared" si="138"/>
        <v>0</v>
      </c>
      <c r="X64" s="39">
        <f t="shared" si="138"/>
        <v>0</v>
      </c>
      <c r="Y64" s="39">
        <f t="shared" si="138"/>
        <v>0</v>
      </c>
      <c r="Z64" s="39">
        <f t="shared" si="138"/>
        <v>0</v>
      </c>
      <c r="AA64" s="39">
        <f t="shared" si="138"/>
        <v>32.33</v>
      </c>
      <c r="AC64" s="39">
        <f>AC61</f>
        <v>49</v>
      </c>
      <c r="AD64" s="39">
        <f t="shared" ref="AD64:AJ64" si="139">AD61</f>
        <v>17</v>
      </c>
      <c r="AE64" s="39">
        <f t="shared" si="139"/>
        <v>6</v>
      </c>
      <c r="AF64" s="39">
        <f t="shared" si="139"/>
        <v>0</v>
      </c>
      <c r="AG64" s="39">
        <f t="shared" si="139"/>
        <v>0</v>
      </c>
      <c r="AH64" s="39">
        <f t="shared" si="139"/>
        <v>0</v>
      </c>
      <c r="AI64" s="39">
        <f t="shared" si="139"/>
        <v>0</v>
      </c>
      <c r="AJ64" s="39">
        <f t="shared" si="139"/>
        <v>72</v>
      </c>
      <c r="AL64" s="39">
        <f>AL61</f>
        <v>42</v>
      </c>
      <c r="AM64" s="39">
        <f t="shared" ref="AM64:AS64" si="140">AM61</f>
        <v>14.5</v>
      </c>
      <c r="AN64" s="39">
        <f t="shared" si="140"/>
        <v>4</v>
      </c>
      <c r="AO64" s="39">
        <f t="shared" si="140"/>
        <v>0</v>
      </c>
      <c r="AP64" s="39">
        <f t="shared" si="140"/>
        <v>0</v>
      </c>
      <c r="AQ64" s="39">
        <f t="shared" si="140"/>
        <v>0</v>
      </c>
      <c r="AR64" s="39">
        <f t="shared" si="140"/>
        <v>0</v>
      </c>
      <c r="AS64" s="39">
        <f t="shared" si="140"/>
        <v>60.5</v>
      </c>
      <c r="AU64" s="39">
        <f>AU61</f>
        <v>3</v>
      </c>
      <c r="AV64" s="39">
        <f t="shared" ref="AV64:BB64" si="141">AV61</f>
        <v>1</v>
      </c>
      <c r="AW64" s="39">
        <f t="shared" si="141"/>
        <v>0</v>
      </c>
      <c r="AX64" s="39">
        <f t="shared" si="141"/>
        <v>0</v>
      </c>
      <c r="AY64" s="39">
        <f t="shared" si="141"/>
        <v>0</v>
      </c>
      <c r="AZ64" s="39">
        <f t="shared" si="141"/>
        <v>0</v>
      </c>
      <c r="BA64" s="39">
        <f t="shared" si="141"/>
        <v>0</v>
      </c>
      <c r="BB64" s="39">
        <f t="shared" si="141"/>
        <v>4</v>
      </c>
      <c r="BD64" s="39">
        <f>BD61</f>
        <v>9</v>
      </c>
      <c r="BE64" s="39">
        <f t="shared" ref="BE64:BK64" si="142">BE61</f>
        <v>2</v>
      </c>
      <c r="BF64" s="39">
        <f t="shared" si="142"/>
        <v>1</v>
      </c>
      <c r="BG64" s="39">
        <f t="shared" si="142"/>
        <v>0</v>
      </c>
      <c r="BH64" s="39">
        <f t="shared" si="142"/>
        <v>0</v>
      </c>
      <c r="BI64" s="39">
        <f t="shared" si="142"/>
        <v>0</v>
      </c>
      <c r="BJ64" s="39">
        <f t="shared" si="142"/>
        <v>0</v>
      </c>
      <c r="BK64" s="39">
        <f t="shared" si="142"/>
        <v>12</v>
      </c>
      <c r="BM64" s="39">
        <f>BM61</f>
        <v>2.5</v>
      </c>
      <c r="BN64" s="39">
        <f t="shared" ref="BN64:BT64" si="143">BN61</f>
        <v>0</v>
      </c>
      <c r="BO64" s="39">
        <f t="shared" si="143"/>
        <v>0.5</v>
      </c>
      <c r="BP64" s="39">
        <f t="shared" si="143"/>
        <v>0</v>
      </c>
      <c r="BQ64" s="39">
        <f t="shared" si="143"/>
        <v>0</v>
      </c>
      <c r="BR64" s="39">
        <f t="shared" si="143"/>
        <v>0</v>
      </c>
      <c r="BS64" s="39">
        <f t="shared" si="143"/>
        <v>0</v>
      </c>
      <c r="BT64" s="39">
        <f t="shared" si="143"/>
        <v>3</v>
      </c>
      <c r="BV64" s="39">
        <f>BV61</f>
        <v>167.5</v>
      </c>
      <c r="BW64" s="39">
        <f t="shared" ref="BW64:CC64" si="144">BW61</f>
        <v>53.83</v>
      </c>
      <c r="BX64" s="39">
        <f t="shared" si="144"/>
        <v>17.5</v>
      </c>
      <c r="BY64" s="39">
        <f t="shared" si="144"/>
        <v>0</v>
      </c>
      <c r="BZ64" s="39">
        <f t="shared" si="144"/>
        <v>0</v>
      </c>
      <c r="CA64" s="39">
        <f t="shared" si="144"/>
        <v>0</v>
      </c>
      <c r="CB64" s="39">
        <f t="shared" si="144"/>
        <v>0</v>
      </c>
      <c r="CC64" s="39">
        <f t="shared" si="144"/>
        <v>238.83</v>
      </c>
    </row>
    <row r="65" spans="1:81" ht="15.75" thickBot="1">
      <c r="A65" s="40" t="s">
        <v>65</v>
      </c>
      <c r="B65" s="41">
        <f>SUM(B63:B64)</f>
        <v>60.5</v>
      </c>
      <c r="C65" s="41">
        <f t="shared" ref="C65:H65" si="145">SUM(C63:C64)</f>
        <v>10</v>
      </c>
      <c r="D65" s="41">
        <f t="shared" si="145"/>
        <v>2</v>
      </c>
      <c r="E65" s="41">
        <f t="shared" si="145"/>
        <v>0</v>
      </c>
      <c r="F65" s="41">
        <f t="shared" si="145"/>
        <v>0</v>
      </c>
      <c r="G65" s="41">
        <f t="shared" si="145"/>
        <v>0</v>
      </c>
      <c r="H65" s="41">
        <f t="shared" si="145"/>
        <v>0</v>
      </c>
      <c r="I65" s="41">
        <f>SUM(I63:I64)</f>
        <v>72.5</v>
      </c>
      <c r="J65" s="7"/>
      <c r="K65" s="41">
        <f>SUM(K63:K64)</f>
        <v>66</v>
      </c>
      <c r="L65" s="41">
        <f t="shared" ref="L65:Q65" si="146">SUM(L63:L64)</f>
        <v>10</v>
      </c>
      <c r="M65" s="41">
        <f t="shared" si="146"/>
        <v>2</v>
      </c>
      <c r="N65" s="41">
        <f t="shared" si="146"/>
        <v>0</v>
      </c>
      <c r="O65" s="41">
        <f t="shared" si="146"/>
        <v>0</v>
      </c>
      <c r="P65" s="41">
        <f t="shared" si="146"/>
        <v>0</v>
      </c>
      <c r="Q65" s="41">
        <f t="shared" si="146"/>
        <v>0</v>
      </c>
      <c r="R65" s="41">
        <f>SUM(R63:R64)</f>
        <v>78</v>
      </c>
      <c r="T65" s="41">
        <f>SUM(T63:T64)</f>
        <v>78</v>
      </c>
      <c r="U65" s="41">
        <f t="shared" ref="U65:Z65" si="147">SUM(U63:U64)</f>
        <v>13.33</v>
      </c>
      <c r="V65" s="41">
        <f t="shared" si="147"/>
        <v>2</v>
      </c>
      <c r="W65" s="41">
        <f t="shared" si="147"/>
        <v>0</v>
      </c>
      <c r="X65" s="41">
        <f t="shared" si="147"/>
        <v>0</v>
      </c>
      <c r="Y65" s="41">
        <f t="shared" si="147"/>
        <v>0</v>
      </c>
      <c r="Z65" s="41">
        <f t="shared" si="147"/>
        <v>0</v>
      </c>
      <c r="AA65" s="41">
        <f>SUM(AA63:AA64)</f>
        <v>93.33</v>
      </c>
      <c r="AC65" s="41">
        <f>SUM(AC63:AC64)</f>
        <v>151</v>
      </c>
      <c r="AD65" s="41">
        <f t="shared" ref="AD65:AI65" si="148">SUM(AD63:AD64)</f>
        <v>30</v>
      </c>
      <c r="AE65" s="41">
        <f t="shared" si="148"/>
        <v>6</v>
      </c>
      <c r="AF65" s="41">
        <f t="shared" si="148"/>
        <v>0</v>
      </c>
      <c r="AG65" s="41">
        <f t="shared" si="148"/>
        <v>0</v>
      </c>
      <c r="AH65" s="41">
        <f t="shared" si="148"/>
        <v>0</v>
      </c>
      <c r="AI65" s="41">
        <f t="shared" si="148"/>
        <v>0</v>
      </c>
      <c r="AJ65" s="41">
        <f>SUM(AJ63:AJ64)</f>
        <v>187</v>
      </c>
      <c r="AL65" s="41">
        <f>SUM(AL63:AL64)</f>
        <v>140</v>
      </c>
      <c r="AM65" s="41">
        <f t="shared" ref="AM65:AR65" si="149">SUM(AM63:AM64)</f>
        <v>26.5</v>
      </c>
      <c r="AN65" s="41">
        <f t="shared" si="149"/>
        <v>4</v>
      </c>
      <c r="AO65" s="41">
        <f t="shared" si="149"/>
        <v>0</v>
      </c>
      <c r="AP65" s="41">
        <f t="shared" si="149"/>
        <v>0</v>
      </c>
      <c r="AQ65" s="41">
        <f t="shared" si="149"/>
        <v>0</v>
      </c>
      <c r="AR65" s="41">
        <f t="shared" si="149"/>
        <v>0</v>
      </c>
      <c r="AS65" s="41">
        <f>SUM(AS63:AS64)</f>
        <v>170.5</v>
      </c>
      <c r="AU65" s="41">
        <f>SUM(AU63:AU64)</f>
        <v>3</v>
      </c>
      <c r="AV65" s="41">
        <f t="shared" ref="AV65:BA65" si="150">SUM(AV63:AV64)</f>
        <v>2</v>
      </c>
      <c r="AW65" s="41">
        <f t="shared" si="150"/>
        <v>0</v>
      </c>
      <c r="AX65" s="41">
        <f t="shared" si="150"/>
        <v>0</v>
      </c>
      <c r="AY65" s="41">
        <f t="shared" si="150"/>
        <v>0</v>
      </c>
      <c r="AZ65" s="41">
        <f t="shared" si="150"/>
        <v>0</v>
      </c>
      <c r="BA65" s="41">
        <f t="shared" si="150"/>
        <v>0</v>
      </c>
      <c r="BB65" s="41">
        <f>SUM(BB63:BB64)</f>
        <v>5</v>
      </c>
      <c r="BD65" s="41">
        <f>SUM(BD63:BD64)</f>
        <v>35</v>
      </c>
      <c r="BE65" s="41">
        <f t="shared" ref="BE65:BJ65" si="151">SUM(BE63:BE64)</f>
        <v>4</v>
      </c>
      <c r="BF65" s="41">
        <f t="shared" si="151"/>
        <v>1</v>
      </c>
      <c r="BG65" s="41">
        <f t="shared" si="151"/>
        <v>0</v>
      </c>
      <c r="BH65" s="41">
        <f t="shared" si="151"/>
        <v>0</v>
      </c>
      <c r="BI65" s="41">
        <f t="shared" si="151"/>
        <v>0</v>
      </c>
      <c r="BJ65" s="41">
        <f t="shared" si="151"/>
        <v>0</v>
      </c>
      <c r="BK65" s="41">
        <f>SUM(BK63:BK64)</f>
        <v>40</v>
      </c>
      <c r="BM65" s="41">
        <f>SUM(BM63:BM64)</f>
        <v>3.5</v>
      </c>
      <c r="BN65" s="41">
        <f t="shared" ref="BN65:BS65" si="152">SUM(BN63:BN64)</f>
        <v>0</v>
      </c>
      <c r="BO65" s="41">
        <f t="shared" si="152"/>
        <v>0.5</v>
      </c>
      <c r="BP65" s="41">
        <f t="shared" si="152"/>
        <v>0</v>
      </c>
      <c r="BQ65" s="41">
        <f t="shared" si="152"/>
        <v>0</v>
      </c>
      <c r="BR65" s="41">
        <f t="shared" si="152"/>
        <v>0</v>
      </c>
      <c r="BS65" s="41">
        <f t="shared" si="152"/>
        <v>0</v>
      </c>
      <c r="BT65" s="41">
        <f>SUM(BT63:BT64)</f>
        <v>4</v>
      </c>
      <c r="BV65" s="41">
        <f>SUM(BV63:BV64)</f>
        <v>537</v>
      </c>
      <c r="BW65" s="41">
        <f t="shared" ref="BW65:CB65" si="153">SUM(BW63:BW64)</f>
        <v>95.83</v>
      </c>
      <c r="BX65" s="41">
        <f t="shared" si="153"/>
        <v>17.5</v>
      </c>
      <c r="BY65" s="41">
        <f t="shared" si="153"/>
        <v>0</v>
      </c>
      <c r="BZ65" s="41">
        <f t="shared" si="153"/>
        <v>0</v>
      </c>
      <c r="CA65" s="41">
        <f t="shared" si="153"/>
        <v>0</v>
      </c>
      <c r="CB65" s="41">
        <f t="shared" si="153"/>
        <v>0</v>
      </c>
      <c r="CC65" s="41">
        <f>SUM(CC63:CC64)</f>
        <v>650.33000000000004</v>
      </c>
    </row>
    <row r="66" spans="1:81">
      <c r="A66" s="29"/>
      <c r="B66" s="42"/>
      <c r="C66" s="42"/>
      <c r="D66" s="42"/>
      <c r="E66" s="42"/>
      <c r="F66" s="42"/>
      <c r="G66" s="42"/>
      <c r="H66" s="42"/>
      <c r="I66" s="42"/>
      <c r="J66" s="7"/>
      <c r="K66" s="42"/>
      <c r="L66" s="42"/>
      <c r="M66" s="42"/>
      <c r="N66" s="42"/>
      <c r="O66" s="42"/>
      <c r="P66" s="42"/>
      <c r="Q66" s="42"/>
      <c r="R66" s="42"/>
      <c r="T66" s="42"/>
      <c r="U66" s="42"/>
      <c r="V66" s="42"/>
      <c r="W66" s="42"/>
      <c r="X66" s="42"/>
      <c r="Y66" s="42"/>
      <c r="Z66" s="42"/>
      <c r="AA66" s="42"/>
      <c r="AC66" s="42"/>
      <c r="AD66" s="42"/>
      <c r="AE66" s="42"/>
      <c r="AF66" s="42"/>
      <c r="AG66" s="42"/>
      <c r="AH66" s="42"/>
      <c r="AI66" s="42"/>
      <c r="AJ66" s="42"/>
      <c r="AL66" s="42"/>
      <c r="AM66" s="42"/>
      <c r="AN66" s="42"/>
      <c r="AO66" s="42"/>
      <c r="AP66" s="42"/>
      <c r="AQ66" s="42"/>
      <c r="AR66" s="42"/>
      <c r="AS66" s="42"/>
      <c r="AU66" s="42"/>
      <c r="AV66" s="42"/>
      <c r="AW66" s="42"/>
      <c r="AX66" s="42"/>
      <c r="AY66" s="42"/>
      <c r="AZ66" s="42"/>
      <c r="BA66" s="42"/>
      <c r="BB66" s="42"/>
      <c r="BD66" s="42"/>
      <c r="BE66" s="42"/>
      <c r="BF66" s="42"/>
      <c r="BG66" s="42"/>
      <c r="BH66" s="42"/>
      <c r="BI66" s="42"/>
      <c r="BJ66" s="42"/>
      <c r="BK66" s="42"/>
      <c r="BM66" s="42"/>
      <c r="BN66" s="42"/>
      <c r="BO66" s="42"/>
      <c r="BP66" s="42"/>
      <c r="BQ66" s="42"/>
      <c r="BR66" s="42"/>
      <c r="BS66" s="42"/>
      <c r="BT66" s="42"/>
      <c r="BV66" s="42"/>
      <c r="BW66" s="42"/>
      <c r="BX66" s="42"/>
      <c r="BY66" s="42"/>
      <c r="BZ66" s="42"/>
      <c r="CA66" s="42"/>
      <c r="CB66" s="42"/>
      <c r="CC66" s="42"/>
    </row>
    <row r="67" spans="1:81" ht="15">
      <c r="A67" s="43" t="s">
        <v>66</v>
      </c>
      <c r="B67" s="44"/>
      <c r="C67" s="44"/>
      <c r="D67" s="44"/>
      <c r="E67" s="44"/>
      <c r="F67" s="44"/>
      <c r="G67" s="44"/>
      <c r="H67" s="44"/>
      <c r="I67" s="45">
        <f>I142/(I211+I213+I214+I215+I216+I217)</f>
        <v>0.62134110106552076</v>
      </c>
      <c r="J67" s="7"/>
      <c r="K67" s="44"/>
      <c r="L67" s="44"/>
      <c r="M67" s="44"/>
      <c r="N67" s="44"/>
      <c r="O67" s="44"/>
      <c r="P67" s="44"/>
      <c r="Q67" s="44"/>
      <c r="R67" s="45">
        <f>R142/(R211+R213+R214+R215+R216+R217)</f>
        <v>0.60639163232071525</v>
      </c>
      <c r="T67" s="44"/>
      <c r="U67" s="44"/>
      <c r="V67" s="44"/>
      <c r="W67" s="44"/>
      <c r="X67" s="44"/>
      <c r="Y67" s="44"/>
      <c r="Z67" s="44"/>
      <c r="AA67" s="45">
        <f>AA142/(AA211+AA213+AA214+AA215+AA216+AA217)</f>
        <v>0.62858945544759071</v>
      </c>
      <c r="AC67" s="44"/>
      <c r="AD67" s="44"/>
      <c r="AE67" s="44"/>
      <c r="AF67" s="44"/>
      <c r="AG67" s="44"/>
      <c r="AH67" s="44"/>
      <c r="AI67" s="44"/>
      <c r="AJ67" s="45">
        <f>AJ142/(AJ211+AJ213+AJ214+AJ215+AJ216+AJ217)</f>
        <v>0.61537647101073711</v>
      </c>
      <c r="AL67" s="44"/>
      <c r="AM67" s="44"/>
      <c r="AN67" s="44"/>
      <c r="AO67" s="44"/>
      <c r="AP67" s="44"/>
      <c r="AQ67" s="44"/>
      <c r="AR67" s="44"/>
      <c r="AS67" s="45">
        <f>AS142/(AS211+AS213+AS214+AS215+AS216+AS217)</f>
        <v>0.5693152451362713</v>
      </c>
      <c r="AU67" s="44"/>
      <c r="AV67" s="44"/>
      <c r="AW67" s="44"/>
      <c r="AX67" s="44"/>
      <c r="AY67" s="44"/>
      <c r="AZ67" s="44"/>
      <c r="BA67" s="44"/>
      <c r="BB67" s="45">
        <f>BB142/(BB211+BB213+BB214+BB215+BB216+BB217)</f>
        <v>0.47959280800424436</v>
      </c>
      <c r="BD67" s="44"/>
      <c r="BE67" s="44"/>
      <c r="BF67" s="44"/>
      <c r="BG67" s="44"/>
      <c r="BH67" s="44"/>
      <c r="BI67" s="44"/>
      <c r="BJ67" s="44"/>
      <c r="BK67" s="45">
        <f>BK142/(BK211+BK213+BK214+BK215+BK216+BK217)</f>
        <v>0.55959017526338961</v>
      </c>
      <c r="BM67" s="44"/>
      <c r="BN67" s="44"/>
      <c r="BO67" s="44"/>
      <c r="BP67" s="44"/>
      <c r="BQ67" s="44"/>
      <c r="BR67" s="44"/>
      <c r="BS67" s="44"/>
      <c r="BT67" s="45">
        <f>BT142/(BT211+BT213+BT214+BT215+BT216+BT217)</f>
        <v>0.98984408045683048</v>
      </c>
      <c r="BV67" s="44"/>
      <c r="BW67" s="44"/>
      <c r="BX67" s="44"/>
      <c r="BY67" s="44"/>
      <c r="BZ67" s="44"/>
      <c r="CA67" s="44"/>
      <c r="CB67" s="44"/>
      <c r="CC67" s="45">
        <f>CC142/(CC211+CC213+CC214+CC215+CC216+CC217)</f>
        <v>0.60050656238794198</v>
      </c>
    </row>
    <row r="68" spans="1:81" ht="15">
      <c r="A68" s="43" t="s">
        <v>67</v>
      </c>
      <c r="B68" s="44"/>
      <c r="C68" s="44"/>
      <c r="D68" s="44"/>
      <c r="E68" s="44"/>
      <c r="F68" s="44"/>
      <c r="G68" s="44"/>
      <c r="H68" s="44"/>
      <c r="I68" s="45">
        <f>(I114+I115+I118+I128)/I132</f>
        <v>0.7520975423350521</v>
      </c>
      <c r="J68" s="7"/>
      <c r="K68" s="44"/>
      <c r="L68" s="44"/>
      <c r="M68" s="44"/>
      <c r="N68" s="44"/>
      <c r="O68" s="44"/>
      <c r="P68" s="44"/>
      <c r="Q68" s="44"/>
      <c r="R68" s="45">
        <f>(R114+R115+R118+R128)/R132</f>
        <v>0.72423371666317904</v>
      </c>
      <c r="T68" s="44"/>
      <c r="U68" s="44"/>
      <c r="V68" s="44"/>
      <c r="W68" s="44"/>
      <c r="X68" s="44"/>
      <c r="Y68" s="44"/>
      <c r="Z68" s="44"/>
      <c r="AA68" s="45">
        <f>(AA114+AA115+AA118+AA128)/AA132</f>
        <v>0.73597199212083075</v>
      </c>
      <c r="AC68" s="44"/>
      <c r="AD68" s="44"/>
      <c r="AE68" s="44"/>
      <c r="AF68" s="44"/>
      <c r="AG68" s="44"/>
      <c r="AH68" s="44"/>
      <c r="AI68" s="44"/>
      <c r="AJ68" s="45">
        <f>(AJ114+AJ115+AJ118+AJ128)/AJ132</f>
        <v>0.73284168727111787</v>
      </c>
      <c r="AL68" s="44"/>
      <c r="AM68" s="44"/>
      <c r="AN68" s="44"/>
      <c r="AO68" s="44"/>
      <c r="AP68" s="44"/>
      <c r="AQ68" s="44"/>
      <c r="AR68" s="44"/>
      <c r="AS68" s="45">
        <f>(AS114+AS115+AS118+AS128)/AS132</f>
        <v>0.74894043274897304</v>
      </c>
      <c r="AU68" s="44"/>
      <c r="AV68" s="44"/>
      <c r="AW68" s="44"/>
      <c r="AX68" s="44"/>
      <c r="AY68" s="44"/>
      <c r="AZ68" s="44"/>
      <c r="BA68" s="44"/>
      <c r="BB68" s="45">
        <f>(BB114+BB115+BB118+BB128)/BB132</f>
        <v>0.65295995909776405</v>
      </c>
      <c r="BD68" s="44"/>
      <c r="BE68" s="44"/>
      <c r="BF68" s="44"/>
      <c r="BG68" s="44"/>
      <c r="BH68" s="44"/>
      <c r="BI68" s="44"/>
      <c r="BJ68" s="44"/>
      <c r="BK68" s="45">
        <f>(BK114+BK115+BK118+BK128)/BK132</f>
        <v>0.84012874811802651</v>
      </c>
      <c r="BM68" s="44"/>
      <c r="BN68" s="44"/>
      <c r="BO68" s="44"/>
      <c r="BP68" s="44"/>
      <c r="BQ68" s="44"/>
      <c r="BR68" s="44"/>
      <c r="BS68" s="44"/>
      <c r="BT68" s="45">
        <f>(BT114+BT115+BT118+BT128)/BT132</f>
        <v>0.31782126233842689</v>
      </c>
      <c r="BV68" s="44"/>
      <c r="BW68" s="44"/>
      <c r="BX68" s="44"/>
      <c r="BY68" s="44"/>
      <c r="BZ68" s="44"/>
      <c r="CA68" s="44"/>
      <c r="CB68" s="44"/>
      <c r="CC68" s="45">
        <f>(CC114+CC115+CC118+CC128)/CC132</f>
        <v>0.74117062971539793</v>
      </c>
    </row>
    <row r="69" spans="1:81" ht="15">
      <c r="A69" s="43" t="s">
        <v>68</v>
      </c>
      <c r="B69" s="44"/>
      <c r="C69" s="44"/>
      <c r="D69" s="44"/>
      <c r="E69" s="44"/>
      <c r="F69" s="44"/>
      <c r="G69" s="44"/>
      <c r="H69" s="44"/>
      <c r="I69" s="45">
        <f>(I107+I108+I109+I112+I116+I117+I119+I120++I123+I124+I125+I126+I127+I129+I130)/I132</f>
        <v>0.2278805994615917</v>
      </c>
      <c r="J69" s="7"/>
      <c r="K69" s="44"/>
      <c r="L69" s="44"/>
      <c r="M69" s="44"/>
      <c r="N69" s="44"/>
      <c r="O69" s="44"/>
      <c r="P69" s="44"/>
      <c r="Q69" s="44"/>
      <c r="R69" s="45">
        <f>(R107+R108+R109+R112+R116+R117+R119+R120++R123+R124+R125+R126+R127+R129+R130)/R132</f>
        <v>0.25722435197049076</v>
      </c>
      <c r="T69" s="44"/>
      <c r="U69" s="44"/>
      <c r="V69" s="44"/>
      <c r="W69" s="44"/>
      <c r="X69" s="44"/>
      <c r="Y69" s="44"/>
      <c r="Z69" s="44"/>
      <c r="AA69" s="45">
        <f>(AA107+AA108+AA109+AA112+AA116+AA117+AA119+AA120++AA123+AA124+AA125+AA126+AA127+AA129+AA130)/AA132</f>
        <v>0.24886355697772819</v>
      </c>
      <c r="AC69" s="44"/>
      <c r="AD69" s="44"/>
      <c r="AE69" s="44"/>
      <c r="AF69" s="44"/>
      <c r="AG69" s="44"/>
      <c r="AH69" s="44"/>
      <c r="AI69" s="44"/>
      <c r="AJ69" s="45">
        <f>(AJ107+AJ108+AJ109+AJ112+AJ116+AJ117+AJ119+AJ120++AJ123+AJ124+AJ125+AJ126+AJ127+AJ129+AJ130)/AJ132</f>
        <v>0.22463392707596119</v>
      </c>
      <c r="AL69" s="44"/>
      <c r="AM69" s="44"/>
      <c r="AN69" s="44"/>
      <c r="AO69" s="44"/>
      <c r="AP69" s="44"/>
      <c r="AQ69" s="44"/>
      <c r="AR69" s="44"/>
      <c r="AS69" s="45">
        <f>(AS107+AS108+AS109+AS112+AS116+AS117+AS119+AS120++AS123+AS124+AS125+AS126+AS127+AS129+AS130)/AS132</f>
        <v>0.21148919776761213</v>
      </c>
      <c r="AU69" s="44"/>
      <c r="AV69" s="44"/>
      <c r="AW69" s="44"/>
      <c r="AX69" s="44"/>
      <c r="AY69" s="44"/>
      <c r="AZ69" s="44"/>
      <c r="BA69" s="44"/>
      <c r="BB69" s="45">
        <f>(BB107+BB108+BB109+BB112+BB116+BB117+BB119+BB120++BB123+BB124+BB125+BB126+BB127+BB129+BB130)/BB132</f>
        <v>0</v>
      </c>
      <c r="BD69" s="44"/>
      <c r="BE69" s="44"/>
      <c r="BF69" s="44"/>
      <c r="BG69" s="44"/>
      <c r="BH69" s="44"/>
      <c r="BI69" s="44"/>
      <c r="BJ69" s="44"/>
      <c r="BK69" s="45">
        <f>(BK107+BK108+BK109+BK112+BK116+BK117+BK119+BK120++BK123+BK124+BK125+BK126+BK127+BK129+BK130)/BK132</f>
        <v>0.15987125188197338</v>
      </c>
      <c r="BM69" s="44"/>
      <c r="BN69" s="44"/>
      <c r="BO69" s="44"/>
      <c r="BP69" s="44"/>
      <c r="BQ69" s="44"/>
      <c r="BR69" s="44"/>
      <c r="BS69" s="44"/>
      <c r="BT69" s="45">
        <f>(BT107+BT108+BT109+BT112+BT116+BT117+BT119+BT120++BT123+BT124+BT125+BT126+BT127+BT129+BT130+BT111)/BT132</f>
        <v>0.68217873766157322</v>
      </c>
      <c r="BV69" s="44"/>
      <c r="BW69" s="44"/>
      <c r="BX69" s="44"/>
      <c r="BY69" s="44"/>
      <c r="BZ69" s="44"/>
      <c r="CA69" s="44"/>
      <c r="CB69" s="44"/>
      <c r="CC69" s="45">
        <f>(CC107+CC108+CC109+CC112+CC116+CC117+CC119+CC120++CC123+CC124+CC125+CC126+CC127+CC129+CC130+CC111)/CC132</f>
        <v>0.24474237196252532</v>
      </c>
    </row>
    <row r="70" spans="1:81" ht="15">
      <c r="A70" s="43" t="s">
        <v>69</v>
      </c>
      <c r="B70" s="44"/>
      <c r="C70" s="44"/>
      <c r="D70" s="44"/>
      <c r="E70" s="44"/>
      <c r="F70" s="44"/>
      <c r="G70" s="44"/>
      <c r="H70" s="44"/>
      <c r="I70" s="45">
        <f>(I214+I215+I216+I217+I213)/I97</f>
        <v>8.3653943435664915E-2</v>
      </c>
      <c r="J70" s="7"/>
      <c r="K70" s="44"/>
      <c r="L70" s="44"/>
      <c r="M70" s="44"/>
      <c r="N70" s="44"/>
      <c r="O70" s="44"/>
      <c r="P70" s="44"/>
      <c r="Q70" s="44"/>
      <c r="R70" s="45">
        <f>(R214+R215+R216+R217+R213)/R97</f>
        <v>8.1873281833752282E-2</v>
      </c>
      <c r="T70" s="44"/>
      <c r="U70" s="44"/>
      <c r="V70" s="44"/>
      <c r="W70" s="44"/>
      <c r="X70" s="44"/>
      <c r="Y70" s="44"/>
      <c r="Z70" s="44"/>
      <c r="AA70" s="45">
        <f>(AA214+AA215+AA216+AA217+AA213)/AA97</f>
        <v>8.3038242479492957E-2</v>
      </c>
      <c r="AC70" s="44"/>
      <c r="AD70" s="44"/>
      <c r="AE70" s="44"/>
      <c r="AF70" s="44"/>
      <c r="AG70" s="44"/>
      <c r="AH70" s="44"/>
      <c r="AI70" s="44"/>
      <c r="AJ70" s="45">
        <f>(AJ214+AJ215+AJ216+AJ217+AJ213)/AJ97</f>
        <v>8.2045724391622443E-2</v>
      </c>
      <c r="AL70" s="44"/>
      <c r="AM70" s="44"/>
      <c r="AN70" s="44"/>
      <c r="AO70" s="44"/>
      <c r="AP70" s="44"/>
      <c r="AQ70" s="44"/>
      <c r="AR70" s="44"/>
      <c r="AS70" s="45">
        <f>(AS214+AS215+AS216+AS217+AS213)/AS97</f>
        <v>0.13200172347471043</v>
      </c>
      <c r="AU70" s="44"/>
      <c r="AV70" s="44"/>
      <c r="AW70" s="44"/>
      <c r="AX70" s="44"/>
      <c r="AY70" s="44"/>
      <c r="AZ70" s="44"/>
      <c r="BA70" s="44"/>
      <c r="BB70" s="45">
        <f>(BB214+BB215+BB216+BB217+BB213)/BB97</f>
        <v>0</v>
      </c>
      <c r="BD70" s="44"/>
      <c r="BE70" s="44"/>
      <c r="BF70" s="44"/>
      <c r="BG70" s="44"/>
      <c r="BH70" s="44"/>
      <c r="BI70" s="44"/>
      <c r="BJ70" s="44"/>
      <c r="BK70" s="45">
        <f>(BK214+BK215+BK216+BK217+BK213)/BK97</f>
        <v>6.9828336917517345E-2</v>
      </c>
      <c r="BM70" s="44"/>
      <c r="BN70" s="44"/>
      <c r="BO70" s="44"/>
      <c r="BP70" s="44"/>
      <c r="BQ70" s="44"/>
      <c r="BR70" s="44"/>
      <c r="BS70" s="44"/>
      <c r="BT70" s="45" t="e">
        <f>(BT214+BT215+BT216+BT217+BT213)/BT97</f>
        <v>#DIV/0!</v>
      </c>
      <c r="BV70" s="44"/>
      <c r="BW70" s="44"/>
      <c r="BX70" s="44"/>
      <c r="BY70" s="44"/>
      <c r="BZ70" s="44"/>
      <c r="CA70" s="44"/>
      <c r="CB70" s="44"/>
      <c r="CC70" s="45">
        <f>(CC214+CC215+CC216+CC217+CC213)/CC97</f>
        <v>9.3943002964574973E-2</v>
      </c>
    </row>
    <row r="71" spans="1:81" ht="15" thickBot="1">
      <c r="B71" s="42"/>
      <c r="C71" s="42"/>
      <c r="D71" s="42"/>
      <c r="E71" s="42"/>
      <c r="F71" s="42"/>
      <c r="G71" s="42"/>
      <c r="H71" s="42"/>
      <c r="I71" s="42"/>
      <c r="J71" s="7"/>
      <c r="K71" s="42"/>
      <c r="L71" s="42"/>
      <c r="M71" s="42"/>
      <c r="N71" s="42"/>
      <c r="O71" s="42"/>
      <c r="P71" s="42"/>
      <c r="Q71" s="42"/>
      <c r="R71" s="42"/>
      <c r="T71" s="42"/>
      <c r="U71" s="42"/>
      <c r="V71" s="42"/>
      <c r="W71" s="42"/>
      <c r="X71" s="42"/>
      <c r="Y71" s="42"/>
      <c r="Z71" s="42"/>
      <c r="AA71" s="42"/>
      <c r="AC71" s="42"/>
      <c r="AD71" s="42"/>
      <c r="AE71" s="42"/>
      <c r="AF71" s="42"/>
      <c r="AG71" s="42"/>
      <c r="AH71" s="42"/>
      <c r="AI71" s="42"/>
      <c r="AJ71" s="42"/>
      <c r="AL71" s="42"/>
      <c r="AM71" s="42"/>
      <c r="AN71" s="42"/>
      <c r="AO71" s="42"/>
      <c r="AP71" s="42"/>
      <c r="AQ71" s="42"/>
      <c r="AR71" s="42"/>
      <c r="AS71" s="42"/>
      <c r="AU71" s="42"/>
      <c r="AV71" s="42"/>
      <c r="AW71" s="42"/>
      <c r="AX71" s="42"/>
      <c r="AY71" s="42"/>
      <c r="AZ71" s="42"/>
      <c r="BA71" s="42"/>
      <c r="BB71" s="42"/>
      <c r="BD71" s="42"/>
      <c r="BE71" s="42"/>
      <c r="BF71" s="42"/>
      <c r="BG71" s="42"/>
      <c r="BH71" s="42"/>
      <c r="BI71" s="42"/>
      <c r="BJ71" s="42"/>
      <c r="BK71" s="42"/>
      <c r="BM71" s="42"/>
      <c r="BN71" s="42"/>
      <c r="BO71" s="42"/>
      <c r="BP71" s="42"/>
      <c r="BQ71" s="42"/>
      <c r="BR71" s="42"/>
      <c r="BS71" s="42"/>
      <c r="BT71" s="42"/>
      <c r="BV71" s="42"/>
      <c r="BW71" s="42"/>
      <c r="BX71" s="42"/>
      <c r="BY71" s="42"/>
      <c r="BZ71" s="42"/>
      <c r="CA71" s="42"/>
      <c r="CB71" s="42"/>
      <c r="CC71" s="42"/>
    </row>
    <row r="72" spans="1:81" ht="15.75" thickBot="1">
      <c r="A72" s="46" t="s">
        <v>70</v>
      </c>
      <c r="B72" s="47" t="str">
        <f t="shared" ref="B72:I72" si="154">B1</f>
        <v>Operating</v>
      </c>
      <c r="C72" s="47" t="str">
        <f t="shared" si="154"/>
        <v>SPED</v>
      </c>
      <c r="D72" s="47" t="str">
        <f t="shared" si="154"/>
        <v>NSLP</v>
      </c>
      <c r="E72" s="47" t="str">
        <f t="shared" si="154"/>
        <v>Other</v>
      </c>
      <c r="F72" s="47" t="str">
        <f t="shared" si="154"/>
        <v>Title I</v>
      </c>
      <c r="G72" s="47" t="str">
        <f t="shared" si="154"/>
        <v>SGF</v>
      </c>
      <c r="H72" s="47" t="str">
        <f t="shared" si="154"/>
        <v>Title III</v>
      </c>
      <c r="I72" s="47" t="str">
        <f t="shared" si="154"/>
        <v>Horizon</v>
      </c>
      <c r="J72" s="7"/>
      <c r="K72" s="47" t="str">
        <f t="shared" ref="K72:R72" si="155">K1</f>
        <v>Operating</v>
      </c>
      <c r="L72" s="47" t="str">
        <f t="shared" si="155"/>
        <v>SPED</v>
      </c>
      <c r="M72" s="47" t="str">
        <f t="shared" si="155"/>
        <v>NSLP</v>
      </c>
      <c r="N72" s="47" t="str">
        <f t="shared" si="155"/>
        <v>Other</v>
      </c>
      <c r="O72" s="47" t="str">
        <f t="shared" si="155"/>
        <v>Title I</v>
      </c>
      <c r="P72" s="47" t="str">
        <f t="shared" si="155"/>
        <v>SGF</v>
      </c>
      <c r="Q72" s="47" t="str">
        <f t="shared" si="155"/>
        <v>Title III</v>
      </c>
      <c r="R72" s="47" t="str">
        <f t="shared" si="155"/>
        <v>St. Rose</v>
      </c>
      <c r="T72" s="47" t="str">
        <f t="shared" ref="T72:AA72" si="156">T1</f>
        <v>Operating</v>
      </c>
      <c r="U72" s="47" t="str">
        <f t="shared" si="156"/>
        <v>SPED</v>
      </c>
      <c r="V72" s="47" t="str">
        <f t="shared" si="156"/>
        <v>NSLP</v>
      </c>
      <c r="W72" s="47" t="str">
        <f t="shared" si="156"/>
        <v>Other</v>
      </c>
      <c r="X72" s="47" t="str">
        <f t="shared" si="156"/>
        <v>Title I</v>
      </c>
      <c r="Y72" s="47" t="str">
        <f t="shared" si="156"/>
        <v>SGF</v>
      </c>
      <c r="Z72" s="47" t="str">
        <f t="shared" si="156"/>
        <v>Title III</v>
      </c>
      <c r="AA72" s="47" t="str">
        <f t="shared" si="156"/>
        <v>Inspirada</v>
      </c>
      <c r="AC72" s="47" t="str">
        <f t="shared" ref="AC72:AJ72" si="157">AC1</f>
        <v>Operating</v>
      </c>
      <c r="AD72" s="47" t="str">
        <f t="shared" si="157"/>
        <v>SPED</v>
      </c>
      <c r="AE72" s="47" t="str">
        <f t="shared" si="157"/>
        <v>NSLP</v>
      </c>
      <c r="AF72" s="47" t="str">
        <f t="shared" si="157"/>
        <v>Other</v>
      </c>
      <c r="AG72" s="47" t="str">
        <f t="shared" si="157"/>
        <v>Title I</v>
      </c>
      <c r="AH72" s="47" t="str">
        <f t="shared" si="157"/>
        <v>SGF</v>
      </c>
      <c r="AI72" s="47" t="str">
        <f t="shared" si="157"/>
        <v>Title III</v>
      </c>
      <c r="AJ72" s="47" t="str">
        <f t="shared" si="157"/>
        <v>Cadence</v>
      </c>
      <c r="AL72" s="47" t="str">
        <f t="shared" ref="AL72:AS72" si="158">AL1</f>
        <v>Operating</v>
      </c>
      <c r="AM72" s="47" t="str">
        <f t="shared" si="158"/>
        <v>SPED</v>
      </c>
      <c r="AN72" s="47" t="str">
        <f t="shared" si="158"/>
        <v>NSLP</v>
      </c>
      <c r="AO72" s="47" t="str">
        <f t="shared" si="158"/>
        <v>Other</v>
      </c>
      <c r="AP72" s="47" t="str">
        <f t="shared" si="158"/>
        <v>Title I</v>
      </c>
      <c r="AQ72" s="47" t="str">
        <f t="shared" si="158"/>
        <v>SGF</v>
      </c>
      <c r="AR72" s="47" t="str">
        <f t="shared" si="158"/>
        <v>Title III</v>
      </c>
      <c r="AS72" s="47" t="str">
        <f t="shared" si="158"/>
        <v>Sloan</v>
      </c>
      <c r="AU72" s="47" t="str">
        <f t="shared" ref="AU72:BB72" si="159">AU1</f>
        <v>Operating</v>
      </c>
      <c r="AV72" s="47" t="str">
        <f t="shared" si="159"/>
        <v>SPED</v>
      </c>
      <c r="AW72" s="47" t="str">
        <f t="shared" si="159"/>
        <v>NSLP</v>
      </c>
      <c r="AX72" s="47" t="str">
        <f t="shared" si="159"/>
        <v>Other</v>
      </c>
      <c r="AY72" s="47" t="str">
        <f t="shared" si="159"/>
        <v>Title I</v>
      </c>
      <c r="AZ72" s="47" t="str">
        <f t="shared" si="159"/>
        <v>SGF</v>
      </c>
      <c r="BA72" s="47" t="str">
        <f t="shared" si="159"/>
        <v>Title III</v>
      </c>
      <c r="BB72" s="47" t="str">
        <f t="shared" si="159"/>
        <v>Virtual</v>
      </c>
      <c r="BD72" s="47" t="str">
        <f t="shared" ref="BD72:BK72" si="160">BD1</f>
        <v>Operating</v>
      </c>
      <c r="BE72" s="47" t="str">
        <f t="shared" si="160"/>
        <v>SPED</v>
      </c>
      <c r="BF72" s="47" t="str">
        <f t="shared" si="160"/>
        <v>NSLP</v>
      </c>
      <c r="BG72" s="47" t="str">
        <f t="shared" si="160"/>
        <v>Other</v>
      </c>
      <c r="BH72" s="47" t="str">
        <f t="shared" si="160"/>
        <v>Title I</v>
      </c>
      <c r="BI72" s="47" t="str">
        <f t="shared" si="160"/>
        <v>SGF</v>
      </c>
      <c r="BJ72" s="47" t="str">
        <f t="shared" si="160"/>
        <v>Title III</v>
      </c>
      <c r="BK72" s="47" t="str">
        <f t="shared" si="160"/>
        <v>Springs</v>
      </c>
      <c r="BM72" s="47" t="str">
        <f t="shared" ref="BM72:BT72" si="161">BM1</f>
        <v>Operating</v>
      </c>
      <c r="BN72" s="47" t="str">
        <f t="shared" si="161"/>
        <v>SPED</v>
      </c>
      <c r="BO72" s="47" t="str">
        <f t="shared" si="161"/>
        <v>NSLP</v>
      </c>
      <c r="BP72" s="47" t="str">
        <f t="shared" si="161"/>
        <v>Other</v>
      </c>
      <c r="BQ72" s="47" t="str">
        <f t="shared" si="161"/>
        <v>Title I</v>
      </c>
      <c r="BR72" s="47" t="str">
        <f t="shared" si="161"/>
        <v>SGF</v>
      </c>
      <c r="BS72" s="47" t="str">
        <f t="shared" si="161"/>
        <v>Title III</v>
      </c>
      <c r="BT72" s="47" t="str">
        <f t="shared" si="161"/>
        <v>Exec. Office</v>
      </c>
      <c r="BV72" s="47" t="str">
        <f t="shared" ref="BV72:CC72" si="162">BV1</f>
        <v>Operating</v>
      </c>
      <c r="BW72" s="47" t="str">
        <f t="shared" si="162"/>
        <v>SPED</v>
      </c>
      <c r="BX72" s="47" t="str">
        <f t="shared" si="162"/>
        <v>NSLP</v>
      </c>
      <c r="BY72" s="47" t="str">
        <f t="shared" si="162"/>
        <v>Other</v>
      </c>
      <c r="BZ72" s="47" t="str">
        <f t="shared" si="162"/>
        <v>Title I</v>
      </c>
      <c r="CA72" s="47" t="str">
        <f t="shared" si="162"/>
        <v>SGF</v>
      </c>
      <c r="CB72" s="47" t="str">
        <f t="shared" si="162"/>
        <v>Title III</v>
      </c>
      <c r="CC72" s="47" t="str">
        <f t="shared" si="162"/>
        <v>Systemwide</v>
      </c>
    </row>
    <row r="73" spans="1:81" ht="15">
      <c r="A73" s="48" t="s">
        <v>71</v>
      </c>
      <c r="B73" s="49"/>
      <c r="C73" s="49"/>
      <c r="D73" s="49"/>
      <c r="E73" s="49"/>
      <c r="F73" s="49"/>
      <c r="G73" s="49"/>
      <c r="H73" s="49"/>
      <c r="I73" s="50"/>
      <c r="J73" s="7"/>
      <c r="K73" s="49"/>
      <c r="L73" s="49"/>
      <c r="M73" s="49"/>
      <c r="N73" s="49"/>
      <c r="O73" s="49"/>
      <c r="P73" s="49"/>
      <c r="Q73" s="49"/>
      <c r="R73" s="50"/>
      <c r="T73" s="49"/>
      <c r="U73" s="49"/>
      <c r="V73" s="49"/>
      <c r="W73" s="49"/>
      <c r="X73" s="49"/>
      <c r="Y73" s="49"/>
      <c r="Z73" s="49"/>
      <c r="AA73" s="50"/>
      <c r="AC73" s="49"/>
      <c r="AD73" s="49"/>
      <c r="AE73" s="49"/>
      <c r="AF73" s="49"/>
      <c r="AG73" s="49"/>
      <c r="AH73" s="49"/>
      <c r="AI73" s="49"/>
      <c r="AJ73" s="50"/>
      <c r="AL73" s="49"/>
      <c r="AM73" s="49"/>
      <c r="AN73" s="49"/>
      <c r="AO73" s="49"/>
      <c r="AP73" s="49"/>
      <c r="AQ73" s="49"/>
      <c r="AR73" s="49"/>
      <c r="AS73" s="50"/>
      <c r="AU73" s="49"/>
      <c r="AV73" s="49"/>
      <c r="AW73" s="49"/>
      <c r="AX73" s="49"/>
      <c r="AY73" s="49"/>
      <c r="AZ73" s="49"/>
      <c r="BA73" s="49"/>
      <c r="BB73" s="50"/>
      <c r="BD73" s="49"/>
      <c r="BE73" s="49"/>
      <c r="BF73" s="49"/>
      <c r="BG73" s="49"/>
      <c r="BH73" s="49"/>
      <c r="BI73" s="49"/>
      <c r="BJ73" s="49"/>
      <c r="BK73" s="50"/>
      <c r="BM73" s="49"/>
      <c r="BN73" s="49"/>
      <c r="BO73" s="49"/>
      <c r="BP73" s="49"/>
      <c r="BQ73" s="49"/>
      <c r="BR73" s="49"/>
      <c r="BS73" s="49"/>
      <c r="BT73" s="50"/>
      <c r="BV73" s="49"/>
      <c r="BW73" s="49"/>
      <c r="BX73" s="49"/>
      <c r="BY73" s="49"/>
      <c r="BZ73" s="49"/>
      <c r="CA73" s="49"/>
      <c r="CB73" s="49"/>
      <c r="CC73" s="50"/>
    </row>
    <row r="74" spans="1:81">
      <c r="A74" s="29" t="s">
        <v>72</v>
      </c>
      <c r="B74" s="51">
        <f>(B2*B3)</f>
        <v>9298140</v>
      </c>
      <c r="C74" s="51"/>
      <c r="D74" s="51"/>
      <c r="E74" s="51"/>
      <c r="F74" s="51"/>
      <c r="G74" s="51"/>
      <c r="H74" s="51"/>
      <c r="I74" s="52">
        <f t="shared" ref="I74:I79" si="163">SUM(B74:H74)</f>
        <v>9298140</v>
      </c>
      <c r="K74" s="51">
        <f>(K2*K3)</f>
        <v>10317936</v>
      </c>
      <c r="L74" s="51"/>
      <c r="M74" s="51"/>
      <c r="N74" s="51"/>
      <c r="O74" s="51"/>
      <c r="P74" s="51"/>
      <c r="Q74" s="51"/>
      <c r="R74" s="52">
        <f t="shared" ref="R74:R79" si="164">SUM(K74:Q74)</f>
        <v>10317936</v>
      </c>
      <c r="T74" s="51">
        <f>(T2*T3)</f>
        <v>12447510</v>
      </c>
      <c r="U74" s="51"/>
      <c r="V74" s="51"/>
      <c r="W74" s="51"/>
      <c r="X74" s="51"/>
      <c r="Y74" s="51"/>
      <c r="Z74" s="51"/>
      <c r="AA74" s="52">
        <f t="shared" ref="AA74:AA79" si="165">SUM(T74:Z74)</f>
        <v>12447510</v>
      </c>
      <c r="AC74" s="51">
        <f>(AC2*AC3)</f>
        <v>25454908</v>
      </c>
      <c r="AD74" s="51"/>
      <c r="AE74" s="51"/>
      <c r="AF74" s="51"/>
      <c r="AG74" s="51"/>
      <c r="AH74" s="51"/>
      <c r="AI74" s="51"/>
      <c r="AJ74" s="52">
        <f t="shared" ref="AJ74:AJ79" si="166">SUM(AC74:AI74)</f>
        <v>25454908</v>
      </c>
      <c r="AL74" s="51">
        <f>(AL2*AL3)</f>
        <v>24015196</v>
      </c>
      <c r="AM74" s="51"/>
      <c r="AN74" s="51"/>
      <c r="AO74" s="51"/>
      <c r="AP74" s="51"/>
      <c r="AQ74" s="51"/>
      <c r="AR74" s="51"/>
      <c r="AS74" s="52">
        <f t="shared" ref="AS74:AS79" si="167">SUM(AL74:AR74)</f>
        <v>24015196</v>
      </c>
      <c r="AU74" s="51">
        <f>(AU2*AU3)</f>
        <v>1399720</v>
      </c>
      <c r="AV74" s="51"/>
      <c r="AW74" s="51"/>
      <c r="AX74" s="51"/>
      <c r="AY74" s="51"/>
      <c r="AZ74" s="51"/>
      <c r="BA74" s="51"/>
      <c r="BB74" s="52">
        <f t="shared" ref="BB74:BB79" si="168">SUM(AU74:BA74)</f>
        <v>1399720</v>
      </c>
      <c r="BD74" s="51">
        <f>(BD2*BD3)</f>
        <v>5708858</v>
      </c>
      <c r="BE74" s="51"/>
      <c r="BF74" s="51"/>
      <c r="BG74" s="51"/>
      <c r="BH74" s="51"/>
      <c r="BI74" s="51"/>
      <c r="BJ74" s="51"/>
      <c r="BK74" s="52">
        <f t="shared" ref="BK74:BK79" si="169">SUM(BD74:BJ74)</f>
        <v>5708858</v>
      </c>
      <c r="BM74" s="51">
        <f>(BM2*BM3)</f>
        <v>0</v>
      </c>
      <c r="BN74" s="51"/>
      <c r="BO74" s="51"/>
      <c r="BP74" s="51"/>
      <c r="BQ74" s="51"/>
      <c r="BR74" s="51"/>
      <c r="BS74" s="51"/>
      <c r="BT74" s="52">
        <f t="shared" ref="BT74:BT79" si="170">SUM(BM74:BS74)</f>
        <v>0</v>
      </c>
      <c r="BV74" s="5">
        <f t="shared" ref="BV74:CA79" si="171">B74+K74+T74+AC74+AL74+AU74+BD74+BM74</f>
        <v>88642268</v>
      </c>
      <c r="BW74" s="5">
        <f t="shared" si="171"/>
        <v>0</v>
      </c>
      <c r="BX74" s="5">
        <f t="shared" si="171"/>
        <v>0</v>
      </c>
      <c r="BY74" s="5">
        <f t="shared" si="171"/>
        <v>0</v>
      </c>
      <c r="BZ74" s="5">
        <f t="shared" si="171"/>
        <v>0</v>
      </c>
      <c r="CA74" s="5">
        <f t="shared" si="171"/>
        <v>0</v>
      </c>
      <c r="CB74" s="51"/>
      <c r="CC74" s="52">
        <f t="shared" ref="CC74:CC79" si="172">SUM(BV74:CB74)</f>
        <v>88642268</v>
      </c>
    </row>
    <row r="75" spans="1:81">
      <c r="A75" s="29" t="s">
        <v>73</v>
      </c>
      <c r="B75" s="35">
        <f>4236*B21</f>
        <v>156708.59668508286</v>
      </c>
      <c r="C75" s="35"/>
      <c r="D75" s="35"/>
      <c r="E75" s="35"/>
      <c r="F75" s="35"/>
      <c r="G75" s="35"/>
      <c r="H75" s="35"/>
      <c r="I75" s="5">
        <f t="shared" si="163"/>
        <v>156708.59668508286</v>
      </c>
      <c r="J75" s="6"/>
      <c r="K75" s="35">
        <f>4236*K21</f>
        <v>94103.859099804293</v>
      </c>
      <c r="L75" s="35"/>
      <c r="M75" s="35"/>
      <c r="N75" s="35"/>
      <c r="O75" s="35"/>
      <c r="P75" s="35"/>
      <c r="Q75" s="35"/>
      <c r="R75" s="5">
        <f t="shared" si="164"/>
        <v>94103.859099804293</v>
      </c>
      <c r="T75" s="35">
        <f>4236*T21</f>
        <v>75150.829840737628</v>
      </c>
      <c r="U75" s="35"/>
      <c r="V75" s="35"/>
      <c r="W75" s="35"/>
      <c r="X75" s="35"/>
      <c r="Y75" s="35"/>
      <c r="Z75" s="35"/>
      <c r="AA75" s="5">
        <f t="shared" si="165"/>
        <v>75150.829840737628</v>
      </c>
      <c r="AC75" s="35">
        <f>4236*AC21</f>
        <v>193739.92814371255</v>
      </c>
      <c r="AD75" s="35"/>
      <c r="AE75" s="35"/>
      <c r="AF75" s="35"/>
      <c r="AG75" s="35"/>
      <c r="AH75" s="35"/>
      <c r="AI75" s="35"/>
      <c r="AJ75" s="5">
        <f t="shared" si="166"/>
        <v>193739.92814371255</v>
      </c>
      <c r="AL75" s="35">
        <f>4034*AL21</f>
        <v>174934.56098634965</v>
      </c>
      <c r="AM75" s="35"/>
      <c r="AN75" s="35"/>
      <c r="AO75" s="35"/>
      <c r="AP75" s="35"/>
      <c r="AQ75" s="35"/>
      <c r="AR75" s="35"/>
      <c r="AS75" s="5">
        <f t="shared" si="167"/>
        <v>174934.56098634965</v>
      </c>
      <c r="AU75" s="35">
        <f>4236*AU21</f>
        <v>4392.8888888888887</v>
      </c>
      <c r="AV75" s="35"/>
      <c r="AW75" s="35"/>
      <c r="AX75" s="35"/>
      <c r="AY75" s="35"/>
      <c r="AZ75" s="35"/>
      <c r="BA75" s="35"/>
      <c r="BB75" s="5">
        <f t="shared" si="168"/>
        <v>4392.8888888888887</v>
      </c>
      <c r="BD75" s="35">
        <f>4236*BD21</f>
        <v>200047.48872180452</v>
      </c>
      <c r="BE75" s="35"/>
      <c r="BF75" s="35"/>
      <c r="BG75" s="35"/>
      <c r="BH75" s="35"/>
      <c r="BI75" s="35"/>
      <c r="BJ75" s="35"/>
      <c r="BK75" s="5">
        <f t="shared" si="169"/>
        <v>200047.48872180452</v>
      </c>
      <c r="BM75" s="35">
        <f>4200*BM21</f>
        <v>0</v>
      </c>
      <c r="BN75" s="35"/>
      <c r="BO75" s="35"/>
      <c r="BP75" s="35"/>
      <c r="BQ75" s="35"/>
      <c r="BR75" s="35"/>
      <c r="BS75" s="35"/>
      <c r="BT75" s="5">
        <f t="shared" si="170"/>
        <v>0</v>
      </c>
      <c r="BV75" s="5">
        <f t="shared" si="171"/>
        <v>899078.15236638044</v>
      </c>
      <c r="BW75" s="5">
        <f t="shared" si="171"/>
        <v>0</v>
      </c>
      <c r="BX75" s="5">
        <f t="shared" si="171"/>
        <v>0</v>
      </c>
      <c r="BY75" s="5">
        <f t="shared" si="171"/>
        <v>0</v>
      </c>
      <c r="BZ75" s="5">
        <f t="shared" si="171"/>
        <v>0</v>
      </c>
      <c r="CA75" s="5">
        <f t="shared" si="171"/>
        <v>0</v>
      </c>
      <c r="CB75" s="35"/>
      <c r="CC75" s="5">
        <f t="shared" si="172"/>
        <v>899078.15236638044</v>
      </c>
    </row>
    <row r="76" spans="1:81">
      <c r="A76" s="29" t="s">
        <v>74</v>
      </c>
      <c r="B76" s="5">
        <f>1129*B22</f>
        <v>59169.580110497227</v>
      </c>
      <c r="C76" s="5"/>
      <c r="D76" s="5"/>
      <c r="E76" s="5"/>
      <c r="F76" s="5"/>
      <c r="G76" s="5"/>
      <c r="H76" s="5"/>
      <c r="I76" s="5">
        <f t="shared" si="163"/>
        <v>59169.580110497227</v>
      </c>
      <c r="J76" s="6"/>
      <c r="K76" s="5">
        <f>1129*K22</f>
        <v>76383.14677103718</v>
      </c>
      <c r="L76" s="5"/>
      <c r="M76" s="5"/>
      <c r="N76" s="5"/>
      <c r="O76" s="5"/>
      <c r="P76" s="5"/>
      <c r="Q76" s="5"/>
      <c r="R76" s="5">
        <f t="shared" si="164"/>
        <v>76383.14677103718</v>
      </c>
      <c r="T76" s="5">
        <f>1129*T22</f>
        <v>130781.3537300922</v>
      </c>
      <c r="U76" s="5"/>
      <c r="V76" s="5"/>
      <c r="W76" s="5"/>
      <c r="X76" s="5"/>
      <c r="Y76" s="5"/>
      <c r="Z76" s="5"/>
      <c r="AA76" s="5">
        <f t="shared" si="165"/>
        <v>130781.3537300922</v>
      </c>
      <c r="AC76" s="5">
        <f>1129*AC22</f>
        <v>78684.249786141983</v>
      </c>
      <c r="AD76" s="5"/>
      <c r="AE76" s="5"/>
      <c r="AF76" s="5"/>
      <c r="AG76" s="5"/>
      <c r="AH76" s="5"/>
      <c r="AI76" s="5"/>
      <c r="AJ76" s="5">
        <f t="shared" si="166"/>
        <v>78684.249786141983</v>
      </c>
      <c r="AL76" s="5">
        <f>1075*AL22</f>
        <v>129619.15455746368</v>
      </c>
      <c r="AM76" s="5"/>
      <c r="AN76" s="5"/>
      <c r="AO76" s="5"/>
      <c r="AP76" s="5"/>
      <c r="AQ76" s="5"/>
      <c r="AR76" s="5"/>
      <c r="AS76" s="5">
        <f t="shared" si="167"/>
        <v>129619.15455746368</v>
      </c>
      <c r="AU76" s="5">
        <f>1075*AU22</f>
        <v>0</v>
      </c>
      <c r="AV76" s="5"/>
      <c r="AW76" s="5"/>
      <c r="AX76" s="5"/>
      <c r="AY76" s="5"/>
      <c r="AZ76" s="5"/>
      <c r="BA76" s="5"/>
      <c r="BB76" s="5">
        <f t="shared" si="168"/>
        <v>0</v>
      </c>
      <c r="BD76" s="5">
        <f>1075*BD22</f>
        <v>0</v>
      </c>
      <c r="BE76" s="5"/>
      <c r="BF76" s="5"/>
      <c r="BG76" s="5"/>
      <c r="BH76" s="5"/>
      <c r="BI76" s="5"/>
      <c r="BJ76" s="5"/>
      <c r="BK76" s="5">
        <f t="shared" si="169"/>
        <v>0</v>
      </c>
      <c r="BM76" s="5">
        <f>1000*BM22</f>
        <v>0</v>
      </c>
      <c r="BN76" s="5"/>
      <c r="BO76" s="5"/>
      <c r="BP76" s="5"/>
      <c r="BQ76" s="5"/>
      <c r="BR76" s="5"/>
      <c r="BS76" s="5"/>
      <c r="BT76" s="5">
        <f t="shared" si="170"/>
        <v>0</v>
      </c>
      <c r="BV76" s="5">
        <f t="shared" si="171"/>
        <v>474637.48495523224</v>
      </c>
      <c r="BW76" s="5">
        <f t="shared" si="171"/>
        <v>0</v>
      </c>
      <c r="BX76" s="5">
        <f t="shared" si="171"/>
        <v>0</v>
      </c>
      <c r="BY76" s="5">
        <f t="shared" si="171"/>
        <v>0</v>
      </c>
      <c r="BZ76" s="5">
        <f t="shared" si="171"/>
        <v>0</v>
      </c>
      <c r="CA76" s="5">
        <f t="shared" si="171"/>
        <v>0</v>
      </c>
      <c r="CB76" s="5"/>
      <c r="CC76" s="5">
        <f t="shared" si="172"/>
        <v>474637.48495523224</v>
      </c>
    </row>
    <row r="77" spans="1:81">
      <c r="A77" s="29" t="s">
        <v>75</v>
      </c>
      <c r="B77" s="5">
        <f>3294*B24</f>
        <v>0</v>
      </c>
      <c r="C77" s="5"/>
      <c r="D77" s="5"/>
      <c r="E77" s="5"/>
      <c r="F77" s="5"/>
      <c r="G77" s="5"/>
      <c r="H77" s="5"/>
      <c r="I77" s="5">
        <f t="shared" si="163"/>
        <v>0</v>
      </c>
      <c r="K77" s="5">
        <f>3294*K24</f>
        <v>0</v>
      </c>
      <c r="L77" s="5"/>
      <c r="M77" s="5"/>
      <c r="N77" s="5"/>
      <c r="O77" s="5"/>
      <c r="P77" s="5"/>
      <c r="Q77" s="5"/>
      <c r="R77" s="5">
        <f t="shared" si="164"/>
        <v>0</v>
      </c>
      <c r="T77" s="5">
        <f>3294*T24</f>
        <v>0</v>
      </c>
      <c r="U77" s="5"/>
      <c r="V77" s="5"/>
      <c r="W77" s="5"/>
      <c r="X77" s="5"/>
      <c r="Y77" s="5"/>
      <c r="Z77" s="5"/>
      <c r="AA77" s="5">
        <f t="shared" si="165"/>
        <v>0</v>
      </c>
      <c r="AC77" s="5">
        <f>3294*AC24</f>
        <v>500688</v>
      </c>
      <c r="AD77" s="5"/>
      <c r="AE77" s="5"/>
      <c r="AF77" s="5"/>
      <c r="AG77" s="5"/>
      <c r="AH77" s="5"/>
      <c r="AI77" s="5"/>
      <c r="AJ77" s="5">
        <f t="shared" si="166"/>
        <v>500688</v>
      </c>
      <c r="AL77" s="5">
        <f>3294*AL24</f>
        <v>401868</v>
      </c>
      <c r="AM77" s="5"/>
      <c r="AN77" s="5"/>
      <c r="AO77" s="5"/>
      <c r="AP77" s="5"/>
      <c r="AQ77" s="5"/>
      <c r="AR77" s="5"/>
      <c r="AS77" s="5">
        <f t="shared" si="167"/>
        <v>401868</v>
      </c>
      <c r="AU77" s="5">
        <f>3294*AU24</f>
        <v>128466</v>
      </c>
      <c r="AV77" s="5"/>
      <c r="AW77" s="5"/>
      <c r="AX77" s="5"/>
      <c r="AY77" s="5"/>
      <c r="AZ77" s="5"/>
      <c r="BA77" s="5"/>
      <c r="BB77" s="5">
        <f t="shared" si="168"/>
        <v>128466</v>
      </c>
      <c r="BD77" s="5">
        <f>3294*BD24</f>
        <v>115290</v>
      </c>
      <c r="BE77" s="5"/>
      <c r="BF77" s="5"/>
      <c r="BG77" s="5"/>
      <c r="BH77" s="5"/>
      <c r="BI77" s="5"/>
      <c r="BJ77" s="5"/>
      <c r="BK77" s="5">
        <f t="shared" si="169"/>
        <v>115290</v>
      </c>
      <c r="BM77" s="5">
        <f>3294*BM24</f>
        <v>0</v>
      </c>
      <c r="BN77" s="5"/>
      <c r="BO77" s="5"/>
      <c r="BP77" s="5"/>
      <c r="BQ77" s="5"/>
      <c r="BR77" s="5"/>
      <c r="BS77" s="5"/>
      <c r="BT77" s="5">
        <f t="shared" si="170"/>
        <v>0</v>
      </c>
      <c r="BV77" s="5">
        <f t="shared" si="171"/>
        <v>1146312</v>
      </c>
      <c r="BW77" s="5">
        <f t="shared" si="171"/>
        <v>0</v>
      </c>
      <c r="BX77" s="5">
        <f t="shared" si="171"/>
        <v>0</v>
      </c>
      <c r="BY77" s="5">
        <f t="shared" si="171"/>
        <v>0</v>
      </c>
      <c r="BZ77" s="5">
        <f t="shared" si="171"/>
        <v>0</v>
      </c>
      <c r="CA77" s="5">
        <f t="shared" si="171"/>
        <v>0</v>
      </c>
      <c r="CB77" s="5"/>
      <c r="CC77" s="5">
        <f t="shared" si="172"/>
        <v>1146312</v>
      </c>
    </row>
    <row r="78" spans="1:81">
      <c r="A78" s="29" t="s">
        <v>76</v>
      </c>
      <c r="B78" s="35">
        <v>0</v>
      </c>
      <c r="C78" s="35">
        <v>157805</v>
      </c>
      <c r="D78" s="35"/>
      <c r="E78" s="35"/>
      <c r="F78" s="35"/>
      <c r="G78" s="35"/>
      <c r="H78" s="35"/>
      <c r="I78" s="35">
        <f t="shared" si="163"/>
        <v>157805</v>
      </c>
      <c r="J78" s="53"/>
      <c r="K78" s="35">
        <v>0</v>
      </c>
      <c r="L78" s="35">
        <v>128410</v>
      </c>
      <c r="M78" s="35"/>
      <c r="N78" s="35"/>
      <c r="O78" s="35"/>
      <c r="P78" s="35"/>
      <c r="Q78" s="35"/>
      <c r="R78" s="35">
        <f t="shared" si="164"/>
        <v>128410</v>
      </c>
      <c r="T78" s="35">
        <v>0</v>
      </c>
      <c r="U78" s="35">
        <v>170182</v>
      </c>
      <c r="V78" s="35"/>
      <c r="W78" s="35"/>
      <c r="X78" s="35"/>
      <c r="Y78" s="35"/>
      <c r="Z78" s="35"/>
      <c r="AA78" s="35">
        <f t="shared" si="165"/>
        <v>170182</v>
      </c>
      <c r="AC78" s="35">
        <v>0</v>
      </c>
      <c r="AD78" s="35">
        <v>450210</v>
      </c>
      <c r="AE78" s="35"/>
      <c r="AF78" s="35"/>
      <c r="AG78" s="35"/>
      <c r="AH78" s="35"/>
      <c r="AI78" s="35"/>
      <c r="AJ78" s="35">
        <f t="shared" si="166"/>
        <v>450210</v>
      </c>
      <c r="AL78" s="35">
        <v>0</v>
      </c>
      <c r="AM78" s="35">
        <v>326441</v>
      </c>
      <c r="AN78" s="35"/>
      <c r="AO78" s="35"/>
      <c r="AP78" s="35"/>
      <c r="AQ78" s="35"/>
      <c r="AR78" s="35"/>
      <c r="AS78" s="35">
        <f t="shared" si="167"/>
        <v>326441</v>
      </c>
      <c r="AU78" s="35">
        <v>0</v>
      </c>
      <c r="AV78" s="35">
        <v>15471</v>
      </c>
      <c r="AW78" s="35"/>
      <c r="AX78" s="35"/>
      <c r="AY78" s="35"/>
      <c r="AZ78" s="35"/>
      <c r="BA78" s="35"/>
      <c r="BB78" s="35">
        <f t="shared" si="168"/>
        <v>15471</v>
      </c>
      <c r="BD78" s="35">
        <v>0</v>
      </c>
      <c r="BE78" s="35"/>
      <c r="BF78" s="35"/>
      <c r="BG78" s="35"/>
      <c r="BH78" s="35"/>
      <c r="BI78" s="35"/>
      <c r="BJ78" s="35"/>
      <c r="BK78" s="35">
        <f t="shared" si="169"/>
        <v>0</v>
      </c>
      <c r="BM78" s="35">
        <v>0</v>
      </c>
      <c r="BN78" s="35">
        <v>0</v>
      </c>
      <c r="BO78" s="35"/>
      <c r="BP78" s="35"/>
      <c r="BQ78" s="35"/>
      <c r="BR78" s="35"/>
      <c r="BS78" s="35"/>
      <c r="BT78" s="35">
        <f t="shared" si="170"/>
        <v>0</v>
      </c>
      <c r="BV78" s="5">
        <f t="shared" si="171"/>
        <v>0</v>
      </c>
      <c r="BW78" s="5">
        <f t="shared" si="171"/>
        <v>1248519</v>
      </c>
      <c r="BX78" s="5">
        <f t="shared" si="171"/>
        <v>0</v>
      </c>
      <c r="BY78" s="5">
        <f t="shared" si="171"/>
        <v>0</v>
      </c>
      <c r="BZ78" s="5">
        <f t="shared" si="171"/>
        <v>0</v>
      </c>
      <c r="CA78" s="5">
        <f t="shared" si="171"/>
        <v>0</v>
      </c>
      <c r="CB78" s="35"/>
      <c r="CC78" s="35">
        <f t="shared" si="172"/>
        <v>1248519</v>
      </c>
    </row>
    <row r="79" spans="1:81">
      <c r="A79" s="29" t="s">
        <v>77</v>
      </c>
      <c r="B79" s="35">
        <v>0</v>
      </c>
      <c r="C79" s="35">
        <f>3800*C20</f>
        <v>472501.65745856357</v>
      </c>
      <c r="D79" s="35"/>
      <c r="E79" s="35"/>
      <c r="F79" s="35"/>
      <c r="G79" s="35"/>
      <c r="H79" s="35"/>
      <c r="I79" s="35">
        <f t="shared" si="163"/>
        <v>472501.65745856357</v>
      </c>
      <c r="J79" s="53"/>
      <c r="K79" s="35">
        <v>0</v>
      </c>
      <c r="L79" s="35">
        <f>3800*L20</f>
        <v>280114.28571428568</v>
      </c>
      <c r="M79" s="35"/>
      <c r="N79" s="35"/>
      <c r="O79" s="35"/>
      <c r="P79" s="35"/>
      <c r="Q79" s="35"/>
      <c r="R79" s="35">
        <f t="shared" si="164"/>
        <v>280114.28571428568</v>
      </c>
      <c r="T79" s="35">
        <v>0</v>
      </c>
      <c r="U79" s="35">
        <f>3800*U20</f>
        <v>428288.34870075434</v>
      </c>
      <c r="V79" s="35"/>
      <c r="W79" s="35"/>
      <c r="X79" s="35"/>
      <c r="Y79" s="35"/>
      <c r="Z79" s="35"/>
      <c r="AA79" s="35">
        <f t="shared" si="165"/>
        <v>428288.34870075434</v>
      </c>
      <c r="AC79" s="35">
        <v>0</v>
      </c>
      <c r="AD79" s="35">
        <f>3800*AD20</f>
        <v>1150382.5491873394</v>
      </c>
      <c r="AE79" s="35"/>
      <c r="AF79" s="35"/>
      <c r="AG79" s="35"/>
      <c r="AH79" s="35"/>
      <c r="AI79" s="35"/>
      <c r="AJ79" s="35">
        <f t="shared" si="166"/>
        <v>1150382.5491873394</v>
      </c>
      <c r="AL79" s="35">
        <v>0</v>
      </c>
      <c r="AM79" s="35">
        <f>3800*AM20</f>
        <v>856089.29986789962</v>
      </c>
      <c r="AN79" s="35"/>
      <c r="AO79" s="35"/>
      <c r="AP79" s="35"/>
      <c r="AQ79" s="35"/>
      <c r="AR79" s="35"/>
      <c r="AS79" s="35">
        <f t="shared" si="167"/>
        <v>856089.29986789962</v>
      </c>
      <c r="AU79" s="35">
        <v>0</v>
      </c>
      <c r="AV79" s="35">
        <f>3800*AV20</f>
        <v>70933.333333333343</v>
      </c>
      <c r="AW79" s="35"/>
      <c r="AX79" s="35"/>
      <c r="AY79" s="35"/>
      <c r="AZ79" s="35"/>
      <c r="BA79" s="35"/>
      <c r="BB79" s="35">
        <f t="shared" si="168"/>
        <v>70933.333333333343</v>
      </c>
      <c r="BD79" s="35">
        <v>0</v>
      </c>
      <c r="BE79" s="35">
        <f>3800*BE20</f>
        <v>138671.42857142855</v>
      </c>
      <c r="BF79" s="35"/>
      <c r="BG79" s="35"/>
      <c r="BH79" s="35"/>
      <c r="BI79" s="35"/>
      <c r="BJ79" s="35"/>
      <c r="BK79" s="35">
        <f t="shared" si="169"/>
        <v>138671.42857142855</v>
      </c>
      <c r="BM79" s="35">
        <v>0</v>
      </c>
      <c r="BN79" s="35">
        <f>2500*BN20</f>
        <v>0</v>
      </c>
      <c r="BO79" s="35"/>
      <c r="BP79" s="35"/>
      <c r="BQ79" s="35"/>
      <c r="BR79" s="35"/>
      <c r="BS79" s="35"/>
      <c r="BT79" s="35">
        <f t="shared" si="170"/>
        <v>0</v>
      </c>
      <c r="BV79" s="5">
        <f t="shared" si="171"/>
        <v>0</v>
      </c>
      <c r="BW79" s="5">
        <f t="shared" si="171"/>
        <v>3396980.9028336047</v>
      </c>
      <c r="BX79" s="5">
        <f t="shared" si="171"/>
        <v>0</v>
      </c>
      <c r="BY79" s="5">
        <f t="shared" si="171"/>
        <v>0</v>
      </c>
      <c r="BZ79" s="5">
        <f t="shared" si="171"/>
        <v>0</v>
      </c>
      <c r="CA79" s="5">
        <f t="shared" si="171"/>
        <v>0</v>
      </c>
      <c r="CB79" s="35"/>
      <c r="CC79" s="35">
        <f t="shared" si="172"/>
        <v>3396980.9028336047</v>
      </c>
    </row>
    <row r="80" spans="1:81" ht="15">
      <c r="A80" s="54" t="s">
        <v>78</v>
      </c>
      <c r="B80" s="55">
        <f t="shared" ref="B80:I80" si="173">SUM(B74:B79)</f>
        <v>9514018.1767955814</v>
      </c>
      <c r="C80" s="55">
        <f t="shared" si="173"/>
        <v>630306.65745856357</v>
      </c>
      <c r="D80" s="55">
        <f t="shared" si="173"/>
        <v>0</v>
      </c>
      <c r="E80" s="55"/>
      <c r="F80" s="55">
        <f t="shared" si="173"/>
        <v>0</v>
      </c>
      <c r="G80" s="55">
        <f t="shared" si="173"/>
        <v>0</v>
      </c>
      <c r="H80" s="55">
        <f t="shared" si="173"/>
        <v>0</v>
      </c>
      <c r="I80" s="55">
        <f t="shared" si="173"/>
        <v>10144324.834254146</v>
      </c>
      <c r="J80" s="7"/>
      <c r="K80" s="55">
        <f t="shared" ref="K80:R80" si="174">SUM(K74:K79)</f>
        <v>10488423.005870841</v>
      </c>
      <c r="L80" s="55">
        <f t="shared" si="174"/>
        <v>408524.28571428568</v>
      </c>
      <c r="M80" s="55">
        <f t="shared" si="174"/>
        <v>0</v>
      </c>
      <c r="N80" s="55"/>
      <c r="O80" s="55">
        <f t="shared" si="174"/>
        <v>0</v>
      </c>
      <c r="P80" s="55">
        <f t="shared" si="174"/>
        <v>0</v>
      </c>
      <c r="Q80" s="55">
        <f t="shared" si="174"/>
        <v>0</v>
      </c>
      <c r="R80" s="55">
        <f t="shared" si="174"/>
        <v>10896947.291585127</v>
      </c>
      <c r="T80" s="55">
        <f t="shared" ref="T80:AA80" si="175">SUM(T74:T79)</f>
        <v>12653442.18357083</v>
      </c>
      <c r="U80" s="55">
        <f t="shared" si="175"/>
        <v>598470.34870075434</v>
      </c>
      <c r="V80" s="55">
        <f t="shared" si="175"/>
        <v>0</v>
      </c>
      <c r="W80" s="55"/>
      <c r="X80" s="55">
        <f t="shared" si="175"/>
        <v>0</v>
      </c>
      <c r="Y80" s="55">
        <f t="shared" si="175"/>
        <v>0</v>
      </c>
      <c r="Z80" s="55">
        <f t="shared" si="175"/>
        <v>0</v>
      </c>
      <c r="AA80" s="55">
        <f t="shared" si="175"/>
        <v>13251912.532271584</v>
      </c>
      <c r="AC80" s="55">
        <f t="shared" ref="AC80:AJ80" si="176">SUM(AC74:AC79)</f>
        <v>26228020.177929856</v>
      </c>
      <c r="AD80" s="55">
        <f t="shared" si="176"/>
        <v>1600592.5491873394</v>
      </c>
      <c r="AE80" s="55">
        <f t="shared" si="176"/>
        <v>0</v>
      </c>
      <c r="AF80" s="55">
        <f t="shared" si="176"/>
        <v>0</v>
      </c>
      <c r="AG80" s="55">
        <f t="shared" si="176"/>
        <v>0</v>
      </c>
      <c r="AH80" s="55">
        <f t="shared" si="176"/>
        <v>0</v>
      </c>
      <c r="AI80" s="55">
        <f t="shared" si="176"/>
        <v>0</v>
      </c>
      <c r="AJ80" s="55">
        <f t="shared" si="176"/>
        <v>27828612.727117196</v>
      </c>
      <c r="AL80" s="55">
        <f t="shared" ref="AL80:AS80" si="177">SUM(AL74:AL79)</f>
        <v>24721617.715543814</v>
      </c>
      <c r="AM80" s="55">
        <f t="shared" si="177"/>
        <v>1182530.2998678996</v>
      </c>
      <c r="AN80" s="55">
        <f t="shared" si="177"/>
        <v>0</v>
      </c>
      <c r="AO80" s="55"/>
      <c r="AP80" s="55">
        <f t="shared" si="177"/>
        <v>0</v>
      </c>
      <c r="AQ80" s="55">
        <f t="shared" si="177"/>
        <v>0</v>
      </c>
      <c r="AR80" s="55">
        <f t="shared" si="177"/>
        <v>0</v>
      </c>
      <c r="AS80" s="55">
        <f t="shared" si="177"/>
        <v>25904148.015411712</v>
      </c>
      <c r="AU80" s="55">
        <f t="shared" ref="AU80:BB80" si="178">SUM(AU74:AU79)</f>
        <v>1532578.888888889</v>
      </c>
      <c r="AV80" s="55">
        <f t="shared" si="178"/>
        <v>86404.333333333343</v>
      </c>
      <c r="AW80" s="55">
        <f t="shared" si="178"/>
        <v>0</v>
      </c>
      <c r="AX80" s="55"/>
      <c r="AY80" s="55">
        <f t="shared" si="178"/>
        <v>0</v>
      </c>
      <c r="AZ80" s="55">
        <f t="shared" si="178"/>
        <v>0</v>
      </c>
      <c r="BA80" s="55">
        <f t="shared" si="178"/>
        <v>0</v>
      </c>
      <c r="BB80" s="55">
        <f t="shared" si="178"/>
        <v>1618983.2222222222</v>
      </c>
      <c r="BD80" s="55">
        <f t="shared" ref="BD80:BK80" si="179">SUM(BD74:BD79)</f>
        <v>6024195.4887218047</v>
      </c>
      <c r="BE80" s="55">
        <f t="shared" si="179"/>
        <v>138671.42857142855</v>
      </c>
      <c r="BF80" s="55">
        <f t="shared" si="179"/>
        <v>0</v>
      </c>
      <c r="BG80" s="55"/>
      <c r="BH80" s="55">
        <f t="shared" si="179"/>
        <v>0</v>
      </c>
      <c r="BI80" s="55">
        <f t="shared" si="179"/>
        <v>0</v>
      </c>
      <c r="BJ80" s="55">
        <f t="shared" si="179"/>
        <v>0</v>
      </c>
      <c r="BK80" s="55">
        <f t="shared" si="179"/>
        <v>6162866.9172932329</v>
      </c>
      <c r="BM80" s="55">
        <f t="shared" ref="BM80:BT80" si="180">SUM(BM74:BM79)</f>
        <v>0</v>
      </c>
      <c r="BN80" s="55">
        <f t="shared" si="180"/>
        <v>0</v>
      </c>
      <c r="BO80" s="55">
        <f t="shared" si="180"/>
        <v>0</v>
      </c>
      <c r="BP80" s="55"/>
      <c r="BQ80" s="55">
        <f t="shared" si="180"/>
        <v>0</v>
      </c>
      <c r="BR80" s="55">
        <f t="shared" si="180"/>
        <v>0</v>
      </c>
      <c r="BS80" s="55">
        <f t="shared" si="180"/>
        <v>0</v>
      </c>
      <c r="BT80" s="55">
        <f t="shared" si="180"/>
        <v>0</v>
      </c>
      <c r="BV80" s="55">
        <f t="shared" ref="BV80:BX80" si="181">SUM(BV74:BV79)</f>
        <v>91162295.637321621</v>
      </c>
      <c r="BW80" s="55">
        <f t="shared" si="181"/>
        <v>4645499.9028336052</v>
      </c>
      <c r="BX80" s="55">
        <f t="shared" si="181"/>
        <v>0</v>
      </c>
      <c r="BY80" s="55"/>
      <c r="BZ80" s="55">
        <f t="shared" ref="BZ80:CC80" si="182">SUM(BZ74:BZ79)</f>
        <v>0</v>
      </c>
      <c r="CA80" s="55">
        <f t="shared" si="182"/>
        <v>0</v>
      </c>
      <c r="CB80" s="55">
        <f t="shared" si="182"/>
        <v>0</v>
      </c>
      <c r="CC80" s="55">
        <f t="shared" si="182"/>
        <v>95807795.540155232</v>
      </c>
    </row>
    <row r="81" spans="1:81" ht="15">
      <c r="A81" s="56" t="s">
        <v>79</v>
      </c>
      <c r="B81" s="49"/>
      <c r="C81" s="49"/>
      <c r="D81" s="49"/>
      <c r="E81" s="49"/>
      <c r="F81" s="49"/>
      <c r="G81" s="49"/>
      <c r="H81" s="49"/>
      <c r="I81" s="50"/>
      <c r="J81" s="7"/>
      <c r="K81" s="49"/>
      <c r="L81" s="49"/>
      <c r="M81" s="49"/>
      <c r="N81" s="49"/>
      <c r="O81" s="49"/>
      <c r="P81" s="49"/>
      <c r="Q81" s="49"/>
      <c r="R81" s="50"/>
      <c r="T81" s="49"/>
      <c r="U81" s="49"/>
      <c r="V81" s="49"/>
      <c r="W81" s="49"/>
      <c r="X81" s="49"/>
      <c r="Y81" s="49"/>
      <c r="Z81" s="49"/>
      <c r="AA81" s="50"/>
      <c r="AC81" s="49"/>
      <c r="AD81" s="49"/>
      <c r="AE81" s="49"/>
      <c r="AF81" s="49"/>
      <c r="AG81" s="49"/>
      <c r="AH81" s="49"/>
      <c r="AI81" s="49"/>
      <c r="AJ81" s="50"/>
      <c r="AL81" s="49"/>
      <c r="AM81" s="49"/>
      <c r="AN81" s="49"/>
      <c r="AO81" s="49"/>
      <c r="AP81" s="49"/>
      <c r="AQ81" s="49"/>
      <c r="AR81" s="49"/>
      <c r="AS81" s="50"/>
      <c r="AU81" s="49"/>
      <c r="AV81" s="49"/>
      <c r="AW81" s="49"/>
      <c r="AX81" s="49"/>
      <c r="AY81" s="49"/>
      <c r="AZ81" s="49"/>
      <c r="BA81" s="49"/>
      <c r="BB81" s="50"/>
      <c r="BD81" s="49"/>
      <c r="BE81" s="49"/>
      <c r="BF81" s="49"/>
      <c r="BG81" s="49"/>
      <c r="BH81" s="49"/>
      <c r="BI81" s="49"/>
      <c r="BJ81" s="49"/>
      <c r="BK81" s="50"/>
      <c r="BM81" s="49"/>
      <c r="BN81" s="49"/>
      <c r="BO81" s="49"/>
      <c r="BP81" s="49"/>
      <c r="BQ81" s="49"/>
      <c r="BR81" s="49"/>
      <c r="BS81" s="49"/>
      <c r="BT81" s="50"/>
      <c r="BV81" s="49"/>
      <c r="BW81" s="49"/>
      <c r="BX81" s="49"/>
      <c r="BY81" s="49"/>
      <c r="BZ81" s="49"/>
      <c r="CA81" s="49"/>
      <c r="CB81" s="49"/>
      <c r="CC81" s="50"/>
    </row>
    <row r="82" spans="1:81">
      <c r="A82" s="29" t="s">
        <v>80</v>
      </c>
      <c r="B82" s="5"/>
      <c r="C82" s="5">
        <f>C20*1100</f>
        <v>136776.79558011051</v>
      </c>
      <c r="D82" s="5"/>
      <c r="E82" s="5"/>
      <c r="F82" s="5"/>
      <c r="G82" s="5"/>
      <c r="H82" s="5"/>
      <c r="I82" s="5">
        <f>SUM(B82:H82)</f>
        <v>136776.79558011051</v>
      </c>
      <c r="J82" s="6"/>
      <c r="K82" s="5"/>
      <c r="L82" s="5">
        <f>L20*1100</f>
        <v>81085.714285714275</v>
      </c>
      <c r="M82" s="5"/>
      <c r="N82" s="5"/>
      <c r="O82" s="5"/>
      <c r="P82" s="5"/>
      <c r="Q82" s="5"/>
      <c r="R82" s="5">
        <f>SUM(K82:Q82)</f>
        <v>81085.714285714275</v>
      </c>
      <c r="T82" s="5"/>
      <c r="U82" s="5">
        <f>U20*1100</f>
        <v>123978.20620284995</v>
      </c>
      <c r="V82" s="5"/>
      <c r="W82" s="5"/>
      <c r="X82" s="5"/>
      <c r="Y82" s="5"/>
      <c r="Z82" s="5"/>
      <c r="AA82" s="5">
        <f>SUM(T82:Z82)</f>
        <v>123978.20620284995</v>
      </c>
      <c r="AC82" s="5"/>
      <c r="AD82" s="5">
        <f>AD20*1100</f>
        <v>333005.47476475616</v>
      </c>
      <c r="AE82" s="5"/>
      <c r="AF82" s="5"/>
      <c r="AG82" s="5"/>
      <c r="AH82" s="5"/>
      <c r="AI82" s="5"/>
      <c r="AJ82" s="5">
        <f>SUM(AC82:AI82)</f>
        <v>333005.47476475616</v>
      </c>
      <c r="AL82" s="5"/>
      <c r="AM82" s="5">
        <f>AM20*1100</f>
        <v>247815.32364597096</v>
      </c>
      <c r="AN82" s="5"/>
      <c r="AO82" s="5"/>
      <c r="AP82" s="5"/>
      <c r="AQ82" s="5"/>
      <c r="AR82" s="5"/>
      <c r="AS82" s="5">
        <f>SUM(AL82:AR82)</f>
        <v>247815.32364597096</v>
      </c>
      <c r="AU82" s="5"/>
      <c r="AV82" s="5">
        <f>AV20*1100</f>
        <v>20533.333333333336</v>
      </c>
      <c r="AW82" s="5"/>
      <c r="AX82" s="5"/>
      <c r="AY82" s="5"/>
      <c r="AZ82" s="5"/>
      <c r="BA82" s="5"/>
      <c r="BB82" s="5">
        <f>SUM(AU82:BA82)</f>
        <v>20533.333333333336</v>
      </c>
      <c r="BD82" s="5"/>
      <c r="BE82" s="5">
        <f>BE20*1100</f>
        <v>40141.729323308267</v>
      </c>
      <c r="BF82" s="11"/>
      <c r="BG82" s="5"/>
      <c r="BH82" s="5"/>
      <c r="BI82" s="5"/>
      <c r="BJ82" s="5"/>
      <c r="BK82" s="5">
        <f>SUM(BD82:BJ82)</f>
        <v>40141.729323308267</v>
      </c>
      <c r="BM82" s="5"/>
      <c r="BN82" s="5">
        <v>0</v>
      </c>
      <c r="BO82" s="5"/>
      <c r="BP82" s="5"/>
      <c r="BQ82" s="5"/>
      <c r="BR82" s="5"/>
      <c r="BS82" s="5"/>
      <c r="BT82" s="5">
        <f>SUM(BM82:BS82)</f>
        <v>0</v>
      </c>
      <c r="BV82" s="5">
        <f t="shared" ref="BV82:CA89" si="183">B82+K82+T82+AC82+AL82+AU82+BD82+BM82</f>
        <v>0</v>
      </c>
      <c r="BW82" s="5">
        <f t="shared" si="183"/>
        <v>983336.57713604334</v>
      </c>
      <c r="BX82" s="5">
        <f t="shared" si="183"/>
        <v>0</v>
      </c>
      <c r="BY82" s="5">
        <f t="shared" si="183"/>
        <v>0</v>
      </c>
      <c r="BZ82" s="5">
        <f t="shared" si="183"/>
        <v>0</v>
      </c>
      <c r="CA82" s="5">
        <f t="shared" si="183"/>
        <v>0</v>
      </c>
      <c r="CB82" s="5"/>
      <c r="CC82" s="5">
        <f>SUM(BV82:CB82)</f>
        <v>983336.57713604334</v>
      </c>
    </row>
    <row r="83" spans="1:81">
      <c r="A83" s="29" t="s">
        <v>81</v>
      </c>
      <c r="B83" s="5"/>
      <c r="C83" s="5"/>
      <c r="D83" s="11"/>
      <c r="E83" s="11"/>
      <c r="F83" s="11"/>
      <c r="G83" s="11"/>
      <c r="H83" s="11"/>
      <c r="I83" s="5">
        <f t="shared" ref="I83:I95" si="184">SUM(B83:H83)</f>
        <v>0</v>
      </c>
      <c r="J83" s="57"/>
      <c r="K83" s="5"/>
      <c r="L83" s="5"/>
      <c r="M83" s="11">
        <v>0</v>
      </c>
      <c r="N83" s="11"/>
      <c r="O83" s="11"/>
      <c r="P83" s="11"/>
      <c r="Q83" s="11"/>
      <c r="R83" s="5">
        <f t="shared" ref="R83:R95" si="185">SUM(K83:Q83)</f>
        <v>0</v>
      </c>
      <c r="T83" s="5"/>
      <c r="U83" s="5"/>
      <c r="V83" s="11">
        <v>0</v>
      </c>
      <c r="W83" s="11"/>
      <c r="X83" s="11"/>
      <c r="Y83" s="11"/>
      <c r="Z83" s="11"/>
      <c r="AA83" s="5">
        <f t="shared" ref="AA83:AA95" si="186">SUM(T83:Z83)</f>
        <v>0</v>
      </c>
      <c r="AC83" s="5"/>
      <c r="AD83" s="5"/>
      <c r="AE83" s="11">
        <v>0</v>
      </c>
      <c r="AF83" s="11"/>
      <c r="AG83" s="11"/>
      <c r="AH83" s="11"/>
      <c r="AI83" s="11"/>
      <c r="AJ83" s="5">
        <f t="shared" ref="AJ83:AJ95" si="187">SUM(AC83:AI83)</f>
        <v>0</v>
      </c>
      <c r="AL83" s="5"/>
      <c r="AM83" s="5"/>
      <c r="AN83" s="11">
        <v>0</v>
      </c>
      <c r="AO83" s="11"/>
      <c r="AP83" s="11"/>
      <c r="AQ83" s="11"/>
      <c r="AR83" s="11"/>
      <c r="AS83" s="5">
        <f t="shared" ref="AS83:AS95" si="188">SUM(AL83:AR83)</f>
        <v>0</v>
      </c>
      <c r="AU83" s="5"/>
      <c r="AV83" s="5"/>
      <c r="AW83" s="11"/>
      <c r="AX83" s="11"/>
      <c r="AY83" s="11"/>
      <c r="AZ83" s="11"/>
      <c r="BA83" s="11"/>
      <c r="BB83" s="5">
        <f t="shared" ref="BB83:BB95" si="189">SUM(AU83:BA83)</f>
        <v>0</v>
      </c>
      <c r="BD83" s="5"/>
      <c r="BE83" s="5"/>
      <c r="BF83" s="11">
        <f>((BD17*0.93)*2.28*180)</f>
        <v>217934.712</v>
      </c>
      <c r="BG83" s="11"/>
      <c r="BH83" s="11"/>
      <c r="BI83" s="11"/>
      <c r="BJ83" s="11"/>
      <c r="BK83" s="5">
        <f t="shared" ref="BK83:BK95" si="190">SUM(BD83:BJ83)</f>
        <v>217934.712</v>
      </c>
      <c r="BM83" s="5"/>
      <c r="BN83" s="5"/>
      <c r="BO83" s="11"/>
      <c r="BP83" s="11"/>
      <c r="BQ83" s="11"/>
      <c r="BR83" s="11"/>
      <c r="BS83" s="11"/>
      <c r="BT83" s="5">
        <f t="shared" ref="BT83:BT95" si="191">SUM(BM83:BS83)</f>
        <v>0</v>
      </c>
      <c r="BV83" s="5">
        <f t="shared" si="183"/>
        <v>0</v>
      </c>
      <c r="BW83" s="5">
        <f t="shared" si="183"/>
        <v>0</v>
      </c>
      <c r="BX83" s="5">
        <f t="shared" si="183"/>
        <v>217934.712</v>
      </c>
      <c r="BY83" s="5">
        <f t="shared" si="183"/>
        <v>0</v>
      </c>
      <c r="BZ83" s="5">
        <f t="shared" si="183"/>
        <v>0</v>
      </c>
      <c r="CA83" s="5">
        <f t="shared" si="183"/>
        <v>0</v>
      </c>
      <c r="CB83" s="11"/>
      <c r="CC83" s="5">
        <f t="shared" ref="CC83:CC88" si="192">SUM(BV83:CB83)</f>
        <v>217934.712</v>
      </c>
    </row>
    <row r="84" spans="1:81">
      <c r="A84" s="29" t="s">
        <v>82</v>
      </c>
      <c r="B84" s="35"/>
      <c r="C84" s="35"/>
      <c r="D84" s="11">
        <f>((B17*0.51)*4.33*180)</f>
        <v>369669.42</v>
      </c>
      <c r="E84" s="11"/>
      <c r="F84" s="11"/>
      <c r="G84" s="11"/>
      <c r="H84" s="11"/>
      <c r="I84" s="5">
        <f t="shared" si="184"/>
        <v>369669.42</v>
      </c>
      <c r="J84" s="57"/>
      <c r="K84" s="35"/>
      <c r="L84" s="35"/>
      <c r="M84" s="11">
        <f>((K17*0.35)*4.33*180)</f>
        <v>281519.27999999997</v>
      </c>
      <c r="N84" s="11"/>
      <c r="O84" s="11"/>
      <c r="P84" s="11"/>
      <c r="Q84" s="11"/>
      <c r="R84" s="5">
        <f t="shared" si="185"/>
        <v>281519.27999999997</v>
      </c>
      <c r="T84" s="35"/>
      <c r="U84" s="35"/>
      <c r="V84" s="11">
        <f>((T17*0.17)*4.33*180)</f>
        <v>164960.01</v>
      </c>
      <c r="W84" s="11"/>
      <c r="X84" s="11"/>
      <c r="Y84" s="11"/>
      <c r="Z84" s="11"/>
      <c r="AA84" s="5">
        <f t="shared" si="186"/>
        <v>164960.01</v>
      </c>
      <c r="AC84" s="35"/>
      <c r="AD84" s="35"/>
      <c r="AE84" s="11">
        <f>((AC17*0.45)*4.33*180)</f>
        <v>892958.58000000007</v>
      </c>
      <c r="AF84" s="11"/>
      <c r="AG84" s="11"/>
      <c r="AH84" s="11"/>
      <c r="AI84" s="11"/>
      <c r="AJ84" s="5">
        <f t="shared" si="187"/>
        <v>892958.58000000007</v>
      </c>
      <c r="AL84" s="35"/>
      <c r="AM84" s="35"/>
      <c r="AN84" s="11">
        <f>((AL17*0.31)*4.33*180)</f>
        <v>580356.82799999998</v>
      </c>
      <c r="AO84" s="11"/>
      <c r="AP84" s="11"/>
      <c r="AQ84" s="11"/>
      <c r="AR84" s="11"/>
      <c r="AS84" s="5">
        <f t="shared" si="188"/>
        <v>580356.82799999998</v>
      </c>
      <c r="AU84" s="35"/>
      <c r="AV84" s="35"/>
      <c r="AW84" s="11">
        <f>((AU17*0.02)*4.33*180)</f>
        <v>2182.3200000000002</v>
      </c>
      <c r="AX84" s="11"/>
      <c r="AY84" s="11"/>
      <c r="AZ84" s="11"/>
      <c r="BA84" s="11"/>
      <c r="BB84" s="5">
        <f t="shared" si="189"/>
        <v>2182.3200000000002</v>
      </c>
      <c r="BD84" s="35"/>
      <c r="BE84" s="35"/>
      <c r="BF84" s="11">
        <f>((BD17*0.97)*4.33*180)</f>
        <v>431686.27800000005</v>
      </c>
      <c r="BG84" s="11"/>
      <c r="BH84" s="11"/>
      <c r="BI84" s="11"/>
      <c r="BJ84" s="11"/>
      <c r="BK84" s="5">
        <f t="shared" si="190"/>
        <v>431686.27800000005</v>
      </c>
      <c r="BM84" s="35"/>
      <c r="BN84" s="35"/>
      <c r="BO84" s="11">
        <f>((BM17*0.25)*4*180)</f>
        <v>0</v>
      </c>
      <c r="BP84" s="11"/>
      <c r="BQ84" s="11"/>
      <c r="BR84" s="11"/>
      <c r="BS84" s="11"/>
      <c r="BT84" s="5">
        <f t="shared" si="191"/>
        <v>0</v>
      </c>
      <c r="BV84" s="5">
        <f t="shared" si="183"/>
        <v>0</v>
      </c>
      <c r="BW84" s="5">
        <f t="shared" si="183"/>
        <v>0</v>
      </c>
      <c r="BX84" s="5">
        <f t="shared" si="183"/>
        <v>2723332.7159999995</v>
      </c>
      <c r="BY84" s="5">
        <f t="shared" si="183"/>
        <v>0</v>
      </c>
      <c r="BZ84" s="5">
        <f t="shared" si="183"/>
        <v>0</v>
      </c>
      <c r="CA84" s="5">
        <f t="shared" si="183"/>
        <v>0</v>
      </c>
      <c r="CB84" s="11"/>
      <c r="CC84" s="5">
        <f t="shared" si="192"/>
        <v>2723332.7159999995</v>
      </c>
    </row>
    <row r="85" spans="1:81">
      <c r="A85" s="29" t="s">
        <v>4</v>
      </c>
      <c r="B85" s="35"/>
      <c r="C85" s="35"/>
      <c r="D85" s="35"/>
      <c r="E85" s="35"/>
      <c r="F85" s="67"/>
      <c r="G85" s="35"/>
      <c r="H85" s="35"/>
      <c r="I85" s="5">
        <f t="shared" si="184"/>
        <v>0</v>
      </c>
      <c r="J85" s="6"/>
      <c r="K85" s="35"/>
      <c r="L85" s="35"/>
      <c r="M85" s="67"/>
      <c r="N85" s="35"/>
      <c r="O85" s="35"/>
      <c r="P85" s="35"/>
      <c r="Q85" s="35"/>
      <c r="R85" s="5">
        <f t="shared" si="185"/>
        <v>0</v>
      </c>
      <c r="T85" s="35"/>
      <c r="U85" s="35"/>
      <c r="V85" s="35"/>
      <c r="W85" s="35"/>
      <c r="X85" s="35"/>
      <c r="Y85" s="35"/>
      <c r="Z85" s="35"/>
      <c r="AA85" s="5">
        <f t="shared" si="186"/>
        <v>0</v>
      </c>
      <c r="AC85" s="35"/>
      <c r="AD85" s="35"/>
      <c r="AE85" s="35"/>
      <c r="AF85" s="35"/>
      <c r="AG85" s="35"/>
      <c r="AH85" s="35"/>
      <c r="AI85" s="35"/>
      <c r="AJ85" s="5">
        <f t="shared" si="187"/>
        <v>0</v>
      </c>
      <c r="AL85" s="35"/>
      <c r="AM85" s="35"/>
      <c r="AN85" s="35"/>
      <c r="AO85" s="35"/>
      <c r="AP85" s="35"/>
      <c r="AQ85" s="35"/>
      <c r="AR85" s="35"/>
      <c r="AS85" s="5">
        <f t="shared" si="188"/>
        <v>0</v>
      </c>
      <c r="AU85" s="35"/>
      <c r="AV85" s="35"/>
      <c r="AW85" s="35"/>
      <c r="AX85" s="35"/>
      <c r="AY85" s="67"/>
      <c r="AZ85" s="35"/>
      <c r="BA85" s="35"/>
      <c r="BB85" s="5">
        <f t="shared" si="189"/>
        <v>0</v>
      </c>
      <c r="BD85" s="35"/>
      <c r="BE85" s="35"/>
      <c r="BF85" s="67"/>
      <c r="BG85" s="35"/>
      <c r="BH85" s="67"/>
      <c r="BI85" s="35"/>
      <c r="BJ85" s="35"/>
      <c r="BK85" s="5">
        <f t="shared" si="190"/>
        <v>0</v>
      </c>
      <c r="BM85" s="35"/>
      <c r="BN85" s="35"/>
      <c r="BO85" s="35"/>
      <c r="BP85" s="35"/>
      <c r="BQ85" s="35"/>
      <c r="BR85" s="35"/>
      <c r="BS85" s="35"/>
      <c r="BT85" s="5">
        <f t="shared" si="191"/>
        <v>0</v>
      </c>
      <c r="BV85" s="5">
        <f t="shared" si="183"/>
        <v>0</v>
      </c>
      <c r="BW85" s="5">
        <f t="shared" si="183"/>
        <v>0</v>
      </c>
      <c r="BX85" s="5">
        <f t="shared" si="183"/>
        <v>0</v>
      </c>
      <c r="BY85" s="5">
        <f t="shared" si="183"/>
        <v>0</v>
      </c>
      <c r="BZ85" s="5">
        <f t="shared" si="183"/>
        <v>0</v>
      </c>
      <c r="CA85" s="5">
        <f t="shared" si="183"/>
        <v>0</v>
      </c>
      <c r="CB85" s="35"/>
      <c r="CC85" s="5">
        <f t="shared" si="192"/>
        <v>0</v>
      </c>
    </row>
    <row r="86" spans="1:81">
      <c r="A86" s="29" t="s">
        <v>83</v>
      </c>
      <c r="B86" s="35"/>
      <c r="C86" s="35"/>
      <c r="D86" s="35"/>
      <c r="E86" s="35"/>
      <c r="F86" s="35"/>
      <c r="G86" s="35"/>
      <c r="H86" s="35"/>
      <c r="I86" s="5">
        <f t="shared" si="184"/>
        <v>0</v>
      </c>
      <c r="J86" s="6"/>
      <c r="K86" s="35"/>
      <c r="L86" s="35"/>
      <c r="M86" s="67"/>
      <c r="N86" s="35"/>
      <c r="O86" s="35"/>
      <c r="P86" s="35"/>
      <c r="Q86" s="35"/>
      <c r="R86" s="5">
        <f t="shared" si="185"/>
        <v>0</v>
      </c>
      <c r="T86" s="35"/>
      <c r="U86" s="35"/>
      <c r="V86" s="35"/>
      <c r="W86" s="35"/>
      <c r="X86" s="35"/>
      <c r="Y86" s="35"/>
      <c r="Z86" s="35"/>
      <c r="AA86" s="5">
        <f t="shared" si="186"/>
        <v>0</v>
      </c>
      <c r="AC86" s="35"/>
      <c r="AD86" s="35"/>
      <c r="AE86" s="35"/>
      <c r="AF86" s="35"/>
      <c r="AG86" s="35"/>
      <c r="AH86" s="35"/>
      <c r="AI86" s="35"/>
      <c r="AJ86" s="5">
        <f t="shared" si="187"/>
        <v>0</v>
      </c>
      <c r="AL86" s="35"/>
      <c r="AM86" s="35"/>
      <c r="AN86" s="35"/>
      <c r="AO86" s="35"/>
      <c r="AP86" s="35"/>
      <c r="AQ86" s="35"/>
      <c r="AR86" s="35"/>
      <c r="AS86" s="5">
        <f t="shared" si="188"/>
        <v>0</v>
      </c>
      <c r="AU86" s="35"/>
      <c r="AV86" s="35"/>
      <c r="AW86" s="35"/>
      <c r="AX86" s="35"/>
      <c r="AY86" s="35"/>
      <c r="AZ86" s="35"/>
      <c r="BA86" s="35"/>
      <c r="BB86" s="5">
        <f t="shared" si="189"/>
        <v>0</v>
      </c>
      <c r="BD86" s="35"/>
      <c r="BE86" s="35"/>
      <c r="BF86" s="67"/>
      <c r="BG86" s="35"/>
      <c r="BH86" s="35"/>
      <c r="BI86" s="35"/>
      <c r="BJ86" s="35"/>
      <c r="BK86" s="5">
        <f t="shared" si="190"/>
        <v>0</v>
      </c>
      <c r="BM86" s="35"/>
      <c r="BN86" s="35"/>
      <c r="BO86" s="35"/>
      <c r="BP86" s="35"/>
      <c r="BQ86" s="35"/>
      <c r="BR86" s="35"/>
      <c r="BS86" s="35"/>
      <c r="BT86" s="5">
        <f t="shared" si="191"/>
        <v>0</v>
      </c>
      <c r="BV86" s="5">
        <f t="shared" si="183"/>
        <v>0</v>
      </c>
      <c r="BW86" s="5">
        <f t="shared" si="183"/>
        <v>0</v>
      </c>
      <c r="BX86" s="5">
        <f t="shared" si="183"/>
        <v>0</v>
      </c>
      <c r="BY86" s="5">
        <f t="shared" si="183"/>
        <v>0</v>
      </c>
      <c r="BZ86" s="5">
        <f t="shared" si="183"/>
        <v>0</v>
      </c>
      <c r="CA86" s="5">
        <f t="shared" si="183"/>
        <v>0</v>
      </c>
      <c r="CB86" s="35"/>
      <c r="CC86" s="5">
        <f t="shared" si="192"/>
        <v>0</v>
      </c>
    </row>
    <row r="87" spans="1:81">
      <c r="A87" s="29" t="s">
        <v>6</v>
      </c>
      <c r="B87" s="35"/>
      <c r="C87" s="35"/>
      <c r="D87" s="35"/>
      <c r="E87" s="35"/>
      <c r="F87" s="35"/>
      <c r="G87" s="35"/>
      <c r="H87" s="35"/>
      <c r="I87" s="5">
        <f t="shared" si="184"/>
        <v>0</v>
      </c>
      <c r="J87" s="6"/>
      <c r="K87" s="35"/>
      <c r="L87" s="35"/>
      <c r="M87" s="67"/>
      <c r="N87" s="35"/>
      <c r="O87" s="35"/>
      <c r="P87" s="35"/>
      <c r="Q87" s="35"/>
      <c r="R87" s="5">
        <f t="shared" si="185"/>
        <v>0</v>
      </c>
      <c r="T87" s="35"/>
      <c r="U87" s="35"/>
      <c r="V87" s="35"/>
      <c r="W87" s="35"/>
      <c r="X87" s="35"/>
      <c r="Y87" s="35"/>
      <c r="Z87" s="35"/>
      <c r="AA87" s="5">
        <f t="shared" si="186"/>
        <v>0</v>
      </c>
      <c r="AC87" s="35"/>
      <c r="AD87" s="35"/>
      <c r="AE87" s="35"/>
      <c r="AF87" s="35"/>
      <c r="AG87" s="35"/>
      <c r="AH87" s="35"/>
      <c r="AI87" s="35"/>
      <c r="AJ87" s="5">
        <f t="shared" si="187"/>
        <v>0</v>
      </c>
      <c r="AL87" s="35"/>
      <c r="AM87" s="35"/>
      <c r="AN87" s="35"/>
      <c r="AO87" s="35"/>
      <c r="AP87" s="35"/>
      <c r="AQ87" s="35"/>
      <c r="AR87" s="35"/>
      <c r="AS87" s="5">
        <f t="shared" si="188"/>
        <v>0</v>
      </c>
      <c r="AU87" s="35"/>
      <c r="AV87" s="35"/>
      <c r="AW87" s="35"/>
      <c r="AX87" s="35"/>
      <c r="AY87" s="35"/>
      <c r="AZ87" s="35"/>
      <c r="BA87" s="35"/>
      <c r="BB87" s="5">
        <f t="shared" si="189"/>
        <v>0</v>
      </c>
      <c r="BD87" s="35"/>
      <c r="BE87" s="35"/>
      <c r="BF87" s="67"/>
      <c r="BG87" s="35"/>
      <c r="BH87" s="35"/>
      <c r="BI87" s="35"/>
      <c r="BJ87" s="35"/>
      <c r="BK87" s="5">
        <f t="shared" si="190"/>
        <v>0</v>
      </c>
      <c r="BM87" s="35"/>
      <c r="BN87" s="35"/>
      <c r="BO87" s="35"/>
      <c r="BP87" s="35"/>
      <c r="BQ87" s="35"/>
      <c r="BR87" s="35"/>
      <c r="BS87" s="35"/>
      <c r="BT87" s="5">
        <f t="shared" si="191"/>
        <v>0</v>
      </c>
      <c r="BV87" s="5">
        <f t="shared" si="183"/>
        <v>0</v>
      </c>
      <c r="BW87" s="5">
        <f t="shared" si="183"/>
        <v>0</v>
      </c>
      <c r="BX87" s="5">
        <f t="shared" si="183"/>
        <v>0</v>
      </c>
      <c r="BY87" s="5">
        <f t="shared" si="183"/>
        <v>0</v>
      </c>
      <c r="BZ87" s="5">
        <f t="shared" si="183"/>
        <v>0</v>
      </c>
      <c r="CA87" s="5">
        <f t="shared" si="183"/>
        <v>0</v>
      </c>
      <c r="CB87" s="35"/>
      <c r="CC87" s="5">
        <f t="shared" si="192"/>
        <v>0</v>
      </c>
    </row>
    <row r="88" spans="1:81">
      <c r="A88" s="29" t="s">
        <v>84</v>
      </c>
      <c r="B88" s="35"/>
      <c r="C88" s="35"/>
      <c r="D88" s="35"/>
      <c r="E88" s="35"/>
      <c r="F88" s="35"/>
      <c r="G88" s="35"/>
      <c r="H88" s="35"/>
      <c r="I88" s="5">
        <f t="shared" si="184"/>
        <v>0</v>
      </c>
      <c r="J88" s="6"/>
      <c r="K88" s="35"/>
      <c r="L88" s="35"/>
      <c r="M88" s="35"/>
      <c r="N88" s="35"/>
      <c r="O88" s="35"/>
      <c r="P88" s="35"/>
      <c r="Q88" s="35"/>
      <c r="R88" s="5">
        <f t="shared" si="185"/>
        <v>0</v>
      </c>
      <c r="T88" s="35"/>
      <c r="U88" s="35"/>
      <c r="V88" s="35"/>
      <c r="W88" s="35"/>
      <c r="X88" s="35"/>
      <c r="Y88" s="35"/>
      <c r="Z88" s="35"/>
      <c r="AA88" s="5">
        <f t="shared" si="186"/>
        <v>0</v>
      </c>
      <c r="AC88" s="35"/>
      <c r="AD88" s="35"/>
      <c r="AE88" s="35"/>
      <c r="AF88" s="35"/>
      <c r="AG88" s="35"/>
      <c r="AH88" s="35"/>
      <c r="AI88" s="35"/>
      <c r="AJ88" s="5">
        <f t="shared" si="187"/>
        <v>0</v>
      </c>
      <c r="AL88" s="35"/>
      <c r="AM88" s="35"/>
      <c r="AN88" s="35"/>
      <c r="AO88" s="35"/>
      <c r="AP88" s="35"/>
      <c r="AQ88" s="35"/>
      <c r="AR88" s="35"/>
      <c r="AS88" s="5">
        <f t="shared" si="188"/>
        <v>0</v>
      </c>
      <c r="AU88" s="35"/>
      <c r="AV88" s="35"/>
      <c r="AW88" s="35"/>
      <c r="AX88" s="35"/>
      <c r="AY88" s="35"/>
      <c r="AZ88" s="35"/>
      <c r="BA88" s="35"/>
      <c r="BB88" s="5">
        <f t="shared" si="189"/>
        <v>0</v>
      </c>
      <c r="BD88" s="35"/>
      <c r="BE88" s="35"/>
      <c r="BF88" s="35"/>
      <c r="BG88" s="35"/>
      <c r="BH88" s="35"/>
      <c r="BI88" s="35"/>
      <c r="BJ88" s="35"/>
      <c r="BK88" s="5">
        <f t="shared" si="190"/>
        <v>0</v>
      </c>
      <c r="BM88" s="35"/>
      <c r="BN88" s="35"/>
      <c r="BO88" s="35"/>
      <c r="BP88" s="35"/>
      <c r="BQ88" s="35"/>
      <c r="BR88" s="35"/>
      <c r="BS88" s="35"/>
      <c r="BT88" s="5">
        <f t="shared" si="191"/>
        <v>0</v>
      </c>
      <c r="BV88" s="5">
        <f t="shared" si="183"/>
        <v>0</v>
      </c>
      <c r="BW88" s="5">
        <f t="shared" si="183"/>
        <v>0</v>
      </c>
      <c r="BX88" s="5">
        <f t="shared" si="183"/>
        <v>0</v>
      </c>
      <c r="BY88" s="5">
        <f t="shared" si="183"/>
        <v>0</v>
      </c>
      <c r="BZ88" s="5">
        <f t="shared" si="183"/>
        <v>0</v>
      </c>
      <c r="CA88" s="5">
        <f t="shared" si="183"/>
        <v>0</v>
      </c>
      <c r="CB88" s="35"/>
      <c r="CC88" s="5">
        <f t="shared" si="192"/>
        <v>0</v>
      </c>
    </row>
    <row r="89" spans="1:81">
      <c r="A89" s="29" t="s">
        <v>85</v>
      </c>
      <c r="B89" s="35"/>
      <c r="C89" s="35"/>
      <c r="D89" s="35"/>
      <c r="E89" s="35"/>
      <c r="F89" s="35"/>
      <c r="G89" s="35"/>
      <c r="H89" s="35"/>
      <c r="I89" s="5"/>
      <c r="J89" s="6"/>
      <c r="K89" s="35"/>
      <c r="L89" s="35"/>
      <c r="M89" s="35"/>
      <c r="N89" s="35"/>
      <c r="O89" s="35"/>
      <c r="P89" s="35"/>
      <c r="Q89" s="35"/>
      <c r="R89" s="5"/>
      <c r="T89" s="35"/>
      <c r="U89" s="35"/>
      <c r="V89" s="35"/>
      <c r="W89" s="35"/>
      <c r="X89" s="35"/>
      <c r="Y89" s="35"/>
      <c r="Z89" s="35"/>
      <c r="AA89" s="5"/>
      <c r="AC89" s="35"/>
      <c r="AD89" s="35"/>
      <c r="AE89" s="35"/>
      <c r="AF89" s="35"/>
      <c r="AG89" s="35"/>
      <c r="AH89" s="35"/>
      <c r="AI89" s="35"/>
      <c r="AJ89" s="5"/>
      <c r="AL89" s="35"/>
      <c r="AM89" s="35"/>
      <c r="AN89" s="35"/>
      <c r="AO89" s="35"/>
      <c r="AP89" s="35"/>
      <c r="AQ89" s="35"/>
      <c r="AR89" s="35"/>
      <c r="AS89" s="5"/>
      <c r="AU89" s="35"/>
      <c r="AV89" s="35"/>
      <c r="AW89" s="35"/>
      <c r="AX89" s="35"/>
      <c r="AY89" s="35"/>
      <c r="AZ89" s="35"/>
      <c r="BA89" s="35"/>
      <c r="BB89" s="5"/>
      <c r="BD89" s="35"/>
      <c r="BE89" s="35"/>
      <c r="BF89" s="35"/>
      <c r="BG89" s="35"/>
      <c r="BH89" s="35"/>
      <c r="BI89" s="35"/>
      <c r="BJ89" s="35"/>
      <c r="BK89" s="5"/>
      <c r="BM89" s="35"/>
      <c r="BN89" s="35"/>
      <c r="BO89" s="35"/>
      <c r="BP89" s="35"/>
      <c r="BQ89" s="35"/>
      <c r="BR89" s="35"/>
      <c r="BS89" s="35"/>
      <c r="BT89" s="5"/>
      <c r="BV89" s="5">
        <f t="shared" si="183"/>
        <v>0</v>
      </c>
      <c r="BW89" s="5">
        <f t="shared" si="183"/>
        <v>0</v>
      </c>
      <c r="BX89" s="5">
        <f t="shared" si="183"/>
        <v>0</v>
      </c>
      <c r="BY89" s="5">
        <f t="shared" si="183"/>
        <v>0</v>
      </c>
      <c r="BZ89" s="5">
        <f t="shared" si="183"/>
        <v>0</v>
      </c>
      <c r="CA89" s="5">
        <f t="shared" si="183"/>
        <v>0</v>
      </c>
      <c r="CB89" s="35"/>
      <c r="CC89" s="5"/>
    </row>
    <row r="90" spans="1:81" ht="15">
      <c r="A90" s="54" t="s">
        <v>86</v>
      </c>
      <c r="B90" s="55">
        <f>SUM(B82:B88)</f>
        <v>0</v>
      </c>
      <c r="C90" s="55">
        <f t="shared" ref="C90:I90" si="193">SUM(C82:C88)</f>
        <v>136776.79558011051</v>
      </c>
      <c r="D90" s="55">
        <f t="shared" si="193"/>
        <v>369669.42</v>
      </c>
      <c r="E90" s="55"/>
      <c r="F90" s="55">
        <f t="shared" si="193"/>
        <v>0</v>
      </c>
      <c r="G90" s="55">
        <f t="shared" si="193"/>
        <v>0</v>
      </c>
      <c r="H90" s="55">
        <f t="shared" si="193"/>
        <v>0</v>
      </c>
      <c r="I90" s="55">
        <f t="shared" si="193"/>
        <v>506446.2155801105</v>
      </c>
      <c r="J90" s="7"/>
      <c r="K90" s="55">
        <f>SUM(K82:K88)</f>
        <v>0</v>
      </c>
      <c r="L90" s="55">
        <f t="shared" ref="L90:R90" si="194">SUM(L82:L88)</f>
        <v>81085.714285714275</v>
      </c>
      <c r="M90" s="55">
        <f t="shared" si="194"/>
        <v>281519.27999999997</v>
      </c>
      <c r="N90" s="55"/>
      <c r="O90" s="55">
        <f t="shared" si="194"/>
        <v>0</v>
      </c>
      <c r="P90" s="55">
        <f t="shared" si="194"/>
        <v>0</v>
      </c>
      <c r="Q90" s="55">
        <f t="shared" si="194"/>
        <v>0</v>
      </c>
      <c r="R90" s="55">
        <f t="shared" si="194"/>
        <v>362604.99428571423</v>
      </c>
      <c r="T90" s="55">
        <f>SUM(T82:T88)</f>
        <v>0</v>
      </c>
      <c r="U90" s="55">
        <f t="shared" ref="U90:AA90" si="195">SUM(U82:U88)</f>
        <v>123978.20620284995</v>
      </c>
      <c r="V90" s="55">
        <f t="shared" si="195"/>
        <v>164960.01</v>
      </c>
      <c r="W90" s="55"/>
      <c r="X90" s="55">
        <f t="shared" si="195"/>
        <v>0</v>
      </c>
      <c r="Y90" s="55">
        <f t="shared" si="195"/>
        <v>0</v>
      </c>
      <c r="Z90" s="55">
        <f t="shared" si="195"/>
        <v>0</v>
      </c>
      <c r="AA90" s="55">
        <f t="shared" si="195"/>
        <v>288938.21620284999</v>
      </c>
      <c r="AC90" s="55">
        <f>SUM(AC82:AC88)</f>
        <v>0</v>
      </c>
      <c r="AD90" s="55">
        <f t="shared" ref="AD90:AJ90" si="196">SUM(AD82:AD88)</f>
        <v>333005.47476475616</v>
      </c>
      <c r="AE90" s="55">
        <f t="shared" si="196"/>
        <v>892958.58000000007</v>
      </c>
      <c r="AF90" s="55">
        <f t="shared" si="196"/>
        <v>0</v>
      </c>
      <c r="AG90" s="55">
        <f t="shared" si="196"/>
        <v>0</v>
      </c>
      <c r="AH90" s="55">
        <f t="shared" si="196"/>
        <v>0</v>
      </c>
      <c r="AI90" s="55">
        <f t="shared" si="196"/>
        <v>0</v>
      </c>
      <c r="AJ90" s="55">
        <f t="shared" si="196"/>
        <v>1225964.0547647562</v>
      </c>
      <c r="AL90" s="55">
        <f>SUM(AL82:AL88)</f>
        <v>0</v>
      </c>
      <c r="AM90" s="55">
        <f t="shared" ref="AM90:AS90" si="197">SUM(AM82:AM88)</f>
        <v>247815.32364597096</v>
      </c>
      <c r="AN90" s="55">
        <f t="shared" si="197"/>
        <v>580356.82799999998</v>
      </c>
      <c r="AO90" s="55"/>
      <c r="AP90" s="55">
        <f t="shared" si="197"/>
        <v>0</v>
      </c>
      <c r="AQ90" s="55">
        <f t="shared" si="197"/>
        <v>0</v>
      </c>
      <c r="AR90" s="55">
        <f t="shared" si="197"/>
        <v>0</v>
      </c>
      <c r="AS90" s="55">
        <f t="shared" si="197"/>
        <v>828172.151645971</v>
      </c>
      <c r="AU90" s="55">
        <f>SUM(AU82:AU88)</f>
        <v>0</v>
      </c>
      <c r="AV90" s="55">
        <f t="shared" ref="AV90:BB90" si="198">SUM(AV82:AV88)</f>
        <v>20533.333333333336</v>
      </c>
      <c r="AW90" s="55">
        <f t="shared" si="198"/>
        <v>2182.3200000000002</v>
      </c>
      <c r="AX90" s="55"/>
      <c r="AY90" s="55">
        <f t="shared" si="198"/>
        <v>0</v>
      </c>
      <c r="AZ90" s="55">
        <f t="shared" si="198"/>
        <v>0</v>
      </c>
      <c r="BA90" s="55">
        <f t="shared" si="198"/>
        <v>0</v>
      </c>
      <c r="BB90" s="55">
        <f t="shared" si="198"/>
        <v>22715.653333333335</v>
      </c>
      <c r="BD90" s="55">
        <f>SUM(BD82:BD88)</f>
        <v>0</v>
      </c>
      <c r="BE90" s="55">
        <f t="shared" ref="BE90:BK90" si="199">SUM(BE82:BE88)</f>
        <v>40141.729323308267</v>
      </c>
      <c r="BF90" s="55">
        <f t="shared" si="199"/>
        <v>649620.99</v>
      </c>
      <c r="BG90" s="55"/>
      <c r="BH90" s="55">
        <f t="shared" si="199"/>
        <v>0</v>
      </c>
      <c r="BI90" s="55">
        <f t="shared" si="199"/>
        <v>0</v>
      </c>
      <c r="BJ90" s="55">
        <f t="shared" si="199"/>
        <v>0</v>
      </c>
      <c r="BK90" s="55">
        <f t="shared" si="199"/>
        <v>689762.71932330832</v>
      </c>
      <c r="BM90" s="55">
        <f>SUM(BM82:BM88)</f>
        <v>0</v>
      </c>
      <c r="BN90" s="55">
        <f t="shared" ref="BN90:BT90" si="200">SUM(BN82:BN88)</f>
        <v>0</v>
      </c>
      <c r="BO90" s="55">
        <f t="shared" si="200"/>
        <v>0</v>
      </c>
      <c r="BP90" s="55"/>
      <c r="BQ90" s="55">
        <f t="shared" si="200"/>
        <v>0</v>
      </c>
      <c r="BR90" s="55">
        <f t="shared" si="200"/>
        <v>0</v>
      </c>
      <c r="BS90" s="55">
        <f t="shared" si="200"/>
        <v>0</v>
      </c>
      <c r="BT90" s="55">
        <f t="shared" si="200"/>
        <v>0</v>
      </c>
      <c r="BV90" s="55">
        <f>SUM(BV82:BV88)</f>
        <v>0</v>
      </c>
      <c r="BW90" s="55">
        <f t="shared" ref="BW90:BX90" si="201">SUM(BW82:BW88)</f>
        <v>983336.57713604334</v>
      </c>
      <c r="BX90" s="55">
        <f t="shared" si="201"/>
        <v>2941267.4279999994</v>
      </c>
      <c r="BY90" s="55"/>
      <c r="BZ90" s="55">
        <f t="shared" ref="BZ90:CC90" si="202">SUM(BZ82:BZ88)</f>
        <v>0</v>
      </c>
      <c r="CA90" s="55">
        <f t="shared" si="202"/>
        <v>0</v>
      </c>
      <c r="CB90" s="55">
        <f t="shared" si="202"/>
        <v>0</v>
      </c>
      <c r="CC90" s="55">
        <f t="shared" si="202"/>
        <v>3924604.0051360428</v>
      </c>
    </row>
    <row r="91" spans="1:81" ht="15">
      <c r="A91" s="56" t="s">
        <v>87</v>
      </c>
      <c r="B91" s="49"/>
      <c r="C91" s="49"/>
      <c r="D91" s="49"/>
      <c r="E91" s="49"/>
      <c r="F91" s="49"/>
      <c r="G91" s="49"/>
      <c r="H91" s="49"/>
      <c r="I91" s="50"/>
      <c r="J91" s="7"/>
      <c r="K91" s="49"/>
      <c r="L91" s="49"/>
      <c r="M91" s="49"/>
      <c r="N91" s="49"/>
      <c r="O91" s="49"/>
      <c r="P91" s="49"/>
      <c r="Q91" s="49"/>
      <c r="R91" s="50"/>
      <c r="T91" s="49"/>
      <c r="U91" s="49"/>
      <c r="V91" s="49"/>
      <c r="W91" s="49"/>
      <c r="X91" s="49"/>
      <c r="Y91" s="49"/>
      <c r="Z91" s="49"/>
      <c r="AA91" s="50"/>
      <c r="AC91" s="49"/>
      <c r="AD91" s="49"/>
      <c r="AE91" s="49"/>
      <c r="AF91" s="49"/>
      <c r="AG91" s="49"/>
      <c r="AH91" s="49"/>
      <c r="AI91" s="49"/>
      <c r="AJ91" s="50"/>
      <c r="AL91" s="49"/>
      <c r="AM91" s="49"/>
      <c r="AN91" s="49"/>
      <c r="AO91" s="49"/>
      <c r="AP91" s="49"/>
      <c r="AQ91" s="49"/>
      <c r="AR91" s="49"/>
      <c r="AS91" s="50"/>
      <c r="AU91" s="49"/>
      <c r="AV91" s="49"/>
      <c r="AW91" s="49"/>
      <c r="AX91" s="49"/>
      <c r="AY91" s="49"/>
      <c r="AZ91" s="49"/>
      <c r="BA91" s="49"/>
      <c r="BB91" s="50"/>
      <c r="BD91" s="49"/>
      <c r="BE91" s="49"/>
      <c r="BF91" s="49"/>
      <c r="BG91" s="49"/>
      <c r="BH91" s="49"/>
      <c r="BI91" s="49"/>
      <c r="BJ91" s="49"/>
      <c r="BK91" s="50"/>
      <c r="BM91" s="49"/>
      <c r="BN91" s="49"/>
      <c r="BO91" s="49"/>
      <c r="BP91" s="49"/>
      <c r="BQ91" s="49"/>
      <c r="BR91" s="49"/>
      <c r="BS91" s="49"/>
      <c r="BT91" s="50"/>
      <c r="BV91" s="49"/>
      <c r="BW91" s="49"/>
      <c r="BX91" s="49"/>
      <c r="BY91" s="49"/>
      <c r="BZ91" s="49"/>
      <c r="CA91" s="49"/>
      <c r="CB91" s="49"/>
      <c r="CC91" s="50"/>
    </row>
    <row r="92" spans="1:81">
      <c r="A92" s="29" t="s">
        <v>88</v>
      </c>
      <c r="B92" s="5">
        <v>0</v>
      </c>
      <c r="C92" s="5"/>
      <c r="D92" s="5"/>
      <c r="E92" s="5"/>
      <c r="F92" s="5"/>
      <c r="G92" s="5"/>
      <c r="H92" s="5"/>
      <c r="I92" s="5">
        <f t="shared" si="184"/>
        <v>0</v>
      </c>
      <c r="K92" s="5">
        <v>0</v>
      </c>
      <c r="L92" s="5"/>
      <c r="M92" s="5"/>
      <c r="N92" s="5"/>
      <c r="O92" s="5"/>
      <c r="P92" s="5"/>
      <c r="Q92" s="5"/>
      <c r="R92" s="5">
        <f t="shared" si="185"/>
        <v>0</v>
      </c>
      <c r="T92" s="5">
        <v>0</v>
      </c>
      <c r="U92" s="5"/>
      <c r="V92" s="5"/>
      <c r="W92" s="5"/>
      <c r="X92" s="5"/>
      <c r="Y92" s="5"/>
      <c r="Z92" s="5"/>
      <c r="AA92" s="5">
        <f t="shared" si="186"/>
        <v>0</v>
      </c>
      <c r="AC92" s="5">
        <v>0</v>
      </c>
      <c r="AD92" s="5"/>
      <c r="AE92" s="5"/>
      <c r="AF92" s="5"/>
      <c r="AG92" s="5"/>
      <c r="AH92" s="5"/>
      <c r="AI92" s="5"/>
      <c r="AJ92" s="5">
        <f t="shared" si="187"/>
        <v>0</v>
      </c>
      <c r="AL92" s="5">
        <v>0</v>
      </c>
      <c r="AM92" s="5"/>
      <c r="AN92" s="5"/>
      <c r="AO92" s="5"/>
      <c r="AP92" s="5"/>
      <c r="AQ92" s="5"/>
      <c r="AR92" s="5"/>
      <c r="AS92" s="5">
        <f t="shared" si="188"/>
        <v>0</v>
      </c>
      <c r="AU92" s="5">
        <v>0</v>
      </c>
      <c r="AV92" s="5"/>
      <c r="AW92" s="5"/>
      <c r="AX92" s="5"/>
      <c r="AY92" s="5"/>
      <c r="AZ92" s="5"/>
      <c r="BA92" s="5"/>
      <c r="BB92" s="5">
        <f t="shared" si="189"/>
        <v>0</v>
      </c>
      <c r="BD92" s="5">
        <v>0</v>
      </c>
      <c r="BE92" s="5"/>
      <c r="BF92" s="5"/>
      <c r="BG92" s="5"/>
      <c r="BH92" s="5"/>
      <c r="BI92" s="5"/>
      <c r="BJ92" s="5"/>
      <c r="BK92" s="5">
        <f t="shared" si="190"/>
        <v>0</v>
      </c>
      <c r="BM92" s="5">
        <v>0</v>
      </c>
      <c r="BN92" s="5"/>
      <c r="BO92" s="5"/>
      <c r="BP92" s="5"/>
      <c r="BQ92" s="5"/>
      <c r="BR92" s="5"/>
      <c r="BS92" s="5"/>
      <c r="BT92" s="5">
        <f t="shared" si="191"/>
        <v>0</v>
      </c>
      <c r="BV92" s="5">
        <f t="shared" ref="BV92:CA95" si="203">B92+K92+T92+AC92+AL92+AU92+BD92+BM92</f>
        <v>0</v>
      </c>
      <c r="BW92" s="5">
        <f t="shared" si="203"/>
        <v>0</v>
      </c>
      <c r="BX92" s="5">
        <f t="shared" si="203"/>
        <v>0</v>
      </c>
      <c r="BY92" s="5">
        <f t="shared" si="203"/>
        <v>0</v>
      </c>
      <c r="BZ92" s="5">
        <f t="shared" si="203"/>
        <v>0</v>
      </c>
      <c r="CA92" s="5">
        <f t="shared" si="203"/>
        <v>0</v>
      </c>
      <c r="CB92" s="5"/>
      <c r="CC92" s="5">
        <f t="shared" ref="CC92:CC95" si="204">SUM(BV92:CB92)</f>
        <v>0</v>
      </c>
    </row>
    <row r="93" spans="1:81">
      <c r="A93" s="29" t="s">
        <v>89</v>
      </c>
      <c r="B93" s="11"/>
      <c r="C93" s="11"/>
      <c r="D93" s="11"/>
      <c r="E93" s="11"/>
      <c r="F93" s="11">
        <f t="shared" ref="F93:H93" si="205">F161</f>
        <v>0</v>
      </c>
      <c r="G93" s="11">
        <v>275000</v>
      </c>
      <c r="H93" s="11">
        <f t="shared" si="205"/>
        <v>0</v>
      </c>
      <c r="I93" s="5">
        <f t="shared" si="184"/>
        <v>275000</v>
      </c>
      <c r="K93" s="11"/>
      <c r="L93" s="11"/>
      <c r="M93" s="11"/>
      <c r="N93" s="11"/>
      <c r="O93" s="11">
        <f t="shared" ref="O93:Q93" si="206">O161</f>
        <v>0</v>
      </c>
      <c r="P93" s="11">
        <v>800000</v>
      </c>
      <c r="Q93" s="11">
        <f t="shared" si="206"/>
        <v>0</v>
      </c>
      <c r="R93" s="5">
        <f t="shared" si="185"/>
        <v>800000</v>
      </c>
      <c r="T93" s="11"/>
      <c r="U93" s="11"/>
      <c r="V93" s="11"/>
      <c r="W93" s="11"/>
      <c r="X93" s="11">
        <f t="shared" ref="X93:Z93" si="207">X161</f>
        <v>0</v>
      </c>
      <c r="Y93" s="11">
        <v>800000</v>
      </c>
      <c r="Z93" s="11">
        <f t="shared" si="207"/>
        <v>0</v>
      </c>
      <c r="AA93" s="5">
        <f t="shared" si="186"/>
        <v>800000</v>
      </c>
      <c r="AC93" s="11"/>
      <c r="AD93" s="11"/>
      <c r="AE93" s="11"/>
      <c r="AF93" s="11"/>
      <c r="AG93" s="11">
        <f t="shared" ref="AG93:AI93" si="208">AG161</f>
        <v>0</v>
      </c>
      <c r="AH93" s="11">
        <v>1250000</v>
      </c>
      <c r="AI93" s="11">
        <f t="shared" si="208"/>
        <v>0</v>
      </c>
      <c r="AJ93" s="5">
        <f t="shared" si="187"/>
        <v>1250000</v>
      </c>
      <c r="AL93" s="11"/>
      <c r="AM93" s="11"/>
      <c r="AN93" s="11"/>
      <c r="AO93" s="11"/>
      <c r="AP93" s="11">
        <f t="shared" ref="AP93:AR93" si="209">AP161</f>
        <v>0</v>
      </c>
      <c r="AQ93" s="11">
        <v>2000000</v>
      </c>
      <c r="AR93" s="11">
        <f t="shared" si="209"/>
        <v>0</v>
      </c>
      <c r="AS93" s="5">
        <f t="shared" si="188"/>
        <v>2000000</v>
      </c>
      <c r="AU93" s="11"/>
      <c r="AV93" s="11"/>
      <c r="AW93" s="11"/>
      <c r="AX93" s="11"/>
      <c r="AY93" s="11">
        <f t="shared" ref="AY93:BA93" si="210">AY161</f>
        <v>0</v>
      </c>
      <c r="AZ93" s="11">
        <f t="shared" si="210"/>
        <v>0</v>
      </c>
      <c r="BA93" s="11">
        <f t="shared" si="210"/>
        <v>0</v>
      </c>
      <c r="BB93" s="5">
        <f t="shared" si="189"/>
        <v>0</v>
      </c>
      <c r="BD93" s="11"/>
      <c r="BE93" s="11"/>
      <c r="BF93" s="11"/>
      <c r="BG93" s="11"/>
      <c r="BH93" s="11">
        <v>0</v>
      </c>
      <c r="BI93" s="11">
        <v>50000</v>
      </c>
      <c r="BJ93" s="11">
        <f t="shared" ref="BJ93" si="211">BJ161</f>
        <v>0</v>
      </c>
      <c r="BK93" s="5">
        <f t="shared" si="190"/>
        <v>50000</v>
      </c>
      <c r="BM93" s="11"/>
      <c r="BN93" s="11"/>
      <c r="BO93" s="11"/>
      <c r="BP93" s="11"/>
      <c r="BQ93" s="11">
        <f t="shared" ref="BQ93:BS93" si="212">BQ161</f>
        <v>0</v>
      </c>
      <c r="BR93" s="11">
        <f t="shared" si="212"/>
        <v>0</v>
      </c>
      <c r="BS93" s="11">
        <f t="shared" si="212"/>
        <v>0</v>
      </c>
      <c r="BT93" s="5">
        <f t="shared" si="191"/>
        <v>0</v>
      </c>
      <c r="BV93" s="5">
        <f t="shared" si="203"/>
        <v>0</v>
      </c>
      <c r="BW93" s="5">
        <f t="shared" si="203"/>
        <v>0</v>
      </c>
      <c r="BX93" s="5">
        <f t="shared" si="203"/>
        <v>0</v>
      </c>
      <c r="BY93" s="5">
        <f t="shared" si="203"/>
        <v>0</v>
      </c>
      <c r="BZ93" s="5">
        <f t="shared" si="203"/>
        <v>0</v>
      </c>
      <c r="CA93" s="5">
        <f t="shared" si="203"/>
        <v>5175000</v>
      </c>
      <c r="CB93" s="11">
        <f t="shared" ref="CB93" si="213">CB161</f>
        <v>0</v>
      </c>
      <c r="CC93" s="5">
        <f t="shared" si="204"/>
        <v>5175000</v>
      </c>
    </row>
    <row r="94" spans="1:81">
      <c r="A94" s="29" t="s">
        <v>90</v>
      </c>
      <c r="B94" s="35"/>
      <c r="C94" s="35"/>
      <c r="D94" s="35"/>
      <c r="E94" s="35"/>
      <c r="F94" s="35"/>
      <c r="G94" s="35"/>
      <c r="H94" s="35"/>
      <c r="I94" s="35">
        <f t="shared" si="184"/>
        <v>0</v>
      </c>
      <c r="K94" s="35"/>
      <c r="L94" s="35"/>
      <c r="M94" s="35"/>
      <c r="N94" s="35"/>
      <c r="O94" s="35"/>
      <c r="P94" s="35"/>
      <c r="Q94" s="35"/>
      <c r="R94" s="35">
        <f t="shared" si="185"/>
        <v>0</v>
      </c>
      <c r="T94" s="35"/>
      <c r="U94" s="35"/>
      <c r="V94" s="35"/>
      <c r="W94" s="35"/>
      <c r="X94" s="35"/>
      <c r="Y94" s="35"/>
      <c r="Z94" s="35"/>
      <c r="AA94" s="35">
        <f t="shared" si="186"/>
        <v>0</v>
      </c>
      <c r="AC94" s="97">
        <f>'[2]07'!AC159</f>
        <v>0</v>
      </c>
      <c r="AD94" s="35"/>
      <c r="AE94" s="35"/>
      <c r="AF94" s="35"/>
      <c r="AG94" s="35"/>
      <c r="AH94" s="35"/>
      <c r="AI94" s="35"/>
      <c r="AJ94" s="35">
        <f t="shared" si="187"/>
        <v>0</v>
      </c>
      <c r="AL94" s="67"/>
      <c r="AM94" s="35"/>
      <c r="AN94" s="35"/>
      <c r="AO94" s="35"/>
      <c r="AP94" s="35"/>
      <c r="AQ94" s="35"/>
      <c r="AR94" s="35"/>
      <c r="AS94" s="35">
        <f t="shared" si="188"/>
        <v>0</v>
      </c>
      <c r="AU94" s="35"/>
      <c r="AV94" s="35"/>
      <c r="AW94" s="35"/>
      <c r="AX94" s="35"/>
      <c r="AY94" s="35"/>
      <c r="AZ94" s="35"/>
      <c r="BA94" s="35"/>
      <c r="BB94" s="35">
        <f t="shared" si="189"/>
        <v>0</v>
      </c>
      <c r="BD94" s="35"/>
      <c r="BE94" s="35"/>
      <c r="BF94" s="35"/>
      <c r="BG94" s="35"/>
      <c r="BH94" s="35"/>
      <c r="BI94" s="35"/>
      <c r="BJ94" s="35"/>
      <c r="BK94" s="35">
        <f t="shared" si="190"/>
        <v>0</v>
      </c>
      <c r="BM94" s="35"/>
      <c r="BN94" s="35"/>
      <c r="BO94" s="35"/>
      <c r="BP94" s="35"/>
      <c r="BQ94" s="35"/>
      <c r="BR94" s="35"/>
      <c r="BS94" s="35"/>
      <c r="BT94" s="35">
        <f t="shared" si="191"/>
        <v>0</v>
      </c>
      <c r="BV94" s="5">
        <f t="shared" si="203"/>
        <v>0</v>
      </c>
      <c r="BW94" s="5">
        <f t="shared" si="203"/>
        <v>0</v>
      </c>
      <c r="BX94" s="5">
        <f t="shared" si="203"/>
        <v>0</v>
      </c>
      <c r="BY94" s="5">
        <f t="shared" si="203"/>
        <v>0</v>
      </c>
      <c r="BZ94" s="5">
        <f t="shared" si="203"/>
        <v>0</v>
      </c>
      <c r="CA94" s="5">
        <f t="shared" si="203"/>
        <v>0</v>
      </c>
      <c r="CB94" s="35"/>
      <c r="CC94" s="35">
        <f t="shared" si="204"/>
        <v>0</v>
      </c>
    </row>
    <row r="95" spans="1:81">
      <c r="A95" s="29" t="s">
        <v>91</v>
      </c>
      <c r="B95" s="35">
        <v>60000</v>
      </c>
      <c r="C95" s="35"/>
      <c r="D95" s="35"/>
      <c r="E95" s="35"/>
      <c r="F95" s="35"/>
      <c r="G95" s="35"/>
      <c r="H95" s="35"/>
      <c r="I95" s="35">
        <f t="shared" si="184"/>
        <v>60000</v>
      </c>
      <c r="K95" s="35">
        <v>60000</v>
      </c>
      <c r="L95" s="35"/>
      <c r="M95" s="35"/>
      <c r="N95" s="35"/>
      <c r="O95" s="35"/>
      <c r="P95" s="35"/>
      <c r="Q95" s="35"/>
      <c r="R95" s="35">
        <f t="shared" si="185"/>
        <v>60000</v>
      </c>
      <c r="T95" s="35">
        <v>75000</v>
      </c>
      <c r="U95" s="35"/>
      <c r="V95" s="35"/>
      <c r="W95" s="35"/>
      <c r="X95" s="35"/>
      <c r="Y95" s="35"/>
      <c r="Z95" s="35"/>
      <c r="AA95" s="35">
        <f t="shared" si="186"/>
        <v>75000</v>
      </c>
      <c r="AC95" s="35">
        <v>125000</v>
      </c>
      <c r="AD95" s="35"/>
      <c r="AE95" s="35"/>
      <c r="AF95" s="35"/>
      <c r="AG95" s="35"/>
      <c r="AH95" s="35"/>
      <c r="AI95" s="35"/>
      <c r="AJ95" s="35">
        <f t="shared" si="187"/>
        <v>125000</v>
      </c>
      <c r="AL95" s="35">
        <v>150000</v>
      </c>
      <c r="AM95" s="35"/>
      <c r="AN95" s="35"/>
      <c r="AO95" s="35"/>
      <c r="AP95" s="35"/>
      <c r="AQ95" s="35"/>
      <c r="AR95" s="35"/>
      <c r="AS95" s="35">
        <f t="shared" si="188"/>
        <v>150000</v>
      </c>
      <c r="AU95" s="35">
        <v>0</v>
      </c>
      <c r="AV95" s="35"/>
      <c r="AW95" s="35"/>
      <c r="AX95" s="35"/>
      <c r="AY95" s="35"/>
      <c r="AZ95" s="35"/>
      <c r="BA95" s="35"/>
      <c r="BB95" s="35">
        <f t="shared" si="189"/>
        <v>0</v>
      </c>
      <c r="BD95" s="35"/>
      <c r="BE95" s="35"/>
      <c r="BF95" s="35"/>
      <c r="BG95" s="35"/>
      <c r="BH95" s="35"/>
      <c r="BI95" s="35"/>
      <c r="BJ95" s="35"/>
      <c r="BK95" s="35">
        <f t="shared" si="190"/>
        <v>0</v>
      </c>
      <c r="BM95" s="35">
        <v>0</v>
      </c>
      <c r="BN95" s="35"/>
      <c r="BO95" s="35"/>
      <c r="BP95" s="35"/>
      <c r="BQ95" s="35"/>
      <c r="BR95" s="35"/>
      <c r="BS95" s="35"/>
      <c r="BT95" s="35">
        <f t="shared" si="191"/>
        <v>0</v>
      </c>
      <c r="BV95" s="5">
        <f t="shared" si="203"/>
        <v>470000</v>
      </c>
      <c r="BW95" s="5">
        <f t="shared" si="203"/>
        <v>0</v>
      </c>
      <c r="BX95" s="5">
        <f t="shared" si="203"/>
        <v>0</v>
      </c>
      <c r="BY95" s="5">
        <f t="shared" si="203"/>
        <v>0</v>
      </c>
      <c r="BZ95" s="5">
        <f t="shared" si="203"/>
        <v>0</v>
      </c>
      <c r="CA95" s="5">
        <f t="shared" si="203"/>
        <v>0</v>
      </c>
      <c r="CB95" s="35"/>
      <c r="CC95" s="35">
        <f t="shared" si="204"/>
        <v>470000</v>
      </c>
    </row>
    <row r="96" spans="1:81" ht="15">
      <c r="A96" s="54" t="s">
        <v>92</v>
      </c>
      <c r="B96" s="55">
        <f>SUM(B92:B95)</f>
        <v>60000</v>
      </c>
      <c r="C96" s="55">
        <f t="shared" ref="C96:H96" si="214">SUM(C92:C95)</f>
        <v>0</v>
      </c>
      <c r="D96" s="55">
        <f t="shared" si="214"/>
        <v>0</v>
      </c>
      <c r="E96" s="55"/>
      <c r="F96" s="55">
        <f t="shared" si="214"/>
        <v>0</v>
      </c>
      <c r="G96" s="55">
        <f t="shared" si="214"/>
        <v>275000</v>
      </c>
      <c r="H96" s="55">
        <f t="shared" si="214"/>
        <v>0</v>
      </c>
      <c r="I96" s="55">
        <f>SUM(I92:I95)</f>
        <v>335000</v>
      </c>
      <c r="J96" s="7"/>
      <c r="K96" s="55">
        <f>SUM(K92:K95)</f>
        <v>60000</v>
      </c>
      <c r="L96" s="55">
        <f t="shared" ref="L96:Q96" si="215">SUM(L92:L95)</f>
        <v>0</v>
      </c>
      <c r="M96" s="55">
        <f t="shared" si="215"/>
        <v>0</v>
      </c>
      <c r="N96" s="55"/>
      <c r="O96" s="55">
        <f t="shared" si="215"/>
        <v>0</v>
      </c>
      <c r="P96" s="55">
        <f t="shared" si="215"/>
        <v>800000</v>
      </c>
      <c r="Q96" s="55">
        <f t="shared" si="215"/>
        <v>0</v>
      </c>
      <c r="R96" s="55">
        <f>SUM(R92:R95)</f>
        <v>860000</v>
      </c>
      <c r="T96" s="55">
        <f>SUM(T92:T95)</f>
        <v>75000</v>
      </c>
      <c r="U96" s="55">
        <f t="shared" ref="U96:Z96" si="216">SUM(U92:U95)</f>
        <v>0</v>
      </c>
      <c r="V96" s="55">
        <f t="shared" si="216"/>
        <v>0</v>
      </c>
      <c r="W96" s="55"/>
      <c r="X96" s="55">
        <f t="shared" si="216"/>
        <v>0</v>
      </c>
      <c r="Y96" s="55">
        <f t="shared" si="216"/>
        <v>800000</v>
      </c>
      <c r="Z96" s="55">
        <f t="shared" si="216"/>
        <v>0</v>
      </c>
      <c r="AA96" s="55">
        <f>SUM(AA92:AA95)</f>
        <v>875000</v>
      </c>
      <c r="AC96" s="55">
        <f>SUM(AC92:AC95)</f>
        <v>125000</v>
      </c>
      <c r="AD96" s="55">
        <f t="shared" ref="AD96:AI96" si="217">SUM(AD92:AD95)</f>
        <v>0</v>
      </c>
      <c r="AE96" s="55">
        <f t="shared" si="217"/>
        <v>0</v>
      </c>
      <c r="AF96" s="55">
        <f t="shared" si="217"/>
        <v>0</v>
      </c>
      <c r="AG96" s="55">
        <f t="shared" si="217"/>
        <v>0</v>
      </c>
      <c r="AH96" s="55">
        <f t="shared" si="217"/>
        <v>1250000</v>
      </c>
      <c r="AI96" s="55">
        <f t="shared" si="217"/>
        <v>0</v>
      </c>
      <c r="AJ96" s="55">
        <f>SUM(AJ92:AJ95)</f>
        <v>1375000</v>
      </c>
      <c r="AL96" s="55">
        <f>SUM(AL92:AL95)</f>
        <v>150000</v>
      </c>
      <c r="AM96" s="55">
        <f t="shared" ref="AM96:AR96" si="218">SUM(AM92:AM95)</f>
        <v>0</v>
      </c>
      <c r="AN96" s="55">
        <f t="shared" si="218"/>
        <v>0</v>
      </c>
      <c r="AO96" s="55"/>
      <c r="AP96" s="55">
        <f t="shared" si="218"/>
        <v>0</v>
      </c>
      <c r="AQ96" s="55">
        <f t="shared" si="218"/>
        <v>2000000</v>
      </c>
      <c r="AR96" s="55">
        <f t="shared" si="218"/>
        <v>0</v>
      </c>
      <c r="AS96" s="55">
        <f>SUM(AS92:AS95)</f>
        <v>2150000</v>
      </c>
      <c r="AU96" s="55">
        <f>SUM(AU92:AU95)</f>
        <v>0</v>
      </c>
      <c r="AV96" s="55">
        <f t="shared" ref="AV96:BA96" si="219">SUM(AV92:AV95)</f>
        <v>0</v>
      </c>
      <c r="AW96" s="55">
        <f t="shared" si="219"/>
        <v>0</v>
      </c>
      <c r="AX96" s="55"/>
      <c r="AY96" s="55">
        <f t="shared" si="219"/>
        <v>0</v>
      </c>
      <c r="AZ96" s="55">
        <f t="shared" si="219"/>
        <v>0</v>
      </c>
      <c r="BA96" s="55">
        <f t="shared" si="219"/>
        <v>0</v>
      </c>
      <c r="BB96" s="55">
        <f>SUM(BB92:BB95)</f>
        <v>0</v>
      </c>
      <c r="BD96" s="55">
        <f>SUM(BD92:BD95)</f>
        <v>0</v>
      </c>
      <c r="BE96" s="55">
        <f t="shared" ref="BE96:BJ96" si="220">SUM(BE92:BE95)</f>
        <v>0</v>
      </c>
      <c r="BF96" s="55">
        <f t="shared" si="220"/>
        <v>0</v>
      </c>
      <c r="BG96" s="55"/>
      <c r="BH96" s="55">
        <f t="shared" si="220"/>
        <v>0</v>
      </c>
      <c r="BI96" s="55">
        <f t="shared" si="220"/>
        <v>50000</v>
      </c>
      <c r="BJ96" s="55">
        <f t="shared" si="220"/>
        <v>0</v>
      </c>
      <c r="BK96" s="55">
        <f>SUM(BK92:BK95)</f>
        <v>50000</v>
      </c>
      <c r="BM96" s="55">
        <f>SUM(BM92:BM95)</f>
        <v>0</v>
      </c>
      <c r="BN96" s="55">
        <f t="shared" ref="BN96:BS96" si="221">SUM(BN92:BN95)</f>
        <v>0</v>
      </c>
      <c r="BO96" s="55">
        <f t="shared" si="221"/>
        <v>0</v>
      </c>
      <c r="BP96" s="55"/>
      <c r="BQ96" s="55">
        <f t="shared" si="221"/>
        <v>0</v>
      </c>
      <c r="BR96" s="55">
        <f t="shared" si="221"/>
        <v>0</v>
      </c>
      <c r="BS96" s="55">
        <f t="shared" si="221"/>
        <v>0</v>
      </c>
      <c r="BT96" s="55">
        <f>SUM(BT92:BT95)</f>
        <v>0</v>
      </c>
      <c r="BV96" s="55">
        <f>SUM(BV92:BV95)</f>
        <v>470000</v>
      </c>
      <c r="BW96" s="55">
        <f t="shared" ref="BW96:BX96" si="222">SUM(BW92:BW95)</f>
        <v>0</v>
      </c>
      <c r="BX96" s="55">
        <f t="shared" si="222"/>
        <v>0</v>
      </c>
      <c r="BY96" s="55"/>
      <c r="BZ96" s="55">
        <f t="shared" ref="BZ96:CB96" si="223">SUM(BZ92:BZ95)</f>
        <v>0</v>
      </c>
      <c r="CA96" s="55">
        <f t="shared" si="223"/>
        <v>5175000</v>
      </c>
      <c r="CB96" s="55">
        <f t="shared" si="223"/>
        <v>0</v>
      </c>
      <c r="CC96" s="55">
        <f>SUM(CC92:CC95)</f>
        <v>5645000</v>
      </c>
    </row>
    <row r="97" spans="1:81" ht="15">
      <c r="A97" s="58" t="s">
        <v>93</v>
      </c>
      <c r="B97" s="59">
        <f>B80+B90+B96</f>
        <v>9574018.1767955814</v>
      </c>
      <c r="C97" s="59">
        <f t="shared" ref="C97:H97" si="224">C80+C90+C96</f>
        <v>767083.45303867408</v>
      </c>
      <c r="D97" s="59">
        <f t="shared" si="224"/>
        <v>369669.42</v>
      </c>
      <c r="E97" s="59"/>
      <c r="F97" s="59">
        <f t="shared" si="224"/>
        <v>0</v>
      </c>
      <c r="G97" s="59">
        <f t="shared" si="224"/>
        <v>275000</v>
      </c>
      <c r="H97" s="59">
        <f t="shared" si="224"/>
        <v>0</v>
      </c>
      <c r="I97" s="59">
        <f>I80+I90+I96</f>
        <v>10985771.049834257</v>
      </c>
      <c r="J97" s="7"/>
      <c r="K97" s="59">
        <f>K80+K90+K96</f>
        <v>10548423.005870841</v>
      </c>
      <c r="L97" s="59">
        <f t="shared" ref="L97:Q97" si="225">L80+L90+L96</f>
        <v>489609.99999999994</v>
      </c>
      <c r="M97" s="59">
        <f t="shared" si="225"/>
        <v>281519.27999999997</v>
      </c>
      <c r="N97" s="59"/>
      <c r="O97" s="59">
        <f t="shared" si="225"/>
        <v>0</v>
      </c>
      <c r="P97" s="59">
        <f t="shared" si="225"/>
        <v>800000</v>
      </c>
      <c r="Q97" s="59">
        <f t="shared" si="225"/>
        <v>0</v>
      </c>
      <c r="R97" s="59">
        <f>R80+R90+R96</f>
        <v>12119552.285870841</v>
      </c>
      <c r="T97" s="59">
        <f>T80+T90+T96</f>
        <v>12728442.18357083</v>
      </c>
      <c r="U97" s="59">
        <f t="shared" ref="U97:Z97" si="226">U80+U90+U96</f>
        <v>722448.55490360432</v>
      </c>
      <c r="V97" s="59">
        <f t="shared" si="226"/>
        <v>164960.01</v>
      </c>
      <c r="W97" s="59"/>
      <c r="X97" s="59">
        <f t="shared" si="226"/>
        <v>0</v>
      </c>
      <c r="Y97" s="59">
        <f t="shared" si="226"/>
        <v>800000</v>
      </c>
      <c r="Z97" s="59">
        <f t="shared" si="226"/>
        <v>0</v>
      </c>
      <c r="AA97" s="59">
        <f>AA80+AA90+AA96</f>
        <v>14415850.748474434</v>
      </c>
      <c r="AC97" s="59">
        <f>AC80+AC90+AC96</f>
        <v>26353020.177929856</v>
      </c>
      <c r="AD97" s="59">
        <f t="shared" ref="AD97:AI97" si="227">AD80+AD90+AD96</f>
        <v>1933598.0239520955</v>
      </c>
      <c r="AE97" s="59">
        <f t="shared" si="227"/>
        <v>892958.58000000007</v>
      </c>
      <c r="AF97" s="59">
        <f t="shared" si="227"/>
        <v>0</v>
      </c>
      <c r="AG97" s="59">
        <f t="shared" si="227"/>
        <v>0</v>
      </c>
      <c r="AH97" s="59">
        <f t="shared" si="227"/>
        <v>1250000</v>
      </c>
      <c r="AI97" s="59">
        <f t="shared" si="227"/>
        <v>0</v>
      </c>
      <c r="AJ97" s="59">
        <f>AJ80+AJ90+AJ96</f>
        <v>30429576.781881951</v>
      </c>
      <c r="AL97" s="59">
        <f>AL80+AL90+AL96</f>
        <v>24871617.715543814</v>
      </c>
      <c r="AM97" s="59">
        <f t="shared" ref="AM97:AR97" si="228">AM80+AM90+AM96</f>
        <v>1430345.6235138706</v>
      </c>
      <c r="AN97" s="59">
        <f t="shared" si="228"/>
        <v>580356.82799999998</v>
      </c>
      <c r="AO97" s="59"/>
      <c r="AP97" s="59">
        <f t="shared" si="228"/>
        <v>0</v>
      </c>
      <c r="AQ97" s="59">
        <f t="shared" si="228"/>
        <v>2000000</v>
      </c>
      <c r="AR97" s="59">
        <f t="shared" si="228"/>
        <v>0</v>
      </c>
      <c r="AS97" s="59">
        <f>AS80+AS90+AS96</f>
        <v>28882320.167057682</v>
      </c>
      <c r="AU97" s="59">
        <f>AU80+AU90+AU96</f>
        <v>1532578.888888889</v>
      </c>
      <c r="AV97" s="59">
        <f t="shared" ref="AV97:BA97" si="229">AV80+AV90+AV96</f>
        <v>106937.66666666669</v>
      </c>
      <c r="AW97" s="59">
        <f t="shared" si="229"/>
        <v>2182.3200000000002</v>
      </c>
      <c r="AX97" s="59"/>
      <c r="AY97" s="59">
        <f t="shared" si="229"/>
        <v>0</v>
      </c>
      <c r="AZ97" s="59">
        <f t="shared" si="229"/>
        <v>0</v>
      </c>
      <c r="BA97" s="59">
        <f t="shared" si="229"/>
        <v>0</v>
      </c>
      <c r="BB97" s="59">
        <f>BB80+BB90+BB96</f>
        <v>1641698.8755555556</v>
      </c>
      <c r="BD97" s="59">
        <f>BD80+BD90+BD96</f>
        <v>6024195.4887218047</v>
      </c>
      <c r="BE97" s="59">
        <f t="shared" ref="BE97:BJ97" si="230">BE80+BE90+BE96</f>
        <v>178813.15789473683</v>
      </c>
      <c r="BF97" s="59">
        <f t="shared" si="230"/>
        <v>649620.99</v>
      </c>
      <c r="BG97" s="59"/>
      <c r="BH97" s="59">
        <f t="shared" si="230"/>
        <v>0</v>
      </c>
      <c r="BI97" s="59">
        <f t="shared" si="230"/>
        <v>50000</v>
      </c>
      <c r="BJ97" s="59">
        <f t="shared" si="230"/>
        <v>0</v>
      </c>
      <c r="BK97" s="59">
        <f>BK80+BK90+BK96</f>
        <v>6902629.6366165411</v>
      </c>
      <c r="BM97" s="59">
        <f>BM80+BM90+BM96</f>
        <v>0</v>
      </c>
      <c r="BN97" s="59">
        <f t="shared" ref="BN97:BS97" si="231">BN80+BN90+BN96</f>
        <v>0</v>
      </c>
      <c r="BO97" s="59">
        <f t="shared" si="231"/>
        <v>0</v>
      </c>
      <c r="BP97" s="59"/>
      <c r="BQ97" s="59">
        <f t="shared" si="231"/>
        <v>0</v>
      </c>
      <c r="BR97" s="59">
        <f t="shared" si="231"/>
        <v>0</v>
      </c>
      <c r="BS97" s="59">
        <f t="shared" si="231"/>
        <v>0</v>
      </c>
      <c r="BT97" s="59">
        <f>BT80+BT90+BT96</f>
        <v>0</v>
      </c>
      <c r="BV97" s="59">
        <f>BV80+BV90+BV96</f>
        <v>91632295.637321621</v>
      </c>
      <c r="BW97" s="59">
        <f t="shared" ref="BW97:BX97" si="232">BW80+BW90+BW96</f>
        <v>5628836.4799696486</v>
      </c>
      <c r="BX97" s="59">
        <f t="shared" si="232"/>
        <v>2941267.4279999994</v>
      </c>
      <c r="BY97" s="59"/>
      <c r="BZ97" s="59">
        <f t="shared" ref="BZ97:CB97" si="233">BZ80+BZ90+BZ96</f>
        <v>0</v>
      </c>
      <c r="CA97" s="59">
        <f t="shared" si="233"/>
        <v>5175000</v>
      </c>
      <c r="CB97" s="59">
        <f t="shared" si="233"/>
        <v>0</v>
      </c>
      <c r="CC97" s="59">
        <f>CC80+CC90+CC96</f>
        <v>105377399.54529127</v>
      </c>
    </row>
    <row r="98" spans="1:81" ht="15">
      <c r="A98" s="56" t="s">
        <v>94</v>
      </c>
      <c r="B98" s="49"/>
      <c r="C98" s="49"/>
      <c r="D98" s="49"/>
      <c r="E98" s="49"/>
      <c r="F98" s="49"/>
      <c r="G98" s="49"/>
      <c r="H98" s="49"/>
      <c r="I98" s="50"/>
      <c r="J98" s="7"/>
      <c r="K98" s="49"/>
      <c r="L98" s="49"/>
      <c r="M98" s="49"/>
      <c r="N98" s="49"/>
      <c r="O98" s="49"/>
      <c r="P98" s="49"/>
      <c r="Q98" s="49"/>
      <c r="R98" s="50"/>
      <c r="T98" s="49"/>
      <c r="U98" s="49"/>
      <c r="V98" s="49"/>
      <c r="W98" s="49"/>
      <c r="X98" s="49"/>
      <c r="Y98" s="49"/>
      <c r="Z98" s="49"/>
      <c r="AA98" s="50"/>
      <c r="AC98" s="49"/>
      <c r="AD98" s="49"/>
      <c r="AE98" s="49"/>
      <c r="AF98" s="49"/>
      <c r="AG98" s="49"/>
      <c r="AH98" s="49"/>
      <c r="AI98" s="49"/>
      <c r="AJ98" s="50"/>
      <c r="AL98" s="49"/>
      <c r="AM98" s="49"/>
      <c r="AN98" s="49"/>
      <c r="AO98" s="49"/>
      <c r="AP98" s="49"/>
      <c r="AQ98" s="49"/>
      <c r="AR98" s="49"/>
      <c r="AS98" s="50"/>
      <c r="AU98" s="49"/>
      <c r="AV98" s="49"/>
      <c r="AW98" s="49"/>
      <c r="AX98" s="49"/>
      <c r="AY98" s="49"/>
      <c r="AZ98" s="49"/>
      <c r="BA98" s="49"/>
      <c r="BB98" s="50"/>
      <c r="BD98" s="49"/>
      <c r="BE98" s="49"/>
      <c r="BF98" s="49"/>
      <c r="BG98" s="49"/>
      <c r="BH98" s="49"/>
      <c r="BI98" s="49"/>
      <c r="BJ98" s="49"/>
      <c r="BK98" s="50"/>
      <c r="BM98" s="49"/>
      <c r="BN98" s="49"/>
      <c r="BO98" s="49"/>
      <c r="BP98" s="49"/>
      <c r="BQ98" s="49"/>
      <c r="BR98" s="49"/>
      <c r="BS98" s="49"/>
      <c r="BT98" s="50"/>
      <c r="BV98" s="49"/>
      <c r="BW98" s="49"/>
      <c r="BX98" s="49"/>
      <c r="BY98" s="49"/>
      <c r="BZ98" s="49"/>
      <c r="CA98" s="49"/>
      <c r="CB98" s="49"/>
      <c r="CC98" s="50"/>
    </row>
    <row r="99" spans="1:81">
      <c r="A99" s="29" t="s">
        <v>95</v>
      </c>
      <c r="B99" s="5">
        <v>0</v>
      </c>
      <c r="C99" s="5"/>
      <c r="D99" s="5"/>
      <c r="E99" s="5"/>
      <c r="F99" s="5"/>
      <c r="G99" s="5"/>
      <c r="H99" s="5"/>
      <c r="I99" s="5">
        <f>SUM(B99:H99)</f>
        <v>0</v>
      </c>
      <c r="J99" s="7"/>
      <c r="K99" s="5">
        <v>0</v>
      </c>
      <c r="L99" s="5"/>
      <c r="M99" s="5"/>
      <c r="N99" s="5"/>
      <c r="O99" s="5"/>
      <c r="P99" s="5"/>
      <c r="Q99" s="5"/>
      <c r="R99" s="5">
        <f>SUM(K99:Q99)</f>
        <v>0</v>
      </c>
      <c r="T99" s="5">
        <v>0</v>
      </c>
      <c r="U99" s="5"/>
      <c r="V99" s="5"/>
      <c r="W99" s="5"/>
      <c r="X99" s="5"/>
      <c r="Y99" s="5"/>
      <c r="Z99" s="5"/>
      <c r="AA99" s="5">
        <f>SUM(T99:Z99)</f>
        <v>0</v>
      </c>
      <c r="AC99" s="5">
        <v>0</v>
      </c>
      <c r="AD99" s="5"/>
      <c r="AE99" s="5"/>
      <c r="AF99" s="5"/>
      <c r="AG99" s="5"/>
      <c r="AH99" s="5"/>
      <c r="AI99" s="5"/>
      <c r="AJ99" s="5">
        <f>SUM(AC99:AI99)</f>
        <v>0</v>
      </c>
      <c r="AL99" s="5">
        <v>0</v>
      </c>
      <c r="AM99" s="5"/>
      <c r="AN99" s="5"/>
      <c r="AO99" s="5"/>
      <c r="AP99" s="5"/>
      <c r="AQ99" s="5"/>
      <c r="AR99" s="5"/>
      <c r="AS99" s="5">
        <f>SUM(AL99:AR99)</f>
        <v>0</v>
      </c>
      <c r="AU99" s="5">
        <v>0</v>
      </c>
      <c r="AV99" s="5"/>
      <c r="AW99" s="5"/>
      <c r="AX99" s="5"/>
      <c r="AY99" s="5"/>
      <c r="AZ99" s="5"/>
      <c r="BA99" s="5"/>
      <c r="BB99" s="5">
        <f>SUM(AU99:BA99)</f>
        <v>0</v>
      </c>
      <c r="BD99" s="5">
        <v>0</v>
      </c>
      <c r="BE99" s="5"/>
      <c r="BF99" s="5"/>
      <c r="BG99" s="5"/>
      <c r="BH99" s="5"/>
      <c r="BI99" s="5"/>
      <c r="BJ99" s="5"/>
      <c r="BK99" s="5">
        <f>SUM(BD99:BJ99)</f>
        <v>0</v>
      </c>
      <c r="BM99" s="5">
        <v>0</v>
      </c>
      <c r="BN99" s="5"/>
      <c r="BO99" s="5"/>
      <c r="BP99" s="5"/>
      <c r="BQ99" s="5"/>
      <c r="BR99" s="5"/>
      <c r="BS99" s="5"/>
      <c r="BT99" s="5">
        <f>SUM(BM99:BS99)</f>
        <v>0</v>
      </c>
      <c r="BV99" s="5">
        <f t="shared" ref="BV99:CA102" si="234">B99+K99+T99+AC99+AL99+AU99+BD99+BM99</f>
        <v>0</v>
      </c>
      <c r="BW99" s="5">
        <f t="shared" si="234"/>
        <v>0</v>
      </c>
      <c r="BX99" s="5">
        <f t="shared" si="234"/>
        <v>0</v>
      </c>
      <c r="BY99" s="5">
        <f t="shared" si="234"/>
        <v>0</v>
      </c>
      <c r="BZ99" s="5">
        <f t="shared" si="234"/>
        <v>0</v>
      </c>
      <c r="CA99" s="5">
        <f t="shared" si="234"/>
        <v>0</v>
      </c>
      <c r="CB99" s="5"/>
      <c r="CC99" s="5">
        <f>SUM(BV99:CB99)</f>
        <v>0</v>
      </c>
    </row>
    <row r="100" spans="1:81">
      <c r="A100" s="29" t="s">
        <v>96</v>
      </c>
      <c r="B100" s="11">
        <v>0</v>
      </c>
      <c r="C100" s="11">
        <v>0</v>
      </c>
      <c r="D100" s="11">
        <v>0</v>
      </c>
      <c r="E100" s="11"/>
      <c r="F100" s="11">
        <f t="shared" ref="F100:H100" si="235">F168</f>
        <v>0</v>
      </c>
      <c r="G100" s="11">
        <f t="shared" si="235"/>
        <v>0</v>
      </c>
      <c r="H100" s="11">
        <f t="shared" si="235"/>
        <v>0</v>
      </c>
      <c r="I100" s="5">
        <f t="shared" ref="I100:I102" si="236">SUM(B100:H100)</f>
        <v>0</v>
      </c>
      <c r="J100" s="7"/>
      <c r="K100" s="11">
        <v>0</v>
      </c>
      <c r="L100" s="11">
        <v>0</v>
      </c>
      <c r="M100" s="11">
        <v>0</v>
      </c>
      <c r="N100" s="11"/>
      <c r="O100" s="11">
        <f t="shared" ref="O100:Q100" si="237">O168</f>
        <v>0</v>
      </c>
      <c r="P100" s="11">
        <f t="shared" si="237"/>
        <v>0</v>
      </c>
      <c r="Q100" s="11">
        <f t="shared" si="237"/>
        <v>0</v>
      </c>
      <c r="R100" s="5">
        <f t="shared" ref="R100:R102" si="238">SUM(K100:Q100)</f>
        <v>0</v>
      </c>
      <c r="T100" s="11">
        <v>0</v>
      </c>
      <c r="U100" s="11">
        <v>0</v>
      </c>
      <c r="V100" s="11">
        <v>0</v>
      </c>
      <c r="W100" s="11"/>
      <c r="X100" s="11">
        <f t="shared" ref="X100:Z100" si="239">X168</f>
        <v>0</v>
      </c>
      <c r="Y100" s="11">
        <f t="shared" si="239"/>
        <v>0</v>
      </c>
      <c r="Z100" s="11">
        <f t="shared" si="239"/>
        <v>0</v>
      </c>
      <c r="AA100" s="5">
        <f t="shared" ref="AA100:AA102" si="240">SUM(T100:Z100)</f>
        <v>0</v>
      </c>
      <c r="AC100" s="11">
        <v>0</v>
      </c>
      <c r="AD100" s="11">
        <v>0</v>
      </c>
      <c r="AE100" s="11">
        <v>0</v>
      </c>
      <c r="AF100" s="11"/>
      <c r="AG100" s="11">
        <f t="shared" ref="AG100:AI100" si="241">AG168</f>
        <v>0</v>
      </c>
      <c r="AH100" s="11">
        <f t="shared" si="241"/>
        <v>0</v>
      </c>
      <c r="AI100" s="11">
        <f t="shared" si="241"/>
        <v>0</v>
      </c>
      <c r="AJ100" s="5">
        <f t="shared" ref="AJ100:AJ102" si="242">SUM(AC100:AI100)</f>
        <v>0</v>
      </c>
      <c r="AL100" s="11">
        <v>0</v>
      </c>
      <c r="AM100" s="11">
        <v>0</v>
      </c>
      <c r="AN100" s="11">
        <v>0</v>
      </c>
      <c r="AO100" s="11"/>
      <c r="AP100" s="11">
        <f t="shared" ref="AP100:AR100" si="243">AP168</f>
        <v>0</v>
      </c>
      <c r="AQ100" s="11">
        <f t="shared" si="243"/>
        <v>0</v>
      </c>
      <c r="AR100" s="11">
        <f t="shared" si="243"/>
        <v>0</v>
      </c>
      <c r="AS100" s="5">
        <f t="shared" ref="AS100:AS102" si="244">SUM(AL100:AR100)</f>
        <v>0</v>
      </c>
      <c r="AU100" s="11">
        <v>0</v>
      </c>
      <c r="AV100" s="11">
        <v>0</v>
      </c>
      <c r="AW100" s="11">
        <v>0</v>
      </c>
      <c r="AX100" s="11"/>
      <c r="AY100" s="11">
        <f t="shared" ref="AY100:BA100" si="245">AY168</f>
        <v>0</v>
      </c>
      <c r="AZ100" s="11">
        <f t="shared" si="245"/>
        <v>0</v>
      </c>
      <c r="BA100" s="11">
        <f t="shared" si="245"/>
        <v>0</v>
      </c>
      <c r="BB100" s="5">
        <f t="shared" ref="BB100:BB102" si="246">SUM(AU100:BA100)</f>
        <v>0</v>
      </c>
      <c r="BD100" s="11">
        <v>0</v>
      </c>
      <c r="BE100" s="11">
        <v>0</v>
      </c>
      <c r="BF100" s="11">
        <v>0</v>
      </c>
      <c r="BG100" s="11"/>
      <c r="BH100" s="11">
        <f t="shared" ref="BH100:BJ100" si="247">BH168</f>
        <v>0</v>
      </c>
      <c r="BI100" s="11">
        <f t="shared" si="247"/>
        <v>0</v>
      </c>
      <c r="BJ100" s="11">
        <f t="shared" si="247"/>
        <v>0</v>
      </c>
      <c r="BK100" s="5">
        <f t="shared" ref="BK100:BK102" si="248">SUM(BD100:BJ100)</f>
        <v>0</v>
      </c>
      <c r="BM100" s="11">
        <v>0</v>
      </c>
      <c r="BN100" s="11">
        <v>0</v>
      </c>
      <c r="BO100" s="11">
        <v>0</v>
      </c>
      <c r="BP100" s="11"/>
      <c r="BQ100" s="11">
        <f t="shared" ref="BQ100:BS100" si="249">BQ168</f>
        <v>0</v>
      </c>
      <c r="BR100" s="11">
        <f t="shared" si="249"/>
        <v>0</v>
      </c>
      <c r="BS100" s="11">
        <f t="shared" si="249"/>
        <v>0</v>
      </c>
      <c r="BT100" s="5">
        <f t="shared" ref="BT100:BT102" si="250">SUM(BM100:BS100)</f>
        <v>0</v>
      </c>
      <c r="BV100" s="5">
        <f t="shared" si="234"/>
        <v>0</v>
      </c>
      <c r="BW100" s="5">
        <f t="shared" si="234"/>
        <v>0</v>
      </c>
      <c r="BX100" s="5">
        <f t="shared" si="234"/>
        <v>0</v>
      </c>
      <c r="BY100" s="5">
        <f t="shared" si="234"/>
        <v>0</v>
      </c>
      <c r="BZ100" s="5">
        <f t="shared" si="234"/>
        <v>0</v>
      </c>
      <c r="CA100" s="5">
        <f t="shared" si="234"/>
        <v>0</v>
      </c>
      <c r="CB100" s="11">
        <f t="shared" ref="CB100" si="251">CB168</f>
        <v>0</v>
      </c>
      <c r="CC100" s="5">
        <f t="shared" ref="CC100:CC102" si="252">SUM(BV100:CB100)</f>
        <v>0</v>
      </c>
    </row>
    <row r="101" spans="1:81">
      <c r="A101" s="29" t="s">
        <v>264</v>
      </c>
      <c r="B101" s="35"/>
      <c r="C101" s="35"/>
      <c r="D101" s="35"/>
      <c r="E101" s="35"/>
      <c r="F101" s="35"/>
      <c r="G101" s="35"/>
      <c r="H101" s="35"/>
      <c r="I101" s="5">
        <f t="shared" si="236"/>
        <v>0</v>
      </c>
      <c r="J101" s="7"/>
      <c r="K101" s="35"/>
      <c r="L101" s="35"/>
      <c r="M101" s="35"/>
      <c r="N101" s="35"/>
      <c r="O101" s="35"/>
      <c r="P101" s="35"/>
      <c r="Q101" s="35"/>
      <c r="R101" s="5">
        <f t="shared" si="238"/>
        <v>0</v>
      </c>
      <c r="T101" s="35"/>
      <c r="U101" s="35"/>
      <c r="V101" s="35"/>
      <c r="W101" s="35"/>
      <c r="X101" s="35"/>
      <c r="Y101" s="35"/>
      <c r="Z101" s="35"/>
      <c r="AA101" s="5">
        <f t="shared" si="240"/>
        <v>0</v>
      </c>
      <c r="AC101" s="35"/>
      <c r="AD101" s="35"/>
      <c r="AE101" s="35"/>
      <c r="AF101" s="35">
        <v>0</v>
      </c>
      <c r="AG101" s="35"/>
      <c r="AH101" s="35"/>
      <c r="AI101" s="35"/>
      <c r="AJ101" s="5">
        <f t="shared" si="242"/>
        <v>0</v>
      </c>
      <c r="AL101" s="35"/>
      <c r="AM101" s="35"/>
      <c r="AN101" s="35"/>
      <c r="AO101" s="35">
        <v>0</v>
      </c>
      <c r="AP101" s="35"/>
      <c r="AQ101" s="35"/>
      <c r="AR101" s="35"/>
      <c r="AS101" s="5">
        <f t="shared" si="244"/>
        <v>0</v>
      </c>
      <c r="AU101" s="35"/>
      <c r="AV101" s="35"/>
      <c r="AW101" s="35"/>
      <c r="AX101" s="35"/>
      <c r="AY101" s="35"/>
      <c r="AZ101" s="35"/>
      <c r="BA101" s="35"/>
      <c r="BB101" s="5">
        <f t="shared" si="246"/>
        <v>0</v>
      </c>
      <c r="BD101" s="35"/>
      <c r="BE101" s="35"/>
      <c r="BF101" s="35"/>
      <c r="BG101" s="35"/>
      <c r="BH101" s="35"/>
      <c r="BI101" s="35"/>
      <c r="BJ101" s="35"/>
      <c r="BK101" s="5">
        <f t="shared" si="248"/>
        <v>0</v>
      </c>
      <c r="BM101" s="35"/>
      <c r="BN101" s="35"/>
      <c r="BO101" s="35"/>
      <c r="BP101" s="35"/>
      <c r="BQ101" s="35"/>
      <c r="BR101" s="35"/>
      <c r="BS101" s="35"/>
      <c r="BT101" s="5">
        <f t="shared" si="250"/>
        <v>0</v>
      </c>
      <c r="BV101" s="5">
        <f t="shared" si="234"/>
        <v>0</v>
      </c>
      <c r="BW101" s="5">
        <f t="shared" si="234"/>
        <v>0</v>
      </c>
      <c r="BX101" s="5">
        <f t="shared" si="234"/>
        <v>0</v>
      </c>
      <c r="BY101" s="5">
        <f t="shared" si="234"/>
        <v>0</v>
      </c>
      <c r="BZ101" s="5">
        <f t="shared" si="234"/>
        <v>0</v>
      </c>
      <c r="CA101" s="5">
        <f t="shared" si="234"/>
        <v>0</v>
      </c>
      <c r="CB101" s="35"/>
      <c r="CC101" s="5">
        <f t="shared" si="252"/>
        <v>0</v>
      </c>
    </row>
    <row r="102" spans="1:81">
      <c r="A102" s="29"/>
      <c r="B102" s="35"/>
      <c r="C102" s="35"/>
      <c r="D102" s="35"/>
      <c r="E102" s="35"/>
      <c r="F102" s="35"/>
      <c r="G102" s="35"/>
      <c r="H102" s="35"/>
      <c r="I102" s="5">
        <f t="shared" si="236"/>
        <v>0</v>
      </c>
      <c r="J102" s="7"/>
      <c r="K102" s="35"/>
      <c r="L102" s="35"/>
      <c r="M102" s="35"/>
      <c r="N102" s="35"/>
      <c r="O102" s="35"/>
      <c r="P102" s="35"/>
      <c r="Q102" s="35"/>
      <c r="R102" s="5">
        <f t="shared" si="238"/>
        <v>0</v>
      </c>
      <c r="T102" s="35"/>
      <c r="U102" s="35"/>
      <c r="V102" s="35"/>
      <c r="W102" s="35"/>
      <c r="X102" s="35"/>
      <c r="Y102" s="35"/>
      <c r="Z102" s="35"/>
      <c r="AA102" s="5">
        <f t="shared" si="240"/>
        <v>0</v>
      </c>
      <c r="AC102" s="35"/>
      <c r="AD102" s="35"/>
      <c r="AE102" s="35"/>
      <c r="AF102" s="35"/>
      <c r="AG102" s="35"/>
      <c r="AH102" s="35"/>
      <c r="AI102" s="35"/>
      <c r="AJ102" s="5">
        <f t="shared" si="242"/>
        <v>0</v>
      </c>
      <c r="AL102" s="35"/>
      <c r="AM102" s="35"/>
      <c r="AN102" s="35"/>
      <c r="AO102" s="35"/>
      <c r="AP102" s="35"/>
      <c r="AQ102" s="35"/>
      <c r="AR102" s="35"/>
      <c r="AS102" s="5">
        <f t="shared" si="244"/>
        <v>0</v>
      </c>
      <c r="AU102" s="35"/>
      <c r="AV102" s="35"/>
      <c r="AW102" s="35"/>
      <c r="AX102" s="35"/>
      <c r="AY102" s="35"/>
      <c r="AZ102" s="35"/>
      <c r="BA102" s="35"/>
      <c r="BB102" s="5">
        <f t="shared" si="246"/>
        <v>0</v>
      </c>
      <c r="BD102" s="35"/>
      <c r="BE102" s="35"/>
      <c r="BF102" s="35"/>
      <c r="BG102" s="35"/>
      <c r="BH102" s="35"/>
      <c r="BI102" s="35"/>
      <c r="BJ102" s="35"/>
      <c r="BK102" s="5">
        <f t="shared" si="248"/>
        <v>0</v>
      </c>
      <c r="BM102" s="35"/>
      <c r="BN102" s="35"/>
      <c r="BO102" s="35"/>
      <c r="BP102" s="35"/>
      <c r="BQ102" s="35"/>
      <c r="BR102" s="35"/>
      <c r="BS102" s="35"/>
      <c r="BT102" s="5">
        <f t="shared" si="250"/>
        <v>0</v>
      </c>
      <c r="BV102" s="5">
        <f t="shared" si="234"/>
        <v>0</v>
      </c>
      <c r="BW102" s="5">
        <f t="shared" si="234"/>
        <v>0</v>
      </c>
      <c r="BX102" s="5">
        <f t="shared" si="234"/>
        <v>0</v>
      </c>
      <c r="BY102" s="5">
        <f t="shared" si="234"/>
        <v>0</v>
      </c>
      <c r="BZ102" s="5">
        <f t="shared" si="234"/>
        <v>0</v>
      </c>
      <c r="CA102" s="5">
        <f t="shared" si="234"/>
        <v>0</v>
      </c>
      <c r="CB102" s="35"/>
      <c r="CC102" s="5">
        <f t="shared" si="252"/>
        <v>0</v>
      </c>
    </row>
    <row r="103" spans="1:81" ht="15">
      <c r="A103" s="54" t="s">
        <v>97</v>
      </c>
      <c r="B103" s="55">
        <f>SUM(B99:B102)</f>
        <v>0</v>
      </c>
      <c r="C103" s="55">
        <f t="shared" ref="C103:I103" si="253">SUM(C99:C102)</f>
        <v>0</v>
      </c>
      <c r="D103" s="55">
        <f t="shared" si="253"/>
        <v>0</v>
      </c>
      <c r="E103" s="55">
        <f t="shared" si="253"/>
        <v>0</v>
      </c>
      <c r="F103" s="55">
        <f t="shared" si="253"/>
        <v>0</v>
      </c>
      <c r="G103" s="55">
        <f t="shared" si="253"/>
        <v>0</v>
      </c>
      <c r="H103" s="55">
        <f t="shared" si="253"/>
        <v>0</v>
      </c>
      <c r="I103" s="55">
        <f t="shared" si="253"/>
        <v>0</v>
      </c>
      <c r="J103" s="7"/>
      <c r="K103" s="55">
        <f>SUM(K99:K102)</f>
        <v>0</v>
      </c>
      <c r="L103" s="55">
        <f t="shared" ref="L103:R103" si="254">SUM(L99:L102)</f>
        <v>0</v>
      </c>
      <c r="M103" s="55">
        <f t="shared" si="254"/>
        <v>0</v>
      </c>
      <c r="N103" s="55">
        <f t="shared" si="254"/>
        <v>0</v>
      </c>
      <c r="O103" s="55">
        <f t="shared" si="254"/>
        <v>0</v>
      </c>
      <c r="P103" s="55">
        <f t="shared" si="254"/>
        <v>0</v>
      </c>
      <c r="Q103" s="55">
        <f t="shared" si="254"/>
        <v>0</v>
      </c>
      <c r="R103" s="55">
        <f t="shared" si="254"/>
        <v>0</v>
      </c>
      <c r="T103" s="55">
        <f>SUM(T99:T102)</f>
        <v>0</v>
      </c>
      <c r="U103" s="55">
        <f t="shared" ref="U103:AA103" si="255">SUM(U99:U102)</f>
        <v>0</v>
      </c>
      <c r="V103" s="55">
        <f t="shared" si="255"/>
        <v>0</v>
      </c>
      <c r="W103" s="55">
        <f t="shared" si="255"/>
        <v>0</v>
      </c>
      <c r="X103" s="55">
        <f t="shared" si="255"/>
        <v>0</v>
      </c>
      <c r="Y103" s="55">
        <f t="shared" si="255"/>
        <v>0</v>
      </c>
      <c r="Z103" s="55">
        <f t="shared" si="255"/>
        <v>0</v>
      </c>
      <c r="AA103" s="55">
        <f t="shared" si="255"/>
        <v>0</v>
      </c>
      <c r="AC103" s="55">
        <f>SUM(AC99:AC102)</f>
        <v>0</v>
      </c>
      <c r="AD103" s="55">
        <f t="shared" ref="AD103:AJ103" si="256">SUM(AD99:AD102)</f>
        <v>0</v>
      </c>
      <c r="AE103" s="55">
        <f t="shared" si="256"/>
        <v>0</v>
      </c>
      <c r="AF103" s="55">
        <f t="shared" si="256"/>
        <v>0</v>
      </c>
      <c r="AG103" s="55">
        <f t="shared" si="256"/>
        <v>0</v>
      </c>
      <c r="AH103" s="55">
        <f t="shared" si="256"/>
        <v>0</v>
      </c>
      <c r="AI103" s="55">
        <f t="shared" si="256"/>
        <v>0</v>
      </c>
      <c r="AJ103" s="55">
        <f t="shared" si="256"/>
        <v>0</v>
      </c>
      <c r="AL103" s="55">
        <f>SUM(AL99:AL102)</f>
        <v>0</v>
      </c>
      <c r="AM103" s="55">
        <f t="shared" ref="AM103:AS103" si="257">SUM(AM99:AM102)</f>
        <v>0</v>
      </c>
      <c r="AN103" s="55">
        <f t="shared" si="257"/>
        <v>0</v>
      </c>
      <c r="AO103" s="55">
        <f t="shared" si="257"/>
        <v>0</v>
      </c>
      <c r="AP103" s="55">
        <f t="shared" si="257"/>
        <v>0</v>
      </c>
      <c r="AQ103" s="55">
        <f t="shared" si="257"/>
        <v>0</v>
      </c>
      <c r="AR103" s="55">
        <f t="shared" si="257"/>
        <v>0</v>
      </c>
      <c r="AS103" s="55">
        <f t="shared" si="257"/>
        <v>0</v>
      </c>
      <c r="AU103" s="55">
        <f>SUM(AU99:AU102)</f>
        <v>0</v>
      </c>
      <c r="AV103" s="55">
        <f t="shared" ref="AV103:BB103" si="258">SUM(AV99:AV102)</f>
        <v>0</v>
      </c>
      <c r="AW103" s="55">
        <f t="shared" si="258"/>
        <v>0</v>
      </c>
      <c r="AX103" s="55">
        <f t="shared" si="258"/>
        <v>0</v>
      </c>
      <c r="AY103" s="55">
        <f t="shared" si="258"/>
        <v>0</v>
      </c>
      <c r="AZ103" s="55">
        <f t="shared" si="258"/>
        <v>0</v>
      </c>
      <c r="BA103" s="55">
        <f t="shared" si="258"/>
        <v>0</v>
      </c>
      <c r="BB103" s="55">
        <f t="shared" si="258"/>
        <v>0</v>
      </c>
      <c r="BD103" s="55">
        <f>SUM(BD99:BD102)</f>
        <v>0</v>
      </c>
      <c r="BE103" s="55">
        <f t="shared" ref="BE103:BK103" si="259">SUM(BE99:BE102)</f>
        <v>0</v>
      </c>
      <c r="BF103" s="55">
        <f t="shared" si="259"/>
        <v>0</v>
      </c>
      <c r="BG103" s="55">
        <f t="shared" si="259"/>
        <v>0</v>
      </c>
      <c r="BH103" s="55">
        <f t="shared" si="259"/>
        <v>0</v>
      </c>
      <c r="BI103" s="55">
        <f t="shared" si="259"/>
        <v>0</v>
      </c>
      <c r="BJ103" s="55">
        <f t="shared" si="259"/>
        <v>0</v>
      </c>
      <c r="BK103" s="55">
        <f t="shared" si="259"/>
        <v>0</v>
      </c>
      <c r="BM103" s="55">
        <f>SUM(BM99:BM102)</f>
        <v>0</v>
      </c>
      <c r="BN103" s="55">
        <f t="shared" ref="BN103:BT103" si="260">SUM(BN99:BN102)</f>
        <v>0</v>
      </c>
      <c r="BO103" s="55">
        <f t="shared" si="260"/>
        <v>0</v>
      </c>
      <c r="BP103" s="55">
        <f t="shared" si="260"/>
        <v>0</v>
      </c>
      <c r="BQ103" s="55">
        <f t="shared" si="260"/>
        <v>0</v>
      </c>
      <c r="BR103" s="55">
        <f t="shared" si="260"/>
        <v>0</v>
      </c>
      <c r="BS103" s="55">
        <f t="shared" si="260"/>
        <v>0</v>
      </c>
      <c r="BT103" s="55">
        <f t="shared" si="260"/>
        <v>0</v>
      </c>
      <c r="BV103" s="55">
        <f>SUM(BV99:BV102)</f>
        <v>0</v>
      </c>
      <c r="BW103" s="55">
        <f t="shared" ref="BW103:CC103" si="261">SUM(BW99:BW102)</f>
        <v>0</v>
      </c>
      <c r="BX103" s="55">
        <f t="shared" si="261"/>
        <v>0</v>
      </c>
      <c r="BY103" s="55">
        <f t="shared" si="261"/>
        <v>0</v>
      </c>
      <c r="BZ103" s="55">
        <f t="shared" si="261"/>
        <v>0</v>
      </c>
      <c r="CA103" s="55">
        <f t="shared" si="261"/>
        <v>0</v>
      </c>
      <c r="CB103" s="55">
        <f t="shared" si="261"/>
        <v>0</v>
      </c>
      <c r="CC103" s="55">
        <f t="shared" si="261"/>
        <v>0</v>
      </c>
    </row>
    <row r="104" spans="1:81" ht="15" thickBot="1">
      <c r="A104" s="29"/>
      <c r="B104" s="42"/>
      <c r="C104" s="42"/>
      <c r="D104" s="42"/>
      <c r="E104" s="42"/>
      <c r="F104" s="42"/>
      <c r="G104" s="42"/>
      <c r="H104" s="42"/>
      <c r="I104" s="42"/>
      <c r="J104" s="7"/>
      <c r="K104" s="42"/>
      <c r="L104" s="42"/>
      <c r="M104" s="42"/>
      <c r="N104" s="42"/>
      <c r="O104" s="42"/>
      <c r="P104" s="42"/>
      <c r="Q104" s="42"/>
      <c r="R104" s="42"/>
      <c r="T104" s="42"/>
      <c r="U104" s="42"/>
      <c r="V104" s="42"/>
      <c r="W104" s="42"/>
      <c r="X104" s="42"/>
      <c r="Y104" s="42"/>
      <c r="Z104" s="42"/>
      <c r="AA104" s="42"/>
      <c r="AC104" s="42"/>
      <c r="AD104" s="42"/>
      <c r="AE104" s="42"/>
      <c r="AF104" s="42"/>
      <c r="AG104" s="42"/>
      <c r="AH104" s="42"/>
      <c r="AI104" s="42"/>
      <c r="AJ104" s="42"/>
      <c r="AL104" s="42"/>
      <c r="AM104" s="42"/>
      <c r="AN104" s="42"/>
      <c r="AO104" s="42"/>
      <c r="AP104" s="42"/>
      <c r="AQ104" s="42"/>
      <c r="AR104" s="42"/>
      <c r="AS104" s="42"/>
      <c r="AU104" s="42"/>
      <c r="AV104" s="42"/>
      <c r="AW104" s="42"/>
      <c r="AX104" s="42"/>
      <c r="AY104" s="42"/>
      <c r="AZ104" s="42"/>
      <c r="BA104" s="42"/>
      <c r="BB104" s="42"/>
      <c r="BD104" s="42"/>
      <c r="BE104" s="42"/>
      <c r="BF104" s="42"/>
      <c r="BG104" s="42"/>
      <c r="BH104" s="42"/>
      <c r="BI104" s="42"/>
      <c r="BJ104" s="42"/>
      <c r="BK104" s="42"/>
      <c r="BM104" s="42"/>
      <c r="BN104" s="42"/>
      <c r="BO104" s="42"/>
      <c r="BP104" s="42"/>
      <c r="BQ104" s="42"/>
      <c r="BR104" s="42"/>
      <c r="BS104" s="42"/>
      <c r="BT104" s="42"/>
      <c r="BV104" s="42"/>
      <c r="BW104" s="42"/>
      <c r="BX104" s="42"/>
      <c r="BY104" s="42"/>
      <c r="BZ104" s="42"/>
      <c r="CA104" s="42"/>
      <c r="CB104" s="42"/>
      <c r="CC104" s="42"/>
    </row>
    <row r="105" spans="1:81" ht="15.75" thickBot="1">
      <c r="A105" s="60" t="s">
        <v>98</v>
      </c>
      <c r="B105" s="61" t="str">
        <f t="shared" ref="B105:I105" si="262">B1</f>
        <v>Operating</v>
      </c>
      <c r="C105" s="61" t="str">
        <f t="shared" si="262"/>
        <v>SPED</v>
      </c>
      <c r="D105" s="61" t="str">
        <f t="shared" si="262"/>
        <v>NSLP</v>
      </c>
      <c r="E105" s="61" t="str">
        <f t="shared" si="262"/>
        <v>Other</v>
      </c>
      <c r="F105" s="61" t="str">
        <f t="shared" si="262"/>
        <v>Title I</v>
      </c>
      <c r="G105" s="61" t="str">
        <f t="shared" si="262"/>
        <v>SGF</v>
      </c>
      <c r="H105" s="61" t="str">
        <f t="shared" si="262"/>
        <v>Title III</v>
      </c>
      <c r="I105" s="61" t="str">
        <f t="shared" si="262"/>
        <v>Horizon</v>
      </c>
      <c r="J105" s="7"/>
      <c r="K105" s="61" t="str">
        <f t="shared" ref="K105:R105" si="263">K1</f>
        <v>Operating</v>
      </c>
      <c r="L105" s="61" t="str">
        <f t="shared" si="263"/>
        <v>SPED</v>
      </c>
      <c r="M105" s="61" t="str">
        <f t="shared" si="263"/>
        <v>NSLP</v>
      </c>
      <c r="N105" s="61" t="str">
        <f t="shared" si="263"/>
        <v>Other</v>
      </c>
      <c r="O105" s="61" t="str">
        <f t="shared" si="263"/>
        <v>Title I</v>
      </c>
      <c r="P105" s="61" t="str">
        <f t="shared" si="263"/>
        <v>SGF</v>
      </c>
      <c r="Q105" s="61" t="str">
        <f t="shared" si="263"/>
        <v>Title III</v>
      </c>
      <c r="R105" s="61" t="str">
        <f t="shared" si="263"/>
        <v>St. Rose</v>
      </c>
      <c r="T105" s="61" t="str">
        <f t="shared" ref="T105:AA105" si="264">T1</f>
        <v>Operating</v>
      </c>
      <c r="U105" s="61" t="str">
        <f t="shared" si="264"/>
        <v>SPED</v>
      </c>
      <c r="V105" s="61" t="str">
        <f t="shared" si="264"/>
        <v>NSLP</v>
      </c>
      <c r="W105" s="61" t="str">
        <f t="shared" si="264"/>
        <v>Other</v>
      </c>
      <c r="X105" s="61" t="str">
        <f t="shared" si="264"/>
        <v>Title I</v>
      </c>
      <c r="Y105" s="61" t="str">
        <f t="shared" si="264"/>
        <v>SGF</v>
      </c>
      <c r="Z105" s="61" t="str">
        <f t="shared" si="264"/>
        <v>Title III</v>
      </c>
      <c r="AA105" s="61" t="str">
        <f t="shared" si="264"/>
        <v>Inspirada</v>
      </c>
      <c r="AC105" s="61" t="str">
        <f t="shared" ref="AC105:AJ105" si="265">AC1</f>
        <v>Operating</v>
      </c>
      <c r="AD105" s="61" t="str">
        <f t="shared" si="265"/>
        <v>SPED</v>
      </c>
      <c r="AE105" s="61" t="str">
        <f t="shared" si="265"/>
        <v>NSLP</v>
      </c>
      <c r="AF105" s="61" t="str">
        <f t="shared" si="265"/>
        <v>Other</v>
      </c>
      <c r="AG105" s="61" t="str">
        <f t="shared" si="265"/>
        <v>Title I</v>
      </c>
      <c r="AH105" s="61" t="str">
        <f t="shared" si="265"/>
        <v>SGF</v>
      </c>
      <c r="AI105" s="61" t="str">
        <f t="shared" si="265"/>
        <v>Title III</v>
      </c>
      <c r="AJ105" s="61" t="str">
        <f t="shared" si="265"/>
        <v>Cadence</v>
      </c>
      <c r="AL105" s="61" t="str">
        <f t="shared" ref="AL105:AS105" si="266">AL1</f>
        <v>Operating</v>
      </c>
      <c r="AM105" s="61" t="str">
        <f t="shared" si="266"/>
        <v>SPED</v>
      </c>
      <c r="AN105" s="61" t="str">
        <f t="shared" si="266"/>
        <v>NSLP</v>
      </c>
      <c r="AO105" s="61" t="str">
        <f t="shared" si="266"/>
        <v>Other</v>
      </c>
      <c r="AP105" s="61" t="str">
        <f t="shared" si="266"/>
        <v>Title I</v>
      </c>
      <c r="AQ105" s="61" t="str">
        <f t="shared" si="266"/>
        <v>SGF</v>
      </c>
      <c r="AR105" s="61" t="str">
        <f t="shared" si="266"/>
        <v>Title III</v>
      </c>
      <c r="AS105" s="61" t="str">
        <f t="shared" si="266"/>
        <v>Sloan</v>
      </c>
      <c r="AU105" s="61" t="str">
        <f t="shared" ref="AU105:BB105" si="267">AU1</f>
        <v>Operating</v>
      </c>
      <c r="AV105" s="61" t="str">
        <f t="shared" si="267"/>
        <v>SPED</v>
      </c>
      <c r="AW105" s="61" t="str">
        <f t="shared" si="267"/>
        <v>NSLP</v>
      </c>
      <c r="AX105" s="61" t="str">
        <f t="shared" si="267"/>
        <v>Other</v>
      </c>
      <c r="AY105" s="61" t="str">
        <f t="shared" si="267"/>
        <v>Title I</v>
      </c>
      <c r="AZ105" s="61" t="str">
        <f t="shared" si="267"/>
        <v>SGF</v>
      </c>
      <c r="BA105" s="61" t="str">
        <f t="shared" si="267"/>
        <v>Title III</v>
      </c>
      <c r="BB105" s="61" t="str">
        <f t="shared" si="267"/>
        <v>Virtual</v>
      </c>
      <c r="BD105" s="61" t="str">
        <f t="shared" ref="BD105:BK105" si="268">BD1</f>
        <v>Operating</v>
      </c>
      <c r="BE105" s="61" t="str">
        <f t="shared" si="268"/>
        <v>SPED</v>
      </c>
      <c r="BF105" s="61" t="str">
        <f t="shared" si="268"/>
        <v>NSLP</v>
      </c>
      <c r="BG105" s="61" t="str">
        <f t="shared" si="268"/>
        <v>Other</v>
      </c>
      <c r="BH105" s="61" t="str">
        <f t="shared" si="268"/>
        <v>Title I</v>
      </c>
      <c r="BI105" s="61" t="str">
        <f t="shared" si="268"/>
        <v>SGF</v>
      </c>
      <c r="BJ105" s="61" t="str">
        <f t="shared" si="268"/>
        <v>Title III</v>
      </c>
      <c r="BK105" s="61" t="str">
        <f t="shared" si="268"/>
        <v>Springs</v>
      </c>
      <c r="BM105" s="61" t="str">
        <f t="shared" ref="BM105:BT105" si="269">BM1</f>
        <v>Operating</v>
      </c>
      <c r="BN105" s="61" t="str">
        <f t="shared" si="269"/>
        <v>SPED</v>
      </c>
      <c r="BO105" s="61" t="str">
        <f t="shared" si="269"/>
        <v>NSLP</v>
      </c>
      <c r="BP105" s="61" t="str">
        <f t="shared" si="269"/>
        <v>Other</v>
      </c>
      <c r="BQ105" s="61" t="str">
        <f t="shared" si="269"/>
        <v>Title I</v>
      </c>
      <c r="BR105" s="61" t="str">
        <f t="shared" si="269"/>
        <v>SGF</v>
      </c>
      <c r="BS105" s="61" t="str">
        <f t="shared" si="269"/>
        <v>Title III</v>
      </c>
      <c r="BT105" s="61" t="str">
        <f t="shared" si="269"/>
        <v>Exec. Office</v>
      </c>
      <c r="BV105" s="61" t="str">
        <f t="shared" ref="BV105:CC105" si="270">BV1</f>
        <v>Operating</v>
      </c>
      <c r="BW105" s="61" t="str">
        <f t="shared" si="270"/>
        <v>SPED</v>
      </c>
      <c r="BX105" s="61" t="str">
        <f t="shared" si="270"/>
        <v>NSLP</v>
      </c>
      <c r="BY105" s="61" t="str">
        <f t="shared" si="270"/>
        <v>Other</v>
      </c>
      <c r="BZ105" s="61" t="str">
        <f t="shared" si="270"/>
        <v>Title I</v>
      </c>
      <c r="CA105" s="61" t="str">
        <f t="shared" si="270"/>
        <v>SGF</v>
      </c>
      <c r="CB105" s="61" t="str">
        <f t="shared" si="270"/>
        <v>Title III</v>
      </c>
      <c r="CC105" s="61" t="str">
        <f t="shared" si="270"/>
        <v>Systemwide</v>
      </c>
    </row>
    <row r="106" spans="1:81" ht="15">
      <c r="A106" s="48" t="s">
        <v>99</v>
      </c>
      <c r="B106" s="49"/>
      <c r="C106" s="49"/>
      <c r="D106" s="49"/>
      <c r="E106" s="49"/>
      <c r="F106" s="49"/>
      <c r="G106" s="49"/>
      <c r="H106" s="49"/>
      <c r="I106" s="50"/>
      <c r="J106" s="7"/>
      <c r="K106" s="49"/>
      <c r="L106" s="49"/>
      <c r="M106" s="49"/>
      <c r="N106" s="49"/>
      <c r="O106" s="49"/>
      <c r="P106" s="49"/>
      <c r="Q106" s="49"/>
      <c r="R106" s="50"/>
      <c r="T106" s="49"/>
      <c r="U106" s="49"/>
      <c r="V106" s="49"/>
      <c r="W106" s="49"/>
      <c r="X106" s="49"/>
      <c r="Y106" s="49"/>
      <c r="Z106" s="49"/>
      <c r="AA106" s="50"/>
      <c r="AC106" s="49"/>
      <c r="AD106" s="49"/>
      <c r="AE106" s="49"/>
      <c r="AF106" s="49"/>
      <c r="AG106" s="49"/>
      <c r="AH106" s="49"/>
      <c r="AI106" s="49"/>
      <c r="AJ106" s="50"/>
      <c r="AL106" s="49"/>
      <c r="AM106" s="49"/>
      <c r="AN106" s="49"/>
      <c r="AO106" s="49"/>
      <c r="AP106" s="49"/>
      <c r="AQ106" s="49"/>
      <c r="AR106" s="49"/>
      <c r="AS106" s="50"/>
      <c r="AU106" s="49"/>
      <c r="AV106" s="49"/>
      <c r="AW106" s="49"/>
      <c r="AX106" s="49"/>
      <c r="AY106" s="49"/>
      <c r="AZ106" s="49"/>
      <c r="BA106" s="49"/>
      <c r="BB106" s="50"/>
      <c r="BD106" s="49"/>
      <c r="BE106" s="49"/>
      <c r="BF106" s="49"/>
      <c r="BG106" s="49"/>
      <c r="BH106" s="49"/>
      <c r="BI106" s="49"/>
      <c r="BJ106" s="49"/>
      <c r="BK106" s="50"/>
      <c r="BM106" s="49"/>
      <c r="BN106" s="49"/>
      <c r="BO106" s="49"/>
      <c r="BP106" s="49"/>
      <c r="BQ106" s="49"/>
      <c r="BR106" s="49"/>
      <c r="BS106" s="49"/>
      <c r="BT106" s="50"/>
      <c r="BV106" s="49"/>
      <c r="BW106" s="49"/>
      <c r="BX106" s="49"/>
      <c r="BY106" s="49"/>
      <c r="BZ106" s="49"/>
      <c r="CA106" s="49"/>
      <c r="CB106" s="49"/>
      <c r="CC106" s="50"/>
    </row>
    <row r="107" spans="1:81">
      <c r="A107" s="29" t="s">
        <v>40</v>
      </c>
      <c r="B107" s="62">
        <f>'27-28'!B107*1.015</f>
        <v>165747.28697430671</v>
      </c>
      <c r="C107" s="11"/>
      <c r="D107" s="5"/>
      <c r="E107" s="5"/>
      <c r="F107" s="5"/>
      <c r="G107" s="5"/>
      <c r="H107" s="5"/>
      <c r="I107" s="5">
        <f t="shared" ref="I107:I120" si="271">SUM(B107:H107)</f>
        <v>165747.28697430671</v>
      </c>
      <c r="K107" s="62">
        <f>'27-28'!K107*1.015</f>
        <v>161423.66334630325</v>
      </c>
      <c r="L107" s="11"/>
      <c r="M107" s="5"/>
      <c r="N107" s="5"/>
      <c r="O107" s="5"/>
      <c r="P107" s="5"/>
      <c r="Q107" s="5"/>
      <c r="R107" s="5">
        <f t="shared" ref="R107:R120" si="272">SUM(K107:Q107)</f>
        <v>161423.66334630325</v>
      </c>
      <c r="T107" s="62">
        <f>'27-28'!T107*1.015</f>
        <v>226184.0021830418</v>
      </c>
      <c r="U107" s="5"/>
      <c r="V107" s="5"/>
      <c r="W107" s="5"/>
      <c r="X107" s="5"/>
      <c r="Y107" s="5"/>
      <c r="Z107" s="5"/>
      <c r="AA107" s="5">
        <f t="shared" ref="AA107:AA120" si="273">SUM(T107:Z107)</f>
        <v>226184.0021830418</v>
      </c>
      <c r="AC107" s="62">
        <f>'27-28'!AC107*1.015</f>
        <v>173819.50868585618</v>
      </c>
      <c r="AD107" s="11"/>
      <c r="AE107" s="5"/>
      <c r="AF107" s="5"/>
      <c r="AG107" s="5"/>
      <c r="AH107" s="5"/>
      <c r="AI107" s="5"/>
      <c r="AJ107" s="5">
        <f t="shared" ref="AJ107:AJ120" si="274">SUM(AC107:AI107)</f>
        <v>173819.50868585618</v>
      </c>
      <c r="AL107" s="62">
        <f>'27-28'!AL107*1.015</f>
        <v>182480.96759980611</v>
      </c>
      <c r="AM107" s="11"/>
      <c r="AN107" s="5"/>
      <c r="AO107" s="5"/>
      <c r="AP107" s="5"/>
      <c r="AQ107" s="5"/>
      <c r="AR107" s="5"/>
      <c r="AS107" s="5">
        <f t="shared" ref="AS107:AS120" si="275">SUM(AL107:AR107)</f>
        <v>182480.96759980611</v>
      </c>
      <c r="AU107" s="62">
        <f>'27-28'!AU107*1.015</f>
        <v>0</v>
      </c>
      <c r="AV107" s="11"/>
      <c r="AW107" s="5"/>
      <c r="AX107" s="5"/>
      <c r="AY107" s="5"/>
      <c r="AZ107" s="5"/>
      <c r="BA107" s="5"/>
      <c r="BB107" s="5">
        <f t="shared" ref="BB107:BB120" si="276">SUM(AU107:BA107)</f>
        <v>0</v>
      </c>
      <c r="BD107" s="62">
        <f>'27-28'!BD107*1.015</f>
        <v>0</v>
      </c>
      <c r="BE107" s="11"/>
      <c r="BF107" s="5"/>
      <c r="BG107" s="5"/>
      <c r="BH107" s="5"/>
      <c r="BI107" s="5"/>
      <c r="BJ107" s="5"/>
      <c r="BK107" s="5">
        <f t="shared" ref="BK107:BK120" si="277">SUM(BD107:BJ107)</f>
        <v>0</v>
      </c>
      <c r="BM107" s="62">
        <f>'27-28'!BM107*1.015</f>
        <v>0</v>
      </c>
      <c r="BN107" s="11"/>
      <c r="BO107" s="5"/>
      <c r="BP107" s="5"/>
      <c r="BQ107" s="5"/>
      <c r="BR107" s="5"/>
      <c r="BS107" s="5"/>
      <c r="BT107" s="5">
        <f t="shared" ref="BT107:BT120" si="278">SUM(BM107:BS107)</f>
        <v>0</v>
      </c>
      <c r="BV107" s="5">
        <f t="shared" ref="BV107:CA120" si="279">B107+K107+T107+AC107+AL107+AU107+BD107+BM107</f>
        <v>909655.42878931412</v>
      </c>
      <c r="BW107" s="5">
        <f t="shared" si="279"/>
        <v>0</v>
      </c>
      <c r="BX107" s="5">
        <f t="shared" si="279"/>
        <v>0</v>
      </c>
      <c r="BY107" s="5">
        <f t="shared" si="279"/>
        <v>0</v>
      </c>
      <c r="BZ107" s="5">
        <f t="shared" si="279"/>
        <v>0</v>
      </c>
      <c r="CA107" s="5">
        <f t="shared" si="279"/>
        <v>0</v>
      </c>
      <c r="CB107" s="5"/>
      <c r="CC107" s="5">
        <f t="shared" ref="CC107:CC120" si="280">SUM(BV107:CB107)</f>
        <v>909655.42878931412</v>
      </c>
    </row>
    <row r="108" spans="1:81">
      <c r="A108" s="29" t="s">
        <v>100</v>
      </c>
      <c r="B108" s="62">
        <f>'27-28'!B108*1.015</f>
        <v>341735.71330313612</v>
      </c>
      <c r="C108" s="11"/>
      <c r="D108" s="5"/>
      <c r="E108" s="5"/>
      <c r="F108" s="5"/>
      <c r="G108" s="5"/>
      <c r="H108" s="5"/>
      <c r="I108" s="5">
        <f t="shared" si="271"/>
        <v>341735.71330313612</v>
      </c>
      <c r="K108" s="62">
        <f>'27-28'!K108*1.015</f>
        <v>354198.24411457492</v>
      </c>
      <c r="L108" s="11"/>
      <c r="M108" s="5"/>
      <c r="N108" s="5"/>
      <c r="O108" s="5"/>
      <c r="P108" s="5"/>
      <c r="Q108" s="5"/>
      <c r="R108" s="5">
        <f t="shared" si="272"/>
        <v>354198.24411457492</v>
      </c>
      <c r="T108" s="62">
        <f>'27-28'!T108*1.015</f>
        <v>373875.92434316233</v>
      </c>
      <c r="U108" s="5"/>
      <c r="V108" s="5"/>
      <c r="W108" s="5"/>
      <c r="X108" s="5"/>
      <c r="Y108" s="5"/>
      <c r="Z108" s="5"/>
      <c r="AA108" s="5">
        <f t="shared" si="273"/>
        <v>373875.92434316233</v>
      </c>
      <c r="AC108" s="62">
        <f>'27-28'!AC108*1.015</f>
        <v>608696.24173763976</v>
      </c>
      <c r="AD108" s="11"/>
      <c r="AE108" s="5"/>
      <c r="AF108" s="5"/>
      <c r="AG108" s="5"/>
      <c r="AH108" s="5"/>
      <c r="AI108" s="5"/>
      <c r="AJ108" s="5">
        <f t="shared" si="274"/>
        <v>608696.24173763976</v>
      </c>
      <c r="AL108" s="62">
        <f>'27-28'!AL108*1.015</f>
        <v>505716.38187469856</v>
      </c>
      <c r="AM108" s="11"/>
      <c r="AN108" s="5"/>
      <c r="AO108" s="5"/>
      <c r="AP108" s="5"/>
      <c r="AQ108" s="5"/>
      <c r="AR108" s="5"/>
      <c r="AS108" s="5">
        <f t="shared" si="275"/>
        <v>505716.38187469856</v>
      </c>
      <c r="AU108" s="62">
        <f>'27-28'!AU108*1.015</f>
        <v>0</v>
      </c>
      <c r="AV108" s="11"/>
      <c r="AW108" s="5"/>
      <c r="AX108" s="5"/>
      <c r="AY108" s="5"/>
      <c r="AZ108" s="5"/>
      <c r="BA108" s="5"/>
      <c r="BB108" s="5">
        <f t="shared" si="276"/>
        <v>0</v>
      </c>
      <c r="BD108" s="62">
        <f>'27-28'!BD108*1.015</f>
        <v>125718.51257153119</v>
      </c>
      <c r="BE108" s="11"/>
      <c r="BF108" s="5"/>
      <c r="BG108" s="5"/>
      <c r="BH108" s="5"/>
      <c r="BI108" s="5"/>
      <c r="BJ108" s="5"/>
      <c r="BK108" s="5">
        <f t="shared" si="277"/>
        <v>125718.51257153119</v>
      </c>
      <c r="BM108" s="62">
        <f>'27-28'!BM108*1.015</f>
        <v>0</v>
      </c>
      <c r="BN108" s="11"/>
      <c r="BO108" s="5"/>
      <c r="BP108" s="5"/>
      <c r="BQ108" s="5"/>
      <c r="BR108" s="5"/>
      <c r="BS108" s="5"/>
      <c r="BT108" s="5">
        <f t="shared" si="278"/>
        <v>0</v>
      </c>
      <c r="BV108" s="5">
        <f t="shared" si="279"/>
        <v>2309941.0179447429</v>
      </c>
      <c r="BW108" s="5">
        <f t="shared" si="279"/>
        <v>0</v>
      </c>
      <c r="BX108" s="5">
        <f t="shared" si="279"/>
        <v>0</v>
      </c>
      <c r="BY108" s="5">
        <f t="shared" si="279"/>
        <v>0</v>
      </c>
      <c r="BZ108" s="5">
        <f t="shared" si="279"/>
        <v>0</v>
      </c>
      <c r="CA108" s="5">
        <f t="shared" si="279"/>
        <v>0</v>
      </c>
      <c r="CB108" s="5"/>
      <c r="CC108" s="5">
        <f t="shared" si="280"/>
        <v>2309941.0179447429</v>
      </c>
    </row>
    <row r="109" spans="1:81">
      <c r="A109" s="29" t="s">
        <v>42</v>
      </c>
      <c r="B109" s="62">
        <f>'27-28'!B109*1.015</f>
        <v>0</v>
      </c>
      <c r="C109" s="11"/>
      <c r="D109" s="5"/>
      <c r="E109" s="5"/>
      <c r="F109" s="5"/>
      <c r="G109" s="5"/>
      <c r="H109" s="5"/>
      <c r="I109" s="5">
        <f t="shared" si="271"/>
        <v>0</v>
      </c>
      <c r="K109" s="62">
        <f>'27-28'!K109*1.015</f>
        <v>0</v>
      </c>
      <c r="L109" s="11"/>
      <c r="M109" s="5"/>
      <c r="N109" s="5"/>
      <c r="O109" s="5"/>
      <c r="P109" s="5"/>
      <c r="Q109" s="5"/>
      <c r="R109" s="5">
        <f t="shared" si="272"/>
        <v>0</v>
      </c>
      <c r="T109" s="62">
        <f>'27-28'!T109*1.015</f>
        <v>0</v>
      </c>
      <c r="U109" s="5"/>
      <c r="V109" s="5"/>
      <c r="W109" s="5"/>
      <c r="X109" s="5"/>
      <c r="Y109" s="5"/>
      <c r="Z109" s="5"/>
      <c r="AA109" s="5">
        <f t="shared" si="273"/>
        <v>0</v>
      </c>
      <c r="AC109" s="62">
        <f>'27-28'!AC109*1.015</f>
        <v>0</v>
      </c>
      <c r="AD109" s="11"/>
      <c r="AE109" s="5"/>
      <c r="AF109" s="5"/>
      <c r="AG109" s="5"/>
      <c r="AH109" s="5"/>
      <c r="AI109" s="5"/>
      <c r="AJ109" s="5">
        <f t="shared" si="274"/>
        <v>0</v>
      </c>
      <c r="AL109" s="62">
        <f>'27-28'!AL109*1.015</f>
        <v>0</v>
      </c>
      <c r="AM109" s="11"/>
      <c r="AN109" s="5"/>
      <c r="AO109" s="5"/>
      <c r="AP109" s="5"/>
      <c r="AQ109" s="5"/>
      <c r="AR109" s="5"/>
      <c r="AS109" s="5">
        <f t="shared" si="275"/>
        <v>0</v>
      </c>
      <c r="AU109" s="62">
        <f>'27-28'!AU109*1.015</f>
        <v>0</v>
      </c>
      <c r="AV109" s="11"/>
      <c r="AW109" s="5"/>
      <c r="AX109" s="5"/>
      <c r="AY109" s="5"/>
      <c r="AZ109" s="5"/>
      <c r="BA109" s="5"/>
      <c r="BB109" s="5">
        <f t="shared" si="276"/>
        <v>0</v>
      </c>
      <c r="BD109" s="62">
        <f>'27-28'!BD109*1.015</f>
        <v>76524.312000062477</v>
      </c>
      <c r="BE109" s="11"/>
      <c r="BF109" s="5"/>
      <c r="BG109" s="5">
        <v>0</v>
      </c>
      <c r="BH109" s="5"/>
      <c r="BI109" s="5"/>
      <c r="BJ109" s="5"/>
      <c r="BK109" s="5">
        <f t="shared" si="277"/>
        <v>76524.312000062477</v>
      </c>
      <c r="BM109" s="62">
        <f>'27-28'!BM109*1.015</f>
        <v>0</v>
      </c>
      <c r="BN109" s="11"/>
      <c r="BO109" s="5"/>
      <c r="BP109" s="5"/>
      <c r="BQ109" s="5"/>
      <c r="BR109" s="5"/>
      <c r="BS109" s="5"/>
      <c r="BT109" s="5">
        <f t="shared" si="278"/>
        <v>0</v>
      </c>
      <c r="BV109" s="5">
        <f t="shared" si="279"/>
        <v>76524.312000062477</v>
      </c>
      <c r="BW109" s="5">
        <f t="shared" si="279"/>
        <v>0</v>
      </c>
      <c r="BX109" s="5">
        <f t="shared" si="279"/>
        <v>0</v>
      </c>
      <c r="BY109" s="5">
        <f t="shared" si="279"/>
        <v>0</v>
      </c>
      <c r="BZ109" s="5">
        <f t="shared" si="279"/>
        <v>0</v>
      </c>
      <c r="CA109" s="5">
        <f t="shared" si="279"/>
        <v>0</v>
      </c>
      <c r="CB109" s="5"/>
      <c r="CC109" s="5">
        <f t="shared" si="280"/>
        <v>76524.312000062477</v>
      </c>
    </row>
    <row r="110" spans="1:81">
      <c r="A110" s="32" t="s">
        <v>43</v>
      </c>
      <c r="B110" s="62">
        <f>'27-28'!B110*1.015</f>
        <v>0</v>
      </c>
      <c r="C110" s="11"/>
      <c r="D110" s="5"/>
      <c r="E110" s="5"/>
      <c r="F110" s="11"/>
      <c r="G110" s="5"/>
      <c r="H110" s="5"/>
      <c r="I110" s="5">
        <f t="shared" si="271"/>
        <v>0</v>
      </c>
      <c r="K110" s="62">
        <f>'27-28'!K110*1.015</f>
        <v>0</v>
      </c>
      <c r="L110" s="11"/>
      <c r="M110" s="5"/>
      <c r="N110" s="5"/>
      <c r="O110" s="5"/>
      <c r="P110" s="5"/>
      <c r="Q110" s="5"/>
      <c r="R110" s="5">
        <f t="shared" si="272"/>
        <v>0</v>
      </c>
      <c r="T110" s="62">
        <f>'27-28'!T110*1.015</f>
        <v>0</v>
      </c>
      <c r="U110" s="5"/>
      <c r="V110" s="5"/>
      <c r="W110" s="5"/>
      <c r="X110" s="5"/>
      <c r="Y110" s="5"/>
      <c r="Z110" s="5"/>
      <c r="AA110" s="5">
        <f t="shared" si="273"/>
        <v>0</v>
      </c>
      <c r="AC110" s="62">
        <f>'27-28'!AC110*1.015</f>
        <v>255809.84297163741</v>
      </c>
      <c r="AD110" s="11"/>
      <c r="AE110" s="5"/>
      <c r="AF110" s="5"/>
      <c r="AG110" s="5"/>
      <c r="AH110" s="5"/>
      <c r="AI110" s="5"/>
      <c r="AJ110" s="5">
        <f t="shared" si="274"/>
        <v>255809.84297163741</v>
      </c>
      <c r="AL110" s="62">
        <f>'27-28'!AL110*1.015</f>
        <v>236132.16274304991</v>
      </c>
      <c r="AM110" s="11"/>
      <c r="AN110" s="5"/>
      <c r="AO110" s="5"/>
      <c r="AP110" s="5"/>
      <c r="AQ110" s="5"/>
      <c r="AR110" s="5"/>
      <c r="AS110" s="5">
        <f t="shared" si="275"/>
        <v>236132.16274304991</v>
      </c>
      <c r="AU110" s="62">
        <f>'27-28'!AU110*1.015</f>
        <v>0</v>
      </c>
      <c r="AV110" s="11"/>
      <c r="AW110" s="5"/>
      <c r="AX110" s="5"/>
      <c r="AY110" s="5"/>
      <c r="AZ110" s="5"/>
      <c r="BA110" s="5"/>
      <c r="BB110" s="5">
        <f t="shared" si="276"/>
        <v>0</v>
      </c>
      <c r="BD110" s="62">
        <f>'27-28'!BD110*1.015</f>
        <v>0</v>
      </c>
      <c r="BE110" s="11"/>
      <c r="BF110" s="5"/>
      <c r="BG110" s="5"/>
      <c r="BH110" s="5"/>
      <c r="BI110" s="5"/>
      <c r="BJ110" s="5"/>
      <c r="BK110" s="5">
        <f t="shared" si="277"/>
        <v>0</v>
      </c>
      <c r="BM110" s="62">
        <f>'27-28'!BM110*1.015</f>
        <v>0</v>
      </c>
      <c r="BN110" s="11"/>
      <c r="BO110" s="5"/>
      <c r="BP110" s="5"/>
      <c r="BQ110" s="5"/>
      <c r="BR110" s="5"/>
      <c r="BS110" s="5"/>
      <c r="BT110" s="5">
        <f t="shared" si="278"/>
        <v>0</v>
      </c>
      <c r="BV110" s="5">
        <f t="shared" si="279"/>
        <v>491942.00571468729</v>
      </c>
      <c r="BW110" s="5">
        <f t="shared" si="279"/>
        <v>0</v>
      </c>
      <c r="BX110" s="5">
        <f t="shared" si="279"/>
        <v>0</v>
      </c>
      <c r="BY110" s="5">
        <f t="shared" si="279"/>
        <v>0</v>
      </c>
      <c r="BZ110" s="5">
        <f t="shared" si="279"/>
        <v>0</v>
      </c>
      <c r="CA110" s="5">
        <f t="shared" si="279"/>
        <v>0</v>
      </c>
      <c r="CB110" s="5"/>
      <c r="CC110" s="5">
        <f t="shared" si="280"/>
        <v>491942.00571468729</v>
      </c>
    </row>
    <row r="111" spans="1:81">
      <c r="A111" s="32" t="s">
        <v>44</v>
      </c>
      <c r="B111" s="62">
        <f>'27-28'!B111*1.015</f>
        <v>88002.958800071836</v>
      </c>
      <c r="C111" s="11"/>
      <c r="D111" s="5"/>
      <c r="E111" s="5"/>
      <c r="F111" s="11"/>
      <c r="G111" s="5"/>
      <c r="H111" s="5"/>
      <c r="I111" s="5">
        <f t="shared" si="271"/>
        <v>88002.958800071836</v>
      </c>
      <c r="K111" s="62">
        <f>'27-28'!K111*1.015</f>
        <v>87456.356571499971</v>
      </c>
      <c r="L111" s="11"/>
      <c r="M111" s="5"/>
      <c r="N111" s="5"/>
      <c r="O111" s="5"/>
      <c r="P111" s="5"/>
      <c r="Q111" s="5"/>
      <c r="R111" s="5">
        <f t="shared" si="272"/>
        <v>87456.356571499971</v>
      </c>
      <c r="T111" s="62">
        <f>'27-28'!T111*1.015</f>
        <v>87456.356571499971</v>
      </c>
      <c r="U111" s="5"/>
      <c r="V111" s="5"/>
      <c r="W111" s="5"/>
      <c r="X111" s="5"/>
      <c r="Y111" s="5"/>
      <c r="Z111" s="5"/>
      <c r="AA111" s="5">
        <f t="shared" si="273"/>
        <v>87456.356571499971</v>
      </c>
      <c r="AC111" s="62">
        <f>'27-28'!AC111*1.015</f>
        <v>170539.89531442494</v>
      </c>
      <c r="AD111" s="11"/>
      <c r="AE111" s="5"/>
      <c r="AF111" s="5"/>
      <c r="AG111" s="5"/>
      <c r="AH111" s="5"/>
      <c r="AI111" s="5"/>
      <c r="AJ111" s="5">
        <f t="shared" si="274"/>
        <v>170539.89531442494</v>
      </c>
      <c r="AL111" s="62">
        <f>'27-28'!AL111*1.015</f>
        <v>178410.9674058599</v>
      </c>
      <c r="AM111" s="11"/>
      <c r="AN111" s="5"/>
      <c r="AO111" s="5"/>
      <c r="AP111" s="5"/>
      <c r="AQ111" s="5"/>
      <c r="AR111" s="5"/>
      <c r="AS111" s="5">
        <f t="shared" si="275"/>
        <v>178410.9674058599</v>
      </c>
      <c r="AU111" s="62">
        <f>'27-28'!AU111*1.015</f>
        <v>92922.378857218704</v>
      </c>
      <c r="AV111" s="11"/>
      <c r="AW111" s="5"/>
      <c r="AX111" s="5"/>
      <c r="AY111" s="5"/>
      <c r="AZ111" s="5"/>
      <c r="BA111" s="5"/>
      <c r="BB111" s="5">
        <f t="shared" si="276"/>
        <v>92922.378857218704</v>
      </c>
      <c r="BD111" s="62">
        <f>'27-28'!BD111*1.015</f>
        <v>0</v>
      </c>
      <c r="BE111" s="11"/>
      <c r="BF111" s="5"/>
      <c r="BG111" s="5"/>
      <c r="BH111" s="5"/>
      <c r="BI111" s="5"/>
      <c r="BJ111" s="5"/>
      <c r="BK111" s="5">
        <f t="shared" si="277"/>
        <v>0</v>
      </c>
      <c r="BM111" s="62">
        <f>'27-28'!BM111*1.015</f>
        <v>98388.401142937451</v>
      </c>
      <c r="BN111" s="11"/>
      <c r="BO111" s="5"/>
      <c r="BP111" s="5"/>
      <c r="BQ111" s="5"/>
      <c r="BR111" s="5"/>
      <c r="BS111" s="5"/>
      <c r="BT111" s="5">
        <f t="shared" si="278"/>
        <v>98388.401142937451</v>
      </c>
      <c r="BV111" s="5">
        <f t="shared" si="279"/>
        <v>803177.31466351275</v>
      </c>
      <c r="BW111" s="5">
        <f t="shared" si="279"/>
        <v>0</v>
      </c>
      <c r="BX111" s="5">
        <f t="shared" si="279"/>
        <v>0</v>
      </c>
      <c r="BY111" s="5">
        <f t="shared" si="279"/>
        <v>0</v>
      </c>
      <c r="BZ111" s="5">
        <f t="shared" si="279"/>
        <v>0</v>
      </c>
      <c r="CA111" s="5">
        <f t="shared" si="279"/>
        <v>0</v>
      </c>
      <c r="CB111" s="5"/>
      <c r="CC111" s="5">
        <f t="shared" si="280"/>
        <v>803177.31466351275</v>
      </c>
    </row>
    <row r="112" spans="1:81">
      <c r="A112" s="29" t="s">
        <v>101</v>
      </c>
      <c r="B112" s="62">
        <f>'27-28'!B112*1.015</f>
        <v>0</v>
      </c>
      <c r="C112" s="11"/>
      <c r="D112" s="5"/>
      <c r="E112" s="5"/>
      <c r="F112" s="11"/>
      <c r="G112" s="5"/>
      <c r="H112" s="5"/>
      <c r="I112" s="5">
        <f t="shared" si="271"/>
        <v>0</v>
      </c>
      <c r="K112" s="62">
        <f>'27-28'!K112*1.015</f>
        <v>87456.356571499971</v>
      </c>
      <c r="L112" s="11"/>
      <c r="M112" s="5"/>
      <c r="N112" s="5"/>
      <c r="O112" s="5"/>
      <c r="P112" s="5"/>
      <c r="Q112" s="5"/>
      <c r="R112" s="5">
        <f t="shared" si="272"/>
        <v>87456.356571499971</v>
      </c>
      <c r="T112" s="62">
        <f>'27-28'!T112*1.015</f>
        <v>87456.356571499971</v>
      </c>
      <c r="U112" s="5"/>
      <c r="V112" s="5"/>
      <c r="W112" s="5"/>
      <c r="X112" s="5"/>
      <c r="Y112" s="5"/>
      <c r="Z112" s="5"/>
      <c r="AA112" s="5">
        <f t="shared" si="273"/>
        <v>87456.356571499971</v>
      </c>
      <c r="AC112" s="62">
        <f>'27-28'!AC112*1.015</f>
        <v>341079.79062884988</v>
      </c>
      <c r="AD112" s="11"/>
      <c r="AE112" s="5"/>
      <c r="AF112" s="5"/>
      <c r="AG112" s="5"/>
      <c r="AH112" s="5"/>
      <c r="AI112" s="5"/>
      <c r="AJ112" s="5">
        <f t="shared" si="274"/>
        <v>341079.79062884988</v>
      </c>
      <c r="AL112" s="62">
        <f>'27-28'!AL112*1.015</f>
        <v>251874.30692591987</v>
      </c>
      <c r="AM112" s="11"/>
      <c r="AN112" s="5"/>
      <c r="AO112" s="5"/>
      <c r="AP112" s="5"/>
      <c r="AQ112" s="5"/>
      <c r="AR112" s="5"/>
      <c r="AS112" s="5">
        <f t="shared" si="275"/>
        <v>251874.30692591987</v>
      </c>
      <c r="AU112" s="62">
        <f>'27-28'!AU112*1.015</f>
        <v>0</v>
      </c>
      <c r="AV112" s="11"/>
      <c r="AW112" s="5"/>
      <c r="AX112" s="5"/>
      <c r="AY112" s="5"/>
      <c r="AZ112" s="5"/>
      <c r="BA112" s="5"/>
      <c r="BB112" s="5">
        <f t="shared" si="276"/>
        <v>0</v>
      </c>
      <c r="BD112" s="62">
        <f>'27-28'!BD112*1.015</f>
        <v>0</v>
      </c>
      <c r="BE112" s="11"/>
      <c r="BF112" s="5"/>
      <c r="BG112" s="5"/>
      <c r="BH112" s="5"/>
      <c r="BI112" s="5"/>
      <c r="BJ112" s="5"/>
      <c r="BK112" s="5">
        <f t="shared" si="277"/>
        <v>0</v>
      </c>
      <c r="BM112" s="62">
        <f>'27-28'!BM112*1.015</f>
        <v>0</v>
      </c>
      <c r="BN112" s="11"/>
      <c r="BO112" s="5"/>
      <c r="BP112" s="5"/>
      <c r="BQ112" s="5"/>
      <c r="BR112" s="5"/>
      <c r="BS112" s="5"/>
      <c r="BT112" s="5">
        <f t="shared" si="278"/>
        <v>0</v>
      </c>
      <c r="BV112" s="5">
        <f t="shared" si="279"/>
        <v>767866.81069776963</v>
      </c>
      <c r="BW112" s="5">
        <f t="shared" si="279"/>
        <v>0</v>
      </c>
      <c r="BX112" s="5">
        <f t="shared" si="279"/>
        <v>0</v>
      </c>
      <c r="BY112" s="5">
        <f t="shared" si="279"/>
        <v>0</v>
      </c>
      <c r="BZ112" s="5">
        <f t="shared" si="279"/>
        <v>0</v>
      </c>
      <c r="CA112" s="5">
        <f t="shared" si="279"/>
        <v>0</v>
      </c>
      <c r="CB112" s="5"/>
      <c r="CC112" s="5">
        <f t="shared" si="280"/>
        <v>767866.81069776963</v>
      </c>
    </row>
    <row r="113" spans="1:81">
      <c r="A113" s="29" t="s">
        <v>102</v>
      </c>
      <c r="B113" s="62">
        <f>'27-28'!B113*1.015</f>
        <v>0</v>
      </c>
      <c r="C113" s="11"/>
      <c r="D113" s="5"/>
      <c r="E113" s="5"/>
      <c r="F113" s="5"/>
      <c r="G113" s="5"/>
      <c r="H113" s="5"/>
      <c r="I113" s="5">
        <f t="shared" si="271"/>
        <v>0</v>
      </c>
      <c r="K113" s="62">
        <f>'27-28'!K113*1.015</f>
        <v>0</v>
      </c>
      <c r="L113" s="11"/>
      <c r="M113" s="5"/>
      <c r="N113" s="5"/>
      <c r="O113" s="5"/>
      <c r="P113" s="5"/>
      <c r="Q113" s="5"/>
      <c r="R113" s="5">
        <f t="shared" si="272"/>
        <v>0</v>
      </c>
      <c r="T113" s="62">
        <f>'27-28'!T113*1.015</f>
        <v>0</v>
      </c>
      <c r="U113" s="5"/>
      <c r="V113" s="5"/>
      <c r="W113" s="5"/>
      <c r="X113" s="5"/>
      <c r="Y113" s="5"/>
      <c r="Z113" s="5"/>
      <c r="AA113" s="5">
        <f t="shared" si="273"/>
        <v>0</v>
      </c>
      <c r="AC113" s="62">
        <f>'27-28'!AC113*1.015</f>
        <v>72151.494171487473</v>
      </c>
      <c r="AD113" s="11"/>
      <c r="AE113" s="5"/>
      <c r="AF113" s="5"/>
      <c r="AG113" s="5"/>
      <c r="AH113" s="5"/>
      <c r="AI113" s="5"/>
      <c r="AJ113" s="5">
        <f t="shared" si="274"/>
        <v>72151.494171487473</v>
      </c>
      <c r="AL113" s="62">
        <f>'27-28'!AL113*1.015</f>
        <v>0</v>
      </c>
      <c r="AM113" s="11"/>
      <c r="AN113" s="5"/>
      <c r="AO113" s="5"/>
      <c r="AP113" s="5"/>
      <c r="AQ113" s="5"/>
      <c r="AR113" s="5"/>
      <c r="AS113" s="5">
        <f t="shared" si="275"/>
        <v>0</v>
      </c>
      <c r="AU113" s="62">
        <f>'27-28'!AU113*1.015</f>
        <v>0</v>
      </c>
      <c r="AV113" s="11"/>
      <c r="AW113" s="5"/>
      <c r="AX113" s="5"/>
      <c r="AY113" s="5"/>
      <c r="AZ113" s="5"/>
      <c r="BA113" s="5"/>
      <c r="BB113" s="5">
        <f t="shared" si="276"/>
        <v>0</v>
      </c>
      <c r="BD113" s="62">
        <f>'27-28'!BD113*1.015</f>
        <v>0</v>
      </c>
      <c r="BE113" s="11"/>
      <c r="BF113" s="5"/>
      <c r="BG113" s="5"/>
      <c r="BH113" s="5"/>
      <c r="BI113" s="5"/>
      <c r="BJ113" s="5"/>
      <c r="BK113" s="5">
        <f t="shared" si="277"/>
        <v>0</v>
      </c>
      <c r="BM113" s="62">
        <f>'27-28'!BM113*1.015</f>
        <v>0</v>
      </c>
      <c r="BN113" s="11"/>
      <c r="BO113" s="5"/>
      <c r="BP113" s="5"/>
      <c r="BQ113" s="5"/>
      <c r="BR113" s="5"/>
      <c r="BS113" s="5"/>
      <c r="BT113" s="5">
        <f t="shared" si="278"/>
        <v>0</v>
      </c>
      <c r="BV113" s="5">
        <f t="shared" si="279"/>
        <v>72151.494171487473</v>
      </c>
      <c r="BW113" s="5">
        <f t="shared" si="279"/>
        <v>0</v>
      </c>
      <c r="BX113" s="5">
        <f t="shared" si="279"/>
        <v>0</v>
      </c>
      <c r="BY113" s="5">
        <f t="shared" si="279"/>
        <v>0</v>
      </c>
      <c r="BZ113" s="5">
        <f t="shared" si="279"/>
        <v>0</v>
      </c>
      <c r="CA113" s="5">
        <f t="shared" si="279"/>
        <v>0</v>
      </c>
      <c r="CB113" s="5"/>
      <c r="CC113" s="5">
        <f t="shared" si="280"/>
        <v>72151.494171487473</v>
      </c>
    </row>
    <row r="114" spans="1:81">
      <c r="A114" s="29" t="s">
        <v>103</v>
      </c>
      <c r="B114" s="11">
        <f>64000*(B36-B35)</f>
        <v>2688000</v>
      </c>
      <c r="C114" s="11"/>
      <c r="D114" s="5"/>
      <c r="E114" s="5"/>
      <c r="F114" s="5"/>
      <c r="G114" s="5"/>
      <c r="H114" s="5"/>
      <c r="I114" s="5">
        <f t="shared" si="271"/>
        <v>2688000</v>
      </c>
      <c r="J114" s="14">
        <f>60050*1.015</f>
        <v>60950.749999999993</v>
      </c>
      <c r="K114" s="11">
        <f>64000*(K36-K35)</f>
        <v>2752000</v>
      </c>
      <c r="L114" s="11"/>
      <c r="M114" s="5"/>
      <c r="N114" s="5"/>
      <c r="O114" s="5"/>
      <c r="P114" s="5"/>
      <c r="Q114" s="5"/>
      <c r="R114" s="5">
        <f t="shared" si="272"/>
        <v>2752000</v>
      </c>
      <c r="T114" s="5">
        <f>64000*(T36-T35)</f>
        <v>3456000</v>
      </c>
      <c r="U114" s="5"/>
      <c r="V114" s="5"/>
      <c r="W114" s="5"/>
      <c r="X114" s="5"/>
      <c r="Y114" s="5"/>
      <c r="Z114" s="5"/>
      <c r="AA114" s="5">
        <f t="shared" si="273"/>
        <v>3456000</v>
      </c>
      <c r="AC114" s="11">
        <f>67500*(AC36-AC35)</f>
        <v>6817500</v>
      </c>
      <c r="AD114" s="11"/>
      <c r="AE114" s="5"/>
      <c r="AF114" s="5"/>
      <c r="AG114" s="5"/>
      <c r="AH114" s="5"/>
      <c r="AI114" s="5"/>
      <c r="AJ114" s="5">
        <f t="shared" si="274"/>
        <v>6817500</v>
      </c>
      <c r="AK114" s="7">
        <f>63500*1.015</f>
        <v>64452.499999999993</v>
      </c>
      <c r="AL114" s="11">
        <f>66000*(AL36-AL35)</f>
        <v>6336000</v>
      </c>
      <c r="AM114" s="11"/>
      <c r="AN114" s="5"/>
      <c r="AO114" s="5"/>
      <c r="AP114" s="5"/>
      <c r="AQ114" s="5"/>
      <c r="AR114" s="5"/>
      <c r="AS114" s="5">
        <f t="shared" si="275"/>
        <v>6336000</v>
      </c>
      <c r="AU114" s="11">
        <f>60000*(AU36-AU35)</f>
        <v>0</v>
      </c>
      <c r="AV114" s="11"/>
      <c r="AW114" s="5"/>
      <c r="AX114" s="5"/>
      <c r="AY114" s="5"/>
      <c r="AZ114" s="5"/>
      <c r="BA114" s="5"/>
      <c r="BB114" s="5">
        <f t="shared" si="276"/>
        <v>0</v>
      </c>
      <c r="BD114" s="11">
        <f>66000*(BD36-BD35)</f>
        <v>1716000</v>
      </c>
      <c r="BE114" s="11"/>
      <c r="BF114" s="5"/>
      <c r="BG114" s="5"/>
      <c r="BH114" s="5"/>
      <c r="BI114" s="5"/>
      <c r="BJ114" s="5"/>
      <c r="BK114" s="5">
        <f t="shared" si="277"/>
        <v>1716000</v>
      </c>
      <c r="BM114" s="62">
        <f>'27-28'!BM114*1.015</f>
        <v>85439.765825312454</v>
      </c>
      <c r="BN114" s="11"/>
      <c r="BO114" s="5"/>
      <c r="BP114" s="5"/>
      <c r="BQ114" s="5"/>
      <c r="BR114" s="5"/>
      <c r="BS114" s="5"/>
      <c r="BT114" s="5">
        <f t="shared" si="278"/>
        <v>85439.765825312454</v>
      </c>
      <c r="BV114" s="5">
        <f t="shared" si="279"/>
        <v>23850939.765825313</v>
      </c>
      <c r="BW114" s="5">
        <f t="shared" si="279"/>
        <v>0</v>
      </c>
      <c r="BX114" s="5">
        <f t="shared" si="279"/>
        <v>0</v>
      </c>
      <c r="BY114" s="5">
        <f t="shared" si="279"/>
        <v>0</v>
      </c>
      <c r="BZ114" s="5">
        <f t="shared" si="279"/>
        <v>0</v>
      </c>
      <c r="CA114" s="5">
        <f t="shared" si="279"/>
        <v>0</v>
      </c>
      <c r="CB114" s="5"/>
      <c r="CC114" s="5">
        <f t="shared" si="280"/>
        <v>23850939.765825313</v>
      </c>
    </row>
    <row r="115" spans="1:81">
      <c r="A115" s="29" t="s">
        <v>30</v>
      </c>
      <c r="B115" s="11"/>
      <c r="C115" s="11">
        <f>64000*C36</f>
        <v>320000</v>
      </c>
      <c r="D115" s="5"/>
      <c r="E115" s="5"/>
      <c r="F115" s="5"/>
      <c r="G115" s="5"/>
      <c r="H115" s="5"/>
      <c r="I115" s="5">
        <f t="shared" si="271"/>
        <v>320000</v>
      </c>
      <c r="K115" s="11"/>
      <c r="L115" s="11">
        <f>64000*L36</f>
        <v>256000</v>
      </c>
      <c r="M115" s="5"/>
      <c r="N115" s="5"/>
      <c r="O115" s="5"/>
      <c r="P115" s="5"/>
      <c r="Q115" s="5"/>
      <c r="R115" s="5">
        <f t="shared" si="272"/>
        <v>256000</v>
      </c>
      <c r="T115" s="5"/>
      <c r="U115" s="5">
        <f>64000*U36</f>
        <v>320000</v>
      </c>
      <c r="V115" s="5"/>
      <c r="W115" s="5"/>
      <c r="X115" s="5"/>
      <c r="Y115" s="5"/>
      <c r="Z115" s="5"/>
      <c r="AA115" s="5">
        <f t="shared" si="273"/>
        <v>320000</v>
      </c>
      <c r="AC115" s="11"/>
      <c r="AD115" s="11">
        <f>67500*AD36</f>
        <v>877500</v>
      </c>
      <c r="AE115" s="5"/>
      <c r="AF115" s="5"/>
      <c r="AG115" s="5"/>
      <c r="AH115" s="5"/>
      <c r="AI115" s="5"/>
      <c r="AJ115" s="5">
        <f t="shared" si="274"/>
        <v>877500</v>
      </c>
      <c r="AL115" s="11"/>
      <c r="AM115" s="11">
        <f>66000*AM36</f>
        <v>792000</v>
      </c>
      <c r="AN115" s="5"/>
      <c r="AO115" s="5"/>
      <c r="AP115" s="5"/>
      <c r="AQ115" s="5"/>
      <c r="AR115" s="5"/>
      <c r="AS115" s="5">
        <f t="shared" si="275"/>
        <v>792000</v>
      </c>
      <c r="AU115" s="11"/>
      <c r="AV115" s="62">
        <f>'27-28'!AV115*1.015</f>
        <v>85734.559551498576</v>
      </c>
      <c r="AW115" s="5"/>
      <c r="AX115" s="5"/>
      <c r="AY115" s="5"/>
      <c r="AZ115" s="5"/>
      <c r="BA115" s="5"/>
      <c r="BB115" s="5">
        <f t="shared" si="276"/>
        <v>85734.559551498576</v>
      </c>
      <c r="BD115" s="11"/>
      <c r="BE115" s="11">
        <f>66000*BE36</f>
        <v>132000</v>
      </c>
      <c r="BF115" s="5"/>
      <c r="BG115" s="5"/>
      <c r="BH115" s="5"/>
      <c r="BI115" s="5"/>
      <c r="BJ115" s="5"/>
      <c r="BK115" s="5">
        <f t="shared" si="277"/>
        <v>132000</v>
      </c>
      <c r="BM115" s="11"/>
      <c r="BN115" s="11">
        <f>60000*BN36</f>
        <v>0</v>
      </c>
      <c r="BO115" s="5"/>
      <c r="BP115" s="5"/>
      <c r="BQ115" s="5"/>
      <c r="BR115" s="5"/>
      <c r="BS115" s="5"/>
      <c r="BT115" s="5">
        <f t="shared" si="278"/>
        <v>0</v>
      </c>
      <c r="BV115" s="5">
        <f t="shared" si="279"/>
        <v>0</v>
      </c>
      <c r="BW115" s="5">
        <f t="shared" si="279"/>
        <v>2783234.5595514984</v>
      </c>
      <c r="BX115" s="5">
        <f t="shared" si="279"/>
        <v>0</v>
      </c>
      <c r="BY115" s="5">
        <f t="shared" si="279"/>
        <v>0</v>
      </c>
      <c r="BZ115" s="5">
        <f t="shared" si="279"/>
        <v>0</v>
      </c>
      <c r="CA115" s="5">
        <f t="shared" si="279"/>
        <v>0</v>
      </c>
      <c r="CB115" s="5"/>
      <c r="CC115" s="5">
        <f t="shared" si="280"/>
        <v>2783234.5595514984</v>
      </c>
    </row>
    <row r="116" spans="1:81">
      <c r="A116" s="29" t="s">
        <v>104</v>
      </c>
      <c r="B116" s="62">
        <f>'27-28'!B116*1.015</f>
        <v>155880.34195319243</v>
      </c>
      <c r="C116" s="11"/>
      <c r="D116" s="5"/>
      <c r="E116" s="5"/>
      <c r="F116" s="5"/>
      <c r="G116" s="5"/>
      <c r="H116" s="5"/>
      <c r="I116" s="5">
        <f t="shared" si="271"/>
        <v>155880.34195319243</v>
      </c>
      <c r="K116" s="62">
        <f>'27-28'!K116*1.015</f>
        <v>136431.91625153995</v>
      </c>
      <c r="L116" s="11"/>
      <c r="M116" s="5"/>
      <c r="N116" s="5"/>
      <c r="O116" s="5"/>
      <c r="P116" s="5"/>
      <c r="Q116" s="5"/>
      <c r="R116" s="5">
        <f t="shared" si="272"/>
        <v>136431.91625153995</v>
      </c>
      <c r="T116" s="62">
        <f>'27-28'!T116*1.015</f>
        <v>121883.55133587093</v>
      </c>
      <c r="U116" s="5"/>
      <c r="V116" s="5"/>
      <c r="W116" s="5"/>
      <c r="X116" s="5"/>
      <c r="Y116" s="5"/>
      <c r="Z116" s="5"/>
      <c r="AA116" s="5">
        <f t="shared" si="273"/>
        <v>121883.55133587093</v>
      </c>
      <c r="AC116" s="62">
        <f>'27-28'!AC116*1.015</f>
        <v>262369.06971449987</v>
      </c>
      <c r="AD116" s="11"/>
      <c r="AE116" s="5"/>
      <c r="AF116" s="5"/>
      <c r="AG116" s="5"/>
      <c r="AH116" s="5"/>
      <c r="AI116" s="5"/>
      <c r="AJ116" s="5">
        <f t="shared" si="274"/>
        <v>262369.06971449987</v>
      </c>
      <c r="AL116" s="62">
        <f>'27-28'!AL116*1.015</f>
        <v>229449.8178283149</v>
      </c>
      <c r="AM116" s="11"/>
      <c r="AN116" s="5"/>
      <c r="AO116" s="5"/>
      <c r="AP116" s="5"/>
      <c r="AQ116" s="5"/>
      <c r="AR116" s="5"/>
      <c r="AS116" s="5">
        <f t="shared" si="275"/>
        <v>229449.8178283149</v>
      </c>
      <c r="AU116" s="11">
        <v>0</v>
      </c>
      <c r="AV116" s="11"/>
      <c r="AW116" s="5"/>
      <c r="AX116" s="5"/>
      <c r="AY116" s="5"/>
      <c r="AZ116" s="5"/>
      <c r="BA116" s="5"/>
      <c r="BB116" s="5">
        <f t="shared" si="276"/>
        <v>0</v>
      </c>
      <c r="BD116" s="62">
        <f>'27-28'!BD116*1.015</f>
        <v>54660.222857187473</v>
      </c>
      <c r="BE116" s="11"/>
      <c r="BF116" s="5"/>
      <c r="BG116" s="5"/>
      <c r="BH116" s="5"/>
      <c r="BI116" s="5"/>
      <c r="BJ116" s="5"/>
      <c r="BK116" s="5">
        <f t="shared" si="277"/>
        <v>54660.222857187473</v>
      </c>
      <c r="BM116" s="62">
        <f>'27-28'!BM116*1.015</f>
        <v>98388.401142937451</v>
      </c>
      <c r="BN116" s="11"/>
      <c r="BO116" s="5"/>
      <c r="BP116" s="5"/>
      <c r="BQ116" s="5"/>
      <c r="BR116" s="5"/>
      <c r="BS116" s="5"/>
      <c r="BT116" s="5">
        <f t="shared" si="278"/>
        <v>98388.401142937451</v>
      </c>
      <c r="BV116" s="5">
        <f t="shared" si="279"/>
        <v>1059063.3210835429</v>
      </c>
      <c r="BW116" s="5">
        <f t="shared" si="279"/>
        <v>0</v>
      </c>
      <c r="BX116" s="5">
        <f t="shared" si="279"/>
        <v>0</v>
      </c>
      <c r="BY116" s="5">
        <f t="shared" si="279"/>
        <v>0</v>
      </c>
      <c r="BZ116" s="5">
        <f t="shared" si="279"/>
        <v>0</v>
      </c>
      <c r="CA116" s="5">
        <f t="shared" si="279"/>
        <v>0</v>
      </c>
      <c r="CB116" s="5"/>
      <c r="CC116" s="5">
        <f t="shared" si="280"/>
        <v>1059063.3210835429</v>
      </c>
    </row>
    <row r="117" spans="1:81">
      <c r="A117" s="29" t="s">
        <v>105</v>
      </c>
      <c r="B117" s="11">
        <f>(21*8*190)*(B48+B49)</f>
        <v>95760</v>
      </c>
      <c r="C117" s="11"/>
      <c r="D117" s="5"/>
      <c r="E117" s="5"/>
      <c r="F117" s="5"/>
      <c r="G117" s="5"/>
      <c r="H117" s="5"/>
      <c r="I117" s="5">
        <f t="shared" si="271"/>
        <v>95760</v>
      </c>
      <c r="K117" s="11">
        <f>(21*8*190)*(K48+K49)</f>
        <v>95760</v>
      </c>
      <c r="L117" s="11"/>
      <c r="M117" s="5"/>
      <c r="N117" s="5"/>
      <c r="O117" s="5"/>
      <c r="P117" s="5"/>
      <c r="Q117" s="5"/>
      <c r="R117" s="5">
        <f t="shared" si="272"/>
        <v>95760</v>
      </c>
      <c r="T117" s="11">
        <f>(21*8*185)*(T48+T49)</f>
        <v>93240</v>
      </c>
      <c r="U117" s="5"/>
      <c r="V117" s="5"/>
      <c r="W117" s="5"/>
      <c r="X117" s="5"/>
      <c r="Y117" s="5"/>
      <c r="Z117" s="5"/>
      <c r="AA117" s="5">
        <f t="shared" si="273"/>
        <v>93240</v>
      </c>
      <c r="AC117" s="11">
        <f>(22*8*190)*(AC48+AC49)</f>
        <v>267520</v>
      </c>
      <c r="AD117" s="11"/>
      <c r="AE117" s="5"/>
      <c r="AF117" s="5"/>
      <c r="AG117" s="5"/>
      <c r="AH117" s="5"/>
      <c r="AI117" s="5"/>
      <c r="AJ117" s="5">
        <f t="shared" si="274"/>
        <v>267520</v>
      </c>
      <c r="AL117" s="11">
        <f>(21*8*190)*(AL48+AL49)</f>
        <v>191520</v>
      </c>
      <c r="AM117" s="11"/>
      <c r="AN117" s="5"/>
      <c r="AO117" s="5"/>
      <c r="AP117" s="5"/>
      <c r="AQ117" s="5"/>
      <c r="AR117" s="5"/>
      <c r="AS117" s="5">
        <f t="shared" si="275"/>
        <v>191520</v>
      </c>
      <c r="AU117" s="11">
        <f>(23*8*190)*(AU48+AU49)</f>
        <v>0</v>
      </c>
      <c r="AV117" s="11"/>
      <c r="AW117" s="5"/>
      <c r="AX117" s="5"/>
      <c r="AY117" s="5"/>
      <c r="AZ117" s="5"/>
      <c r="BA117" s="5"/>
      <c r="BB117" s="5">
        <f t="shared" si="276"/>
        <v>0</v>
      </c>
      <c r="BD117" s="11">
        <f>(22*8*190)*(BD48+BD49)</f>
        <v>33440</v>
      </c>
      <c r="BE117" s="11"/>
      <c r="BF117" s="5"/>
      <c r="BG117" s="5"/>
      <c r="BH117" s="5"/>
      <c r="BI117" s="5"/>
      <c r="BJ117" s="5"/>
      <c r="BK117" s="5">
        <f t="shared" si="277"/>
        <v>33440</v>
      </c>
      <c r="BM117" s="11">
        <f>(23*8*190)*(BM48+BM49)</f>
        <v>0</v>
      </c>
      <c r="BN117" s="11"/>
      <c r="BO117" s="5"/>
      <c r="BP117" s="5"/>
      <c r="BQ117" s="5"/>
      <c r="BR117" s="5"/>
      <c r="BS117" s="5"/>
      <c r="BT117" s="5">
        <f t="shared" si="278"/>
        <v>0</v>
      </c>
      <c r="BV117" s="5">
        <f t="shared" si="279"/>
        <v>777240</v>
      </c>
      <c r="BW117" s="5">
        <f t="shared" si="279"/>
        <v>0</v>
      </c>
      <c r="BX117" s="5">
        <f t="shared" si="279"/>
        <v>0</v>
      </c>
      <c r="BY117" s="5">
        <f t="shared" si="279"/>
        <v>0</v>
      </c>
      <c r="BZ117" s="5">
        <f t="shared" si="279"/>
        <v>0</v>
      </c>
      <c r="CA117" s="5">
        <f t="shared" si="279"/>
        <v>0</v>
      </c>
      <c r="CB117" s="5"/>
      <c r="CC117" s="5">
        <f t="shared" si="280"/>
        <v>777240</v>
      </c>
    </row>
    <row r="118" spans="1:81">
      <c r="A118" s="29" t="s">
        <v>106</v>
      </c>
      <c r="B118" s="11">
        <f>(21*7.55*180)*B50</f>
        <v>114155.99999999999</v>
      </c>
      <c r="C118" s="11">
        <f>(21*8*180)*C50</f>
        <v>120960</v>
      </c>
      <c r="D118" s="11">
        <f>(21*8*180)*D50</f>
        <v>30240</v>
      </c>
      <c r="E118" s="11">
        <f t="shared" ref="E118" si="281">(19*8*180)*E50</f>
        <v>0</v>
      </c>
      <c r="F118" s="5"/>
      <c r="G118" s="5"/>
      <c r="H118" s="5"/>
      <c r="I118" s="5">
        <f t="shared" si="271"/>
        <v>265356</v>
      </c>
      <c r="K118" s="11">
        <f>(21*7.5*180)*K50</f>
        <v>198450</v>
      </c>
      <c r="L118" s="11">
        <f>(21*7.5*180)*L50</f>
        <v>113400</v>
      </c>
      <c r="M118" s="11">
        <f>(21*7.5*180)*M50</f>
        <v>28350</v>
      </c>
      <c r="N118" s="11">
        <f t="shared" ref="N118" si="282">(19*8*180)*N50</f>
        <v>0</v>
      </c>
      <c r="O118" s="5">
        <f>(14*8*180)*O50</f>
        <v>0</v>
      </c>
      <c r="P118" s="5"/>
      <c r="Q118" s="5"/>
      <c r="R118" s="5">
        <f t="shared" si="272"/>
        <v>340200</v>
      </c>
      <c r="T118" s="5">
        <f>(21*8*180)*T50</f>
        <v>151200</v>
      </c>
      <c r="U118" s="5">
        <f>(21*8*180)*U50</f>
        <v>151200</v>
      </c>
      <c r="V118" s="5">
        <f>(21*8*180)*V50</f>
        <v>30240</v>
      </c>
      <c r="W118" s="5">
        <f t="shared" ref="W118:Z118" si="283">(19*8*180)*W50</f>
        <v>0</v>
      </c>
      <c r="X118" s="5">
        <f t="shared" si="283"/>
        <v>0</v>
      </c>
      <c r="Y118" s="5">
        <f t="shared" si="283"/>
        <v>0</v>
      </c>
      <c r="Z118" s="5">
        <f t="shared" si="283"/>
        <v>0</v>
      </c>
      <c r="AA118" s="5">
        <f t="shared" si="273"/>
        <v>332640</v>
      </c>
      <c r="AC118" s="11">
        <f>(22*7.92*180)*AC50</f>
        <v>344995.2</v>
      </c>
      <c r="AD118" s="11">
        <f>(22*8*180)*AD50</f>
        <v>411840</v>
      </c>
      <c r="AE118" s="11">
        <f>(22*6*180)*AE50</f>
        <v>71280</v>
      </c>
      <c r="AF118" s="11">
        <f t="shared" ref="AF118" si="284">(19*8*180)*AF50</f>
        <v>0</v>
      </c>
      <c r="AG118" s="5">
        <f>(14*8*180)*AG50</f>
        <v>0</v>
      </c>
      <c r="AH118" s="5"/>
      <c r="AI118" s="5"/>
      <c r="AJ118" s="5">
        <f t="shared" si="274"/>
        <v>828115.2</v>
      </c>
      <c r="AL118" s="11">
        <f>(21*8*180)*AL50</f>
        <v>151200</v>
      </c>
      <c r="AM118" s="11">
        <f>(21*8*180)*AM50</f>
        <v>362880</v>
      </c>
      <c r="AN118" s="11">
        <f>(21*6*180)*AN50</f>
        <v>68040</v>
      </c>
      <c r="AO118" s="11">
        <f t="shared" ref="AO118" si="285">(20*8*180)*AO50</f>
        <v>0</v>
      </c>
      <c r="AP118" s="5">
        <f>(14*8*180)*AP50</f>
        <v>0</v>
      </c>
      <c r="AQ118" s="5"/>
      <c r="AR118" s="5"/>
      <c r="AS118" s="5">
        <f t="shared" si="275"/>
        <v>582120</v>
      </c>
      <c r="AU118" s="11">
        <f>(22*7.5*180)*AU50</f>
        <v>59400</v>
      </c>
      <c r="AV118" s="11">
        <f>(22*7.5*180)*AV50</f>
        <v>29700</v>
      </c>
      <c r="AW118" s="11">
        <f t="shared" ref="AW118:AY118" si="286">(19*8*180)*AW50</f>
        <v>0</v>
      </c>
      <c r="AX118" s="11">
        <f t="shared" si="286"/>
        <v>0</v>
      </c>
      <c r="AY118" s="11">
        <f t="shared" si="286"/>
        <v>0</v>
      </c>
      <c r="AZ118" s="5"/>
      <c r="BA118" s="5"/>
      <c r="BB118" s="5">
        <f t="shared" si="276"/>
        <v>89100</v>
      </c>
      <c r="BD118" s="11">
        <f>(22*8*180)*BD50</f>
        <v>95040</v>
      </c>
      <c r="BE118" s="11">
        <f t="shared" ref="BE118:BJ118" si="287">(20*8*180)*BE50</f>
        <v>57600</v>
      </c>
      <c r="BF118" s="11">
        <f t="shared" si="287"/>
        <v>0</v>
      </c>
      <c r="BG118" s="11">
        <f t="shared" si="287"/>
        <v>0</v>
      </c>
      <c r="BH118" s="11">
        <f>(20*8*180)*BH50</f>
        <v>0</v>
      </c>
      <c r="BI118" s="11">
        <f t="shared" si="287"/>
        <v>0</v>
      </c>
      <c r="BJ118" s="11">
        <f t="shared" si="287"/>
        <v>0</v>
      </c>
      <c r="BK118" s="5">
        <f t="shared" si="277"/>
        <v>152640</v>
      </c>
      <c r="BM118" s="11">
        <f>27.25*3*185</f>
        <v>15123.75</v>
      </c>
      <c r="BN118" s="11">
        <f t="shared" ref="BN118:BO118" si="288">(18*8*180)*BN50</f>
        <v>0</v>
      </c>
      <c r="BO118" s="11">
        <f t="shared" si="288"/>
        <v>0</v>
      </c>
      <c r="BP118" s="5"/>
      <c r="BQ118" s="5">
        <f>(14*8*180)*BQ50</f>
        <v>0</v>
      </c>
      <c r="BR118" s="5"/>
      <c r="BS118" s="5"/>
      <c r="BT118" s="5">
        <f t="shared" si="278"/>
        <v>15123.75</v>
      </c>
      <c r="BV118" s="5">
        <f t="shared" si="279"/>
        <v>1129564.95</v>
      </c>
      <c r="BW118" s="5">
        <f t="shared" si="279"/>
        <v>1247580</v>
      </c>
      <c r="BX118" s="5">
        <f t="shared" si="279"/>
        <v>228150</v>
      </c>
      <c r="BY118" s="5">
        <f t="shared" si="279"/>
        <v>0</v>
      </c>
      <c r="BZ118" s="5">
        <f t="shared" si="279"/>
        <v>0</v>
      </c>
      <c r="CA118" s="5">
        <f t="shared" si="279"/>
        <v>0</v>
      </c>
      <c r="CB118" s="5"/>
      <c r="CC118" s="5">
        <f t="shared" si="280"/>
        <v>2605294.9500000002</v>
      </c>
    </row>
    <row r="119" spans="1:81">
      <c r="A119" s="29" t="s">
        <v>107</v>
      </c>
      <c r="B119" s="11">
        <f>(27*8*240)+(22*8*240)</f>
        <v>94080</v>
      </c>
      <c r="C119" s="11"/>
      <c r="D119" s="5"/>
      <c r="E119" s="5"/>
      <c r="F119" s="5"/>
      <c r="G119" s="5"/>
      <c r="H119" s="5"/>
      <c r="I119" s="5">
        <f t="shared" si="271"/>
        <v>94080</v>
      </c>
      <c r="K119" s="11">
        <f>(23*8*240)*(K51)</f>
        <v>132480</v>
      </c>
      <c r="L119" s="11"/>
      <c r="M119" s="5"/>
      <c r="N119" s="5"/>
      <c r="O119" s="5"/>
      <c r="P119" s="5"/>
      <c r="Q119" s="5"/>
      <c r="R119" s="5">
        <f t="shared" si="272"/>
        <v>132480</v>
      </c>
      <c r="T119" s="11">
        <f>(24*8*240)*T51</f>
        <v>138240</v>
      </c>
      <c r="U119" s="5"/>
      <c r="V119" s="5"/>
      <c r="W119" s="5"/>
      <c r="X119" s="5"/>
      <c r="Y119" s="5"/>
      <c r="Z119" s="5"/>
      <c r="AA119" s="5">
        <f t="shared" si="273"/>
        <v>138240</v>
      </c>
      <c r="AC119" s="11">
        <f>((23*8*240)*AC51-1)+(60000*1.03*1.015*1.015*1.015*1.015)</f>
        <v>374711.26742862497</v>
      </c>
      <c r="AD119" s="11"/>
      <c r="AE119" s="5"/>
      <c r="AF119" s="5"/>
      <c r="AG119" s="5"/>
      <c r="AH119" s="5"/>
      <c r="AI119" s="5"/>
      <c r="AJ119" s="5">
        <f t="shared" si="274"/>
        <v>374711.26742862497</v>
      </c>
      <c r="AL119" s="11">
        <f>(22*8*240)*AL51</f>
        <v>337920</v>
      </c>
      <c r="AM119" s="11"/>
      <c r="AN119" s="5"/>
      <c r="AO119" s="5"/>
      <c r="AP119" s="5"/>
      <c r="AQ119" s="5"/>
      <c r="AR119" s="5"/>
      <c r="AS119" s="5">
        <f t="shared" si="275"/>
        <v>337920</v>
      </c>
      <c r="AU119" s="11">
        <f>(21*8*240)*AU51</f>
        <v>0</v>
      </c>
      <c r="AV119" s="11"/>
      <c r="AW119" s="5"/>
      <c r="AX119" s="5"/>
      <c r="AY119" s="5"/>
      <c r="AZ119" s="5"/>
      <c r="BA119" s="5"/>
      <c r="BB119" s="5">
        <f t="shared" si="276"/>
        <v>0</v>
      </c>
      <c r="BD119" s="62">
        <f>'27-28'!BD119*1.015</f>
        <v>60126.245142906228</v>
      </c>
      <c r="BE119" s="11"/>
      <c r="BF119" s="5"/>
      <c r="BG119" s="5"/>
      <c r="BH119" s="5"/>
      <c r="BI119" s="5"/>
      <c r="BJ119" s="5"/>
      <c r="BK119" s="5">
        <f t="shared" si="277"/>
        <v>60126.245142906228</v>
      </c>
      <c r="BM119" s="11">
        <f>(21*8*240)*BM51</f>
        <v>0</v>
      </c>
      <c r="BN119" s="11"/>
      <c r="BO119" s="5"/>
      <c r="BP119" s="5"/>
      <c r="BQ119" s="5"/>
      <c r="BR119" s="5"/>
      <c r="BS119" s="5"/>
      <c r="BT119" s="5">
        <f t="shared" si="278"/>
        <v>0</v>
      </c>
      <c r="BV119" s="5">
        <f t="shared" si="279"/>
        <v>1137557.5125715311</v>
      </c>
      <c r="BW119" s="5">
        <f t="shared" si="279"/>
        <v>0</v>
      </c>
      <c r="BX119" s="5">
        <f t="shared" si="279"/>
        <v>0</v>
      </c>
      <c r="BY119" s="5">
        <f t="shared" si="279"/>
        <v>0</v>
      </c>
      <c r="BZ119" s="5">
        <f t="shared" si="279"/>
        <v>0</v>
      </c>
      <c r="CA119" s="5">
        <f t="shared" si="279"/>
        <v>0</v>
      </c>
      <c r="CB119" s="5"/>
      <c r="CC119" s="5">
        <f t="shared" si="280"/>
        <v>1137557.5125715311</v>
      </c>
    </row>
    <row r="120" spans="1:81">
      <c r="A120" s="29" t="s">
        <v>53</v>
      </c>
      <c r="B120" s="11"/>
      <c r="C120" s="11"/>
      <c r="D120" s="5">
        <f>24.25*8*180</f>
        <v>34920</v>
      </c>
      <c r="E120" s="5"/>
      <c r="F120" s="5"/>
      <c r="G120" s="5"/>
      <c r="H120" s="5"/>
      <c r="I120" s="5">
        <f t="shared" si="271"/>
        <v>34920</v>
      </c>
      <c r="K120" s="11"/>
      <c r="L120" s="11"/>
      <c r="M120" s="62">
        <f>'27-28'!M120*1.015</f>
        <v>43728.178285749986</v>
      </c>
      <c r="N120" s="5"/>
      <c r="O120" s="5"/>
      <c r="P120" s="5"/>
      <c r="Q120" s="5"/>
      <c r="R120" s="5">
        <f t="shared" si="272"/>
        <v>43728.178285749986</v>
      </c>
      <c r="T120" s="5"/>
      <c r="U120" s="5"/>
      <c r="V120" s="5">
        <f>(24*8*180)*V52</f>
        <v>34560</v>
      </c>
      <c r="W120" s="5"/>
      <c r="X120" s="5"/>
      <c r="Y120" s="5"/>
      <c r="Z120" s="5"/>
      <c r="AA120" s="5">
        <f t="shared" si="273"/>
        <v>34560</v>
      </c>
      <c r="AC120" s="11"/>
      <c r="AD120" s="11"/>
      <c r="AE120" s="11">
        <f>(23*8*180)*AE52</f>
        <v>99360</v>
      </c>
      <c r="AF120" s="5"/>
      <c r="AG120" s="5"/>
      <c r="AH120" s="5"/>
      <c r="AI120" s="5"/>
      <c r="AJ120" s="5">
        <f t="shared" si="274"/>
        <v>99360</v>
      </c>
      <c r="AL120" s="11"/>
      <c r="AM120" s="11"/>
      <c r="AN120" s="11">
        <f>(22*8*180)*AN52</f>
        <v>31680</v>
      </c>
      <c r="AO120" s="5"/>
      <c r="AP120" s="5"/>
      <c r="AQ120" s="5"/>
      <c r="AR120" s="5"/>
      <c r="AS120" s="5">
        <f t="shared" si="275"/>
        <v>31680</v>
      </c>
      <c r="AU120" s="11"/>
      <c r="AV120" s="11"/>
      <c r="AW120" s="5">
        <v>0</v>
      </c>
      <c r="AX120" s="5"/>
      <c r="AY120" s="5"/>
      <c r="AZ120" s="5"/>
      <c r="BA120" s="5"/>
      <c r="BB120" s="5">
        <f t="shared" si="276"/>
        <v>0</v>
      </c>
      <c r="BD120" s="11"/>
      <c r="BE120" s="11"/>
      <c r="BF120" s="5">
        <f>21*8*180*BF52</f>
        <v>30240</v>
      </c>
      <c r="BG120" s="5"/>
      <c r="BH120" s="5"/>
      <c r="BI120" s="5"/>
      <c r="BJ120" s="5"/>
      <c r="BK120" s="5">
        <f t="shared" si="277"/>
        <v>30240</v>
      </c>
      <c r="BM120" s="11"/>
      <c r="BN120" s="11"/>
      <c r="BO120" s="5">
        <f>27.25*4*175</f>
        <v>19075</v>
      </c>
      <c r="BP120" s="5"/>
      <c r="BQ120" s="5"/>
      <c r="BR120" s="5"/>
      <c r="BS120" s="5"/>
      <c r="BT120" s="5">
        <f t="shared" si="278"/>
        <v>19075</v>
      </c>
      <c r="BV120" s="5">
        <f t="shared" si="279"/>
        <v>0</v>
      </c>
      <c r="BW120" s="5">
        <f t="shared" si="279"/>
        <v>0</v>
      </c>
      <c r="BX120" s="5">
        <f t="shared" si="279"/>
        <v>293563.17828574998</v>
      </c>
      <c r="BY120" s="5">
        <f t="shared" si="279"/>
        <v>0</v>
      </c>
      <c r="BZ120" s="5">
        <f t="shared" si="279"/>
        <v>0</v>
      </c>
      <c r="CA120" s="5">
        <f t="shared" si="279"/>
        <v>0</v>
      </c>
      <c r="CB120" s="5"/>
      <c r="CC120" s="5">
        <f t="shared" si="280"/>
        <v>293563.17828574998</v>
      </c>
    </row>
    <row r="121" spans="1:81" ht="15">
      <c r="A121" s="64" t="s">
        <v>108</v>
      </c>
      <c r="B121" s="65">
        <f>SUM(B107:B120)</f>
        <v>3743362.3010307071</v>
      </c>
      <c r="C121" s="65">
        <f t="shared" ref="C121:I121" si="289">SUM(C107:C120)</f>
        <v>440960</v>
      </c>
      <c r="D121" s="65">
        <f t="shared" si="289"/>
        <v>65160</v>
      </c>
      <c r="E121" s="65">
        <f t="shared" si="289"/>
        <v>0</v>
      </c>
      <c r="F121" s="65">
        <f t="shared" si="289"/>
        <v>0</v>
      </c>
      <c r="G121" s="65">
        <f t="shared" si="289"/>
        <v>0</v>
      </c>
      <c r="H121" s="65">
        <f t="shared" si="289"/>
        <v>0</v>
      </c>
      <c r="I121" s="65">
        <f t="shared" si="289"/>
        <v>4249482.3010307066</v>
      </c>
      <c r="J121" s="7"/>
      <c r="K121" s="65">
        <f>SUM(K107:K120)</f>
        <v>4005656.5368554182</v>
      </c>
      <c r="L121" s="65">
        <f t="shared" ref="L121:R121" si="290">SUM(L107:L120)</f>
        <v>369400</v>
      </c>
      <c r="M121" s="65">
        <f t="shared" si="290"/>
        <v>72078.178285749978</v>
      </c>
      <c r="N121" s="65"/>
      <c r="O121" s="65">
        <f t="shared" si="290"/>
        <v>0</v>
      </c>
      <c r="P121" s="65">
        <f t="shared" si="290"/>
        <v>0</v>
      </c>
      <c r="Q121" s="65">
        <f t="shared" si="290"/>
        <v>0</v>
      </c>
      <c r="R121" s="65">
        <f t="shared" si="290"/>
        <v>4447134.7151411679</v>
      </c>
      <c r="T121" s="65">
        <f>SUM(T107:T120)</f>
        <v>4735536.1910050754</v>
      </c>
      <c r="U121" s="65">
        <f t="shared" ref="U121:AA121" si="291">SUM(U107:U120)</f>
        <v>471200</v>
      </c>
      <c r="V121" s="65">
        <f t="shared" si="291"/>
        <v>64800</v>
      </c>
      <c r="W121" s="65"/>
      <c r="X121" s="65">
        <f t="shared" si="291"/>
        <v>0</v>
      </c>
      <c r="Y121" s="65">
        <f t="shared" si="291"/>
        <v>0</v>
      </c>
      <c r="Z121" s="65">
        <f t="shared" si="291"/>
        <v>0</v>
      </c>
      <c r="AA121" s="65">
        <f t="shared" si="291"/>
        <v>5271536.1910050754</v>
      </c>
      <c r="AC121" s="65">
        <f>SUM(AC107:AC120)</f>
        <v>9689192.3106530197</v>
      </c>
      <c r="AD121" s="65">
        <f t="shared" ref="AD121:AJ121" si="292">SUM(AD107:AD120)</f>
        <v>1289340</v>
      </c>
      <c r="AE121" s="65">
        <f t="shared" si="292"/>
        <v>170640</v>
      </c>
      <c r="AF121" s="65">
        <f t="shared" si="292"/>
        <v>0</v>
      </c>
      <c r="AG121" s="65">
        <f t="shared" si="292"/>
        <v>0</v>
      </c>
      <c r="AH121" s="65">
        <f t="shared" si="292"/>
        <v>0</v>
      </c>
      <c r="AI121" s="65">
        <f t="shared" si="292"/>
        <v>0</v>
      </c>
      <c r="AJ121" s="65">
        <f t="shared" si="292"/>
        <v>11149172.31065302</v>
      </c>
      <c r="AL121" s="65">
        <f>SUM(AL107:AL120)</f>
        <v>8600704.6043776497</v>
      </c>
      <c r="AM121" s="65">
        <f t="shared" ref="AM121:AS121" si="293">SUM(AM107:AM120)</f>
        <v>1154880</v>
      </c>
      <c r="AN121" s="65">
        <f t="shared" si="293"/>
        <v>99720</v>
      </c>
      <c r="AO121" s="65"/>
      <c r="AP121" s="65">
        <f t="shared" si="293"/>
        <v>0</v>
      </c>
      <c r="AQ121" s="65">
        <f t="shared" si="293"/>
        <v>0</v>
      </c>
      <c r="AR121" s="65">
        <f t="shared" si="293"/>
        <v>0</v>
      </c>
      <c r="AS121" s="65">
        <f t="shared" si="293"/>
        <v>9855304.6043776479</v>
      </c>
      <c r="AU121" s="65">
        <f>SUM(AU107:AU120)</f>
        <v>152322.37885721872</v>
      </c>
      <c r="AV121" s="65">
        <f t="shared" ref="AV121:BB121" si="294">SUM(AV107:AV120)</f>
        <v>115434.55955149858</v>
      </c>
      <c r="AW121" s="65">
        <f t="shared" si="294"/>
        <v>0</v>
      </c>
      <c r="AX121" s="65">
        <f t="shared" si="294"/>
        <v>0</v>
      </c>
      <c r="AY121" s="65">
        <f t="shared" si="294"/>
        <v>0</v>
      </c>
      <c r="AZ121" s="65">
        <f t="shared" si="294"/>
        <v>0</v>
      </c>
      <c r="BA121" s="65">
        <f t="shared" si="294"/>
        <v>0</v>
      </c>
      <c r="BB121" s="65">
        <f t="shared" si="294"/>
        <v>267756.93840871728</v>
      </c>
      <c r="BD121" s="65">
        <f>SUM(BD107:BD120)</f>
        <v>2161509.2925716876</v>
      </c>
      <c r="BE121" s="65">
        <f t="shared" ref="BE121:BK121" si="295">SUM(BE107:BE120)</f>
        <v>189600</v>
      </c>
      <c r="BF121" s="65">
        <f t="shared" si="295"/>
        <v>30240</v>
      </c>
      <c r="BG121" s="65">
        <f t="shared" si="295"/>
        <v>0</v>
      </c>
      <c r="BH121" s="65">
        <f t="shared" si="295"/>
        <v>0</v>
      </c>
      <c r="BI121" s="65">
        <f t="shared" si="295"/>
        <v>0</v>
      </c>
      <c r="BJ121" s="65">
        <f t="shared" si="295"/>
        <v>0</v>
      </c>
      <c r="BK121" s="65">
        <f t="shared" si="295"/>
        <v>2381349.2925716876</v>
      </c>
      <c r="BM121" s="65">
        <f>SUM(BM107:BM120)</f>
        <v>297340.31811118731</v>
      </c>
      <c r="BN121" s="65">
        <f t="shared" ref="BN121:BT121" si="296">SUM(BN107:BN120)</f>
        <v>0</v>
      </c>
      <c r="BO121" s="65">
        <f t="shared" si="296"/>
        <v>19075</v>
      </c>
      <c r="BP121" s="65">
        <f t="shared" si="296"/>
        <v>0</v>
      </c>
      <c r="BQ121" s="65">
        <f t="shared" si="296"/>
        <v>0</v>
      </c>
      <c r="BR121" s="65">
        <f t="shared" si="296"/>
        <v>0</v>
      </c>
      <c r="BS121" s="65">
        <f t="shared" si="296"/>
        <v>0</v>
      </c>
      <c r="BT121" s="65">
        <f t="shared" si="296"/>
        <v>316415.31811118731</v>
      </c>
      <c r="BV121" s="65">
        <f>SUM(BV107:BV120)</f>
        <v>33385623.93346196</v>
      </c>
      <c r="BW121" s="65">
        <f t="shared" ref="BW121:CC121" si="297">SUM(BW107:BW120)</f>
        <v>4030814.5595514984</v>
      </c>
      <c r="BX121" s="65">
        <f t="shared" si="297"/>
        <v>521713.17828574998</v>
      </c>
      <c r="BY121" s="65">
        <f t="shared" si="297"/>
        <v>0</v>
      </c>
      <c r="BZ121" s="65">
        <f t="shared" si="297"/>
        <v>0</v>
      </c>
      <c r="CA121" s="65">
        <f t="shared" si="297"/>
        <v>0</v>
      </c>
      <c r="CB121" s="65">
        <f t="shared" si="297"/>
        <v>0</v>
      </c>
      <c r="CC121" s="65">
        <f t="shared" si="297"/>
        <v>37938151.671299204</v>
      </c>
    </row>
    <row r="122" spans="1:81" ht="15">
      <c r="A122" s="66" t="s">
        <v>109</v>
      </c>
      <c r="B122" s="49"/>
      <c r="C122" s="49"/>
      <c r="D122" s="49"/>
      <c r="E122" s="49"/>
      <c r="F122" s="49"/>
      <c r="G122" s="49"/>
      <c r="H122" s="49"/>
      <c r="I122" s="50"/>
      <c r="J122" s="7"/>
      <c r="K122" s="49"/>
      <c r="L122" s="49"/>
      <c r="M122" s="49"/>
      <c r="N122" s="49"/>
      <c r="O122" s="49"/>
      <c r="P122" s="49"/>
      <c r="Q122" s="49"/>
      <c r="R122" s="50"/>
      <c r="T122" s="49"/>
      <c r="U122" s="49"/>
      <c r="V122" s="49"/>
      <c r="W122" s="49"/>
      <c r="X122" s="49"/>
      <c r="Y122" s="49"/>
      <c r="Z122" s="49"/>
      <c r="AA122" s="50"/>
      <c r="AC122" s="49"/>
      <c r="AD122" s="49"/>
      <c r="AE122" s="49"/>
      <c r="AF122" s="49"/>
      <c r="AG122" s="49"/>
      <c r="AH122" s="49"/>
      <c r="AI122" s="49"/>
      <c r="AJ122" s="50"/>
      <c r="AL122" s="49"/>
      <c r="AM122" s="49"/>
      <c r="AN122" s="49"/>
      <c r="AO122" s="49"/>
      <c r="AP122" s="49"/>
      <c r="AQ122" s="49"/>
      <c r="AR122" s="49"/>
      <c r="AS122" s="50"/>
      <c r="AU122" s="49"/>
      <c r="AV122" s="49"/>
      <c r="AW122" s="49"/>
      <c r="AX122" s="49"/>
      <c r="AY122" s="49"/>
      <c r="AZ122" s="49"/>
      <c r="BA122" s="49"/>
      <c r="BB122" s="50"/>
      <c r="BD122" s="49"/>
      <c r="BE122" s="49"/>
      <c r="BF122" s="49"/>
      <c r="BG122" s="49"/>
      <c r="BH122" s="49"/>
      <c r="BI122" s="49"/>
      <c r="BJ122" s="49"/>
      <c r="BK122" s="50"/>
      <c r="BM122" s="49"/>
      <c r="BN122" s="49"/>
      <c r="BO122" s="49"/>
      <c r="BP122" s="49"/>
      <c r="BQ122" s="49"/>
      <c r="BR122" s="49"/>
      <c r="BS122" s="49"/>
      <c r="BT122" s="50"/>
      <c r="BV122" s="49"/>
      <c r="BW122" s="49"/>
      <c r="BX122" s="49"/>
      <c r="BY122" s="49"/>
      <c r="BZ122" s="49"/>
      <c r="CA122" s="49"/>
      <c r="CB122" s="49"/>
      <c r="CC122" s="50"/>
    </row>
    <row r="123" spans="1:81">
      <c r="A123" s="29" t="s">
        <v>55</v>
      </c>
      <c r="B123" s="11">
        <v>0</v>
      </c>
      <c r="C123" s="62">
        <f>'27-28'!C123*1.015</f>
        <v>81990.334285781209</v>
      </c>
      <c r="D123" s="11"/>
      <c r="E123" s="11"/>
      <c r="F123" s="5"/>
      <c r="G123" s="5"/>
      <c r="H123" s="5"/>
      <c r="I123" s="5">
        <f t="shared" ref="I123:I128" si="298">SUM(B123:H123)</f>
        <v>81990.334285781209</v>
      </c>
      <c r="K123" s="11">
        <v>0</v>
      </c>
      <c r="L123" s="62">
        <f>'27-28'!L123*1.015</f>
        <v>87456.356571499971</v>
      </c>
      <c r="M123" s="11"/>
      <c r="N123" s="11"/>
      <c r="O123" s="5"/>
      <c r="P123" s="5"/>
      <c r="Q123" s="5"/>
      <c r="R123" s="5">
        <f t="shared" ref="R123:R128" si="299">SUM(K123:Q123)</f>
        <v>87456.356571499971</v>
      </c>
      <c r="T123" s="11"/>
      <c r="U123" s="62">
        <f>'27-28'!U123*1.015</f>
        <v>62859.256285765594</v>
      </c>
      <c r="V123" s="11"/>
      <c r="W123" s="11"/>
      <c r="X123" s="5"/>
      <c r="Y123" s="5"/>
      <c r="Z123" s="5"/>
      <c r="AA123" s="5">
        <f t="shared" ref="AA123:AA128" si="300">SUM(T123:Z123)</f>
        <v>62859.256285765594</v>
      </c>
      <c r="AC123" s="11">
        <v>0</v>
      </c>
      <c r="AD123" s="62">
        <f>'27-28'!AD123*1.015</f>
        <v>98388.401142937451</v>
      </c>
      <c r="AE123" s="11"/>
      <c r="AF123" s="11"/>
      <c r="AG123" s="5"/>
      <c r="AH123" s="5"/>
      <c r="AI123" s="5"/>
      <c r="AJ123" s="5">
        <f t="shared" ref="AJ123:AJ128" si="301">SUM(AC123:AI123)</f>
        <v>98388.401142937451</v>
      </c>
      <c r="AL123" s="11">
        <v>0</v>
      </c>
      <c r="AM123" s="62">
        <f>'27-28'!AM123*1.015</f>
        <v>0</v>
      </c>
      <c r="AN123" s="11"/>
      <c r="AO123" s="11"/>
      <c r="AP123" s="5"/>
      <c r="AQ123" s="5"/>
      <c r="AR123" s="5"/>
      <c r="AS123" s="5">
        <f t="shared" ref="AS123:AS128" si="302">SUM(AL123:AR123)</f>
        <v>0</v>
      </c>
      <c r="AU123" s="11">
        <v>0</v>
      </c>
      <c r="AV123" s="62">
        <v>0</v>
      </c>
      <c r="AW123" s="11"/>
      <c r="AX123" s="11"/>
      <c r="AY123" s="5"/>
      <c r="AZ123" s="5"/>
      <c r="BA123" s="5"/>
      <c r="BB123" s="5">
        <f t="shared" ref="BB123:BB128" si="303">SUM(AU123:BA123)</f>
        <v>0</v>
      </c>
      <c r="BD123" s="11">
        <v>0</v>
      </c>
      <c r="BE123" s="62">
        <v>0</v>
      </c>
      <c r="BF123" s="11"/>
      <c r="BG123" s="11"/>
      <c r="BH123" s="5"/>
      <c r="BI123" s="5"/>
      <c r="BJ123" s="5"/>
      <c r="BK123" s="5">
        <f t="shared" ref="BK123:BK128" si="304">SUM(BD123:BJ123)</f>
        <v>0</v>
      </c>
      <c r="BM123" s="11">
        <v>0</v>
      </c>
      <c r="BN123" s="62">
        <v>0</v>
      </c>
      <c r="BO123" s="11"/>
      <c r="BP123" s="11"/>
      <c r="BQ123" s="5"/>
      <c r="BR123" s="5"/>
      <c r="BS123" s="5"/>
      <c r="BT123" s="5">
        <f t="shared" ref="BT123:BT128" si="305">SUM(BM123:BS123)</f>
        <v>0</v>
      </c>
      <c r="BV123" s="5">
        <f t="shared" ref="BV123:CA130" si="306">B123+K123+T123+AC123+AL123+AU123+BD123+BM123</f>
        <v>0</v>
      </c>
      <c r="BW123" s="5">
        <f t="shared" si="306"/>
        <v>330694.34828598425</v>
      </c>
      <c r="BX123" s="5">
        <f t="shared" si="306"/>
        <v>0</v>
      </c>
      <c r="BY123" s="5">
        <f t="shared" si="306"/>
        <v>0</v>
      </c>
      <c r="BZ123" s="5">
        <f t="shared" si="306"/>
        <v>0</v>
      </c>
      <c r="CA123" s="5">
        <f t="shared" si="306"/>
        <v>0</v>
      </c>
      <c r="CB123" s="5"/>
      <c r="CC123" s="5">
        <f t="shared" ref="CC123:CC128" si="307">SUM(BV123:CB123)</f>
        <v>330694.34828598425</v>
      </c>
    </row>
    <row r="124" spans="1:81">
      <c r="A124" s="29" t="s">
        <v>56</v>
      </c>
      <c r="B124" s="11">
        <v>0</v>
      </c>
      <c r="C124" s="62">
        <f>'27-28'!C124*1.015</f>
        <v>0</v>
      </c>
      <c r="D124" s="11"/>
      <c r="E124" s="11"/>
      <c r="F124" s="5"/>
      <c r="G124" s="5"/>
      <c r="H124" s="5"/>
      <c r="I124" s="5">
        <f t="shared" si="298"/>
        <v>0</v>
      </c>
      <c r="K124" s="11">
        <v>0</v>
      </c>
      <c r="L124" s="62">
        <v>0</v>
      </c>
      <c r="M124" s="11"/>
      <c r="N124" s="11"/>
      <c r="O124" s="5"/>
      <c r="P124" s="5"/>
      <c r="Q124" s="5"/>
      <c r="R124" s="5">
        <f t="shared" si="299"/>
        <v>0</v>
      </c>
      <c r="T124" s="11"/>
      <c r="U124" s="62">
        <f>'27-28'!U124*1.015</f>
        <v>58213.137342904665</v>
      </c>
      <c r="V124" s="11"/>
      <c r="W124" s="11"/>
      <c r="X124" s="5"/>
      <c r="Y124" s="5"/>
      <c r="Z124" s="5"/>
      <c r="AA124" s="5">
        <f t="shared" si="300"/>
        <v>58213.137342904665</v>
      </c>
      <c r="AC124" s="11">
        <v>0</v>
      </c>
      <c r="AD124" s="62">
        <f>'27-28'!AD124*1.015</f>
        <v>67778.676342912484</v>
      </c>
      <c r="AE124" s="11"/>
      <c r="AF124" s="11"/>
      <c r="AG124" s="5"/>
      <c r="AH124" s="5"/>
      <c r="AI124" s="5"/>
      <c r="AJ124" s="5">
        <f t="shared" si="301"/>
        <v>67778.676342912484</v>
      </c>
      <c r="AL124" s="11">
        <v>0</v>
      </c>
      <c r="AM124" s="62">
        <f>'27-28'!AM124*1.015</f>
        <v>0</v>
      </c>
      <c r="AN124" s="11"/>
      <c r="AO124" s="11"/>
      <c r="AP124" s="5"/>
      <c r="AQ124" s="5"/>
      <c r="AR124" s="5"/>
      <c r="AS124" s="5">
        <f t="shared" si="302"/>
        <v>0</v>
      </c>
      <c r="AU124" s="11">
        <v>0</v>
      </c>
      <c r="AV124" s="62">
        <v>0</v>
      </c>
      <c r="AW124" s="11"/>
      <c r="AX124" s="11"/>
      <c r="AY124" s="5"/>
      <c r="AZ124" s="5"/>
      <c r="BA124" s="5"/>
      <c r="BB124" s="5">
        <f t="shared" si="303"/>
        <v>0</v>
      </c>
      <c r="BD124" s="11">
        <v>0</v>
      </c>
      <c r="BE124" s="62">
        <v>0</v>
      </c>
      <c r="BF124" s="11"/>
      <c r="BG124" s="11"/>
      <c r="BH124" s="5"/>
      <c r="BI124" s="5"/>
      <c r="BJ124" s="5"/>
      <c r="BK124" s="5">
        <f t="shared" si="304"/>
        <v>0</v>
      </c>
      <c r="BM124" s="11">
        <v>0</v>
      </c>
      <c r="BN124" s="62">
        <v>0</v>
      </c>
      <c r="BO124" s="11"/>
      <c r="BP124" s="11"/>
      <c r="BQ124" s="5"/>
      <c r="BR124" s="5"/>
      <c r="BS124" s="5"/>
      <c r="BT124" s="5">
        <f t="shared" si="305"/>
        <v>0</v>
      </c>
      <c r="BV124" s="5">
        <f t="shared" si="306"/>
        <v>0</v>
      </c>
      <c r="BW124" s="5">
        <f t="shared" si="306"/>
        <v>125991.81368581715</v>
      </c>
      <c r="BX124" s="5">
        <f t="shared" si="306"/>
        <v>0</v>
      </c>
      <c r="BY124" s="5">
        <f t="shared" si="306"/>
        <v>0</v>
      </c>
      <c r="BZ124" s="5">
        <f t="shared" si="306"/>
        <v>0</v>
      </c>
      <c r="CA124" s="5">
        <f t="shared" si="306"/>
        <v>0</v>
      </c>
      <c r="CB124" s="5"/>
      <c r="CC124" s="5">
        <f t="shared" si="307"/>
        <v>125991.81368581715</v>
      </c>
    </row>
    <row r="125" spans="1:81">
      <c r="A125" s="29" t="s">
        <v>57</v>
      </c>
      <c r="B125" s="11">
        <v>0</v>
      </c>
      <c r="C125" s="62">
        <f>'27-28'!C125*1.015</f>
        <v>0</v>
      </c>
      <c r="D125" s="11"/>
      <c r="E125" s="11"/>
      <c r="F125" s="5"/>
      <c r="G125" s="5"/>
      <c r="H125" s="5"/>
      <c r="I125" s="5">
        <f t="shared" si="298"/>
        <v>0</v>
      </c>
      <c r="K125" s="11">
        <v>0</v>
      </c>
      <c r="L125" s="62">
        <f>'27-28'!L125*1.015</f>
        <v>47827.69500003905</v>
      </c>
      <c r="M125" s="11"/>
      <c r="N125" s="11"/>
      <c r="O125" s="5"/>
      <c r="P125" s="5"/>
      <c r="Q125" s="5"/>
      <c r="R125" s="5">
        <f t="shared" si="299"/>
        <v>47827.69500003905</v>
      </c>
      <c r="T125" s="11"/>
      <c r="U125" s="62">
        <f>'27-28'!U125*1.015</f>
        <v>47827.69500003905</v>
      </c>
      <c r="V125" s="11"/>
      <c r="W125" s="11"/>
      <c r="X125" s="5"/>
      <c r="Y125" s="5"/>
      <c r="Z125" s="5"/>
      <c r="AA125" s="5">
        <f t="shared" si="300"/>
        <v>47827.69500003905</v>
      </c>
      <c r="AC125" s="11">
        <v>0</v>
      </c>
      <c r="AD125" s="62">
        <f>'27-28'!AD125*1.015</f>
        <v>104947.62788579997</v>
      </c>
      <c r="AE125" s="11"/>
      <c r="AF125" s="11"/>
      <c r="AG125" s="5"/>
      <c r="AH125" s="5"/>
      <c r="AI125" s="5"/>
      <c r="AJ125" s="5">
        <f t="shared" si="301"/>
        <v>104947.62788579997</v>
      </c>
      <c r="AL125" s="11">
        <v>0</v>
      </c>
      <c r="AM125" s="62">
        <f>'27-28'!AM125*1.015</f>
        <v>98388.401142937451</v>
      </c>
      <c r="AN125" s="11"/>
      <c r="AO125" s="11"/>
      <c r="AP125" s="5"/>
      <c r="AQ125" s="5"/>
      <c r="AR125" s="5"/>
      <c r="AS125" s="5">
        <f t="shared" si="302"/>
        <v>98388.401142937451</v>
      </c>
      <c r="AU125" s="11">
        <v>0</v>
      </c>
      <c r="AV125" s="11">
        <v>0</v>
      </c>
      <c r="AW125" s="11"/>
      <c r="AX125" s="11"/>
      <c r="AY125" s="5"/>
      <c r="AZ125" s="5"/>
      <c r="BA125" s="5"/>
      <c r="BB125" s="5">
        <f t="shared" si="303"/>
        <v>0</v>
      </c>
      <c r="BD125" s="11">
        <v>0</v>
      </c>
      <c r="BE125" s="11">
        <v>0</v>
      </c>
      <c r="BF125" s="11"/>
      <c r="BG125" s="11"/>
      <c r="BH125" s="5"/>
      <c r="BI125" s="5"/>
      <c r="BJ125" s="5"/>
      <c r="BK125" s="5">
        <f t="shared" si="304"/>
        <v>0</v>
      </c>
      <c r="BM125" s="11">
        <v>0</v>
      </c>
      <c r="BN125" s="11">
        <v>0</v>
      </c>
      <c r="BO125" s="11"/>
      <c r="BP125" s="11"/>
      <c r="BQ125" s="5"/>
      <c r="BR125" s="5"/>
      <c r="BS125" s="5"/>
      <c r="BT125" s="5">
        <f t="shared" si="305"/>
        <v>0</v>
      </c>
      <c r="BV125" s="5">
        <f t="shared" si="306"/>
        <v>0</v>
      </c>
      <c r="BW125" s="5">
        <f t="shared" si="306"/>
        <v>298991.41902881552</v>
      </c>
      <c r="BX125" s="5">
        <f t="shared" si="306"/>
        <v>0</v>
      </c>
      <c r="BY125" s="5">
        <f t="shared" si="306"/>
        <v>0</v>
      </c>
      <c r="BZ125" s="5">
        <f t="shared" si="306"/>
        <v>0</v>
      </c>
      <c r="CA125" s="5">
        <f t="shared" si="306"/>
        <v>0</v>
      </c>
      <c r="CB125" s="5"/>
      <c r="CC125" s="5">
        <f t="shared" si="307"/>
        <v>298991.41902881552</v>
      </c>
    </row>
    <row r="126" spans="1:81">
      <c r="A126" s="29" t="s">
        <v>110</v>
      </c>
      <c r="B126" s="11">
        <v>0</v>
      </c>
      <c r="C126" s="11"/>
      <c r="D126" s="11"/>
      <c r="E126" s="11"/>
      <c r="F126" s="5"/>
      <c r="G126" s="5"/>
      <c r="H126" s="5"/>
      <c r="I126" s="26">
        <f t="shared" si="298"/>
        <v>0</v>
      </c>
      <c r="K126" s="11">
        <v>0</v>
      </c>
      <c r="L126" s="11"/>
      <c r="M126" s="11"/>
      <c r="N126" s="11"/>
      <c r="O126" s="5"/>
      <c r="P126" s="5"/>
      <c r="Q126" s="5"/>
      <c r="R126" s="26">
        <f t="shared" si="299"/>
        <v>0</v>
      </c>
      <c r="T126" s="11"/>
      <c r="U126" s="62">
        <f>'27-28'!U126*1.015</f>
        <v>27330.111428593736</v>
      </c>
      <c r="V126" s="11"/>
      <c r="W126" s="11"/>
      <c r="X126" s="5"/>
      <c r="Y126" s="5"/>
      <c r="Z126" s="5"/>
      <c r="AA126" s="5">
        <f t="shared" si="300"/>
        <v>27330.111428593736</v>
      </c>
      <c r="AC126" s="11">
        <v>0</v>
      </c>
      <c r="AD126" s="62">
        <f>'27-28'!AD126*1.015</f>
        <v>0</v>
      </c>
      <c r="AE126" s="11"/>
      <c r="AF126" s="11"/>
      <c r="AG126" s="5"/>
      <c r="AH126" s="5"/>
      <c r="AI126" s="5"/>
      <c r="AJ126" s="26">
        <f t="shared" si="301"/>
        <v>0</v>
      </c>
      <c r="AL126" s="11">
        <v>0</v>
      </c>
      <c r="AM126" s="62">
        <f>'27-28'!AM126*1.015</f>
        <v>52473.813942899986</v>
      </c>
      <c r="AN126" s="11"/>
      <c r="AO126" s="11"/>
      <c r="AP126" s="5"/>
      <c r="AQ126" s="5"/>
      <c r="AR126" s="5"/>
      <c r="AS126" s="5">
        <f t="shared" si="302"/>
        <v>52473.813942899986</v>
      </c>
      <c r="AU126" s="11">
        <v>0</v>
      </c>
      <c r="AV126" s="11"/>
      <c r="AW126" s="11"/>
      <c r="AX126" s="11"/>
      <c r="AY126" s="5"/>
      <c r="AZ126" s="5"/>
      <c r="BA126" s="5"/>
      <c r="BB126" s="26">
        <f t="shared" si="303"/>
        <v>0</v>
      </c>
      <c r="BD126" s="11">
        <v>0</v>
      </c>
      <c r="BE126" s="11">
        <v>0</v>
      </c>
      <c r="BF126" s="11"/>
      <c r="BG126" s="11"/>
      <c r="BH126" s="5"/>
      <c r="BI126" s="5"/>
      <c r="BJ126" s="5"/>
      <c r="BK126" s="26">
        <f t="shared" si="304"/>
        <v>0</v>
      </c>
      <c r="BM126" s="11">
        <v>0</v>
      </c>
      <c r="BN126" s="11"/>
      <c r="BO126" s="11"/>
      <c r="BP126" s="11"/>
      <c r="BQ126" s="5"/>
      <c r="BR126" s="5"/>
      <c r="BS126" s="5"/>
      <c r="BT126" s="26">
        <f t="shared" si="305"/>
        <v>0</v>
      </c>
      <c r="BV126" s="5">
        <f t="shared" si="306"/>
        <v>0</v>
      </c>
      <c r="BW126" s="5">
        <f t="shared" si="306"/>
        <v>79803.925371493722</v>
      </c>
      <c r="BX126" s="5">
        <f t="shared" si="306"/>
        <v>0</v>
      </c>
      <c r="BY126" s="5">
        <f t="shared" si="306"/>
        <v>0</v>
      </c>
      <c r="BZ126" s="5">
        <f t="shared" si="306"/>
        <v>0</v>
      </c>
      <c r="CA126" s="5">
        <f t="shared" si="306"/>
        <v>0</v>
      </c>
      <c r="CB126" s="5"/>
      <c r="CC126" s="26">
        <f t="shared" si="307"/>
        <v>79803.925371493722</v>
      </c>
    </row>
    <row r="127" spans="1:81">
      <c r="A127" s="29" t="s">
        <v>59</v>
      </c>
      <c r="B127" s="11">
        <v>0</v>
      </c>
      <c r="C127" s="11"/>
      <c r="D127" s="11"/>
      <c r="E127" s="11"/>
      <c r="F127" s="5"/>
      <c r="G127" s="5"/>
      <c r="H127" s="5"/>
      <c r="I127" s="5">
        <f t="shared" si="298"/>
        <v>0</v>
      </c>
      <c r="K127" s="11">
        <v>0</v>
      </c>
      <c r="L127" s="62">
        <f>'27-28'!L127*1.015</f>
        <v>34982.542628599986</v>
      </c>
      <c r="M127" s="11"/>
      <c r="N127" s="11"/>
      <c r="O127" s="5"/>
      <c r="P127" s="5"/>
      <c r="Q127" s="5"/>
      <c r="R127" s="5">
        <f t="shared" si="299"/>
        <v>34982.542628599986</v>
      </c>
      <c r="T127" s="11"/>
      <c r="U127" s="62">
        <f>'27-28'!U127*1.015</f>
        <v>34982.542628599986</v>
      </c>
      <c r="V127" s="11"/>
      <c r="W127" s="11"/>
      <c r="X127" s="5"/>
      <c r="Y127" s="5"/>
      <c r="Z127" s="5"/>
      <c r="AA127" s="5">
        <f t="shared" si="300"/>
        <v>34982.542628599986</v>
      </c>
      <c r="AC127" s="11">
        <v>0</v>
      </c>
      <c r="AD127" s="62">
        <f>'27-28'!AD127*1.015</f>
        <v>80022.566262922453</v>
      </c>
      <c r="AE127" s="11"/>
      <c r="AF127" s="11"/>
      <c r="AG127" s="5"/>
      <c r="AH127" s="5"/>
      <c r="AI127" s="5"/>
      <c r="AJ127" s="5">
        <f t="shared" si="301"/>
        <v>80022.566262922453</v>
      </c>
      <c r="AL127" s="11">
        <v>0</v>
      </c>
      <c r="AM127" s="62">
        <f>'27-28'!AM127*1.015</f>
        <v>89205.483702929952</v>
      </c>
      <c r="AN127" s="11"/>
      <c r="AO127" s="11"/>
      <c r="AP127" s="5"/>
      <c r="AQ127" s="5"/>
      <c r="AR127" s="5"/>
      <c r="AS127" s="5">
        <f t="shared" si="302"/>
        <v>89205.483702929952</v>
      </c>
      <c r="AU127" s="11">
        <v>0</v>
      </c>
      <c r="AV127" s="11"/>
      <c r="AW127" s="11"/>
      <c r="AX127" s="11"/>
      <c r="AY127" s="5"/>
      <c r="AZ127" s="5"/>
      <c r="BA127" s="5"/>
      <c r="BB127" s="5">
        <f t="shared" si="303"/>
        <v>0</v>
      </c>
      <c r="BD127" s="11">
        <v>0</v>
      </c>
      <c r="BE127" s="11">
        <v>0</v>
      </c>
      <c r="BF127" s="11"/>
      <c r="BG127" s="11"/>
      <c r="BH127" s="5"/>
      <c r="BI127" s="5"/>
      <c r="BJ127" s="5"/>
      <c r="BK127" s="5">
        <f t="shared" si="304"/>
        <v>0</v>
      </c>
      <c r="BM127" s="11">
        <v>0</v>
      </c>
      <c r="BN127" s="11"/>
      <c r="BO127" s="11"/>
      <c r="BP127" s="11"/>
      <c r="BQ127" s="5"/>
      <c r="BR127" s="5"/>
      <c r="BS127" s="5"/>
      <c r="BT127" s="5">
        <f t="shared" si="305"/>
        <v>0</v>
      </c>
      <c r="BV127" s="5">
        <f t="shared" si="306"/>
        <v>0</v>
      </c>
      <c r="BW127" s="5">
        <f t="shared" si="306"/>
        <v>239193.13522305238</v>
      </c>
      <c r="BX127" s="5">
        <f t="shared" si="306"/>
        <v>0</v>
      </c>
      <c r="BY127" s="5">
        <f t="shared" si="306"/>
        <v>0</v>
      </c>
      <c r="BZ127" s="5">
        <f t="shared" si="306"/>
        <v>0</v>
      </c>
      <c r="CA127" s="5">
        <f t="shared" si="306"/>
        <v>0</v>
      </c>
      <c r="CB127" s="5"/>
      <c r="CC127" s="5">
        <f t="shared" si="307"/>
        <v>239193.13522305238</v>
      </c>
    </row>
    <row r="128" spans="1:81">
      <c r="A128" s="29" t="s">
        <v>111</v>
      </c>
      <c r="B128" s="62">
        <f>'27-28'!B128*1.015</f>
        <v>32371.588294062487</v>
      </c>
      <c r="C128" s="11"/>
      <c r="D128" s="11"/>
      <c r="E128" s="11"/>
      <c r="F128" s="5"/>
      <c r="G128" s="5"/>
      <c r="H128" s="5"/>
      <c r="I128" s="5">
        <f t="shared" si="298"/>
        <v>32371.588294062487</v>
      </c>
      <c r="K128" s="62">
        <f>'27-28'!K128*1.015</f>
        <v>67778.676342912484</v>
      </c>
      <c r="L128" s="11"/>
      <c r="M128" s="11">
        <v>0</v>
      </c>
      <c r="N128" s="11"/>
      <c r="O128" s="5"/>
      <c r="P128" s="5"/>
      <c r="Q128" s="5"/>
      <c r="R128" s="5">
        <f t="shared" si="299"/>
        <v>67778.676342912484</v>
      </c>
      <c r="T128" s="62">
        <f>'27-28'!T128*1.015</f>
        <v>135854.53447999991</v>
      </c>
      <c r="U128" s="11"/>
      <c r="V128" s="11"/>
      <c r="W128" s="11"/>
      <c r="X128" s="5"/>
      <c r="Y128" s="5"/>
      <c r="Z128" s="5"/>
      <c r="AA128" s="5">
        <f t="shared" si="300"/>
        <v>135854.53447999991</v>
      </c>
      <c r="AC128" s="62">
        <f>'27-28'!AC128*1.015</f>
        <v>67778.676342912484</v>
      </c>
      <c r="AD128" s="11"/>
      <c r="AE128" s="11"/>
      <c r="AF128" s="11"/>
      <c r="AG128" s="5"/>
      <c r="AH128" s="5"/>
      <c r="AI128" s="5"/>
      <c r="AJ128" s="5">
        <f t="shared" si="301"/>
        <v>67778.676342912484</v>
      </c>
      <c r="AL128" s="62">
        <f>'27-28'!AL128*1.015</f>
        <v>135854.53447999991</v>
      </c>
      <c r="AM128" s="11"/>
      <c r="AN128" s="11"/>
      <c r="AO128" s="11"/>
      <c r="AP128" s="5"/>
      <c r="AQ128" s="5"/>
      <c r="AR128" s="5"/>
      <c r="AS128" s="5">
        <f t="shared" si="302"/>
        <v>135854.53447999991</v>
      </c>
      <c r="AU128" s="62">
        <v>0</v>
      </c>
      <c r="AV128" s="11"/>
      <c r="AW128" s="11"/>
      <c r="AX128" s="11"/>
      <c r="AY128" s="5"/>
      <c r="AZ128" s="5"/>
      <c r="BA128" s="5"/>
      <c r="BB128" s="5">
        <f t="shared" si="303"/>
        <v>0</v>
      </c>
      <c r="BD128" s="62">
        <v>0</v>
      </c>
      <c r="BE128" s="11"/>
      <c r="BF128" s="11"/>
      <c r="BG128" s="11"/>
      <c r="BH128" s="5"/>
      <c r="BI128" s="5"/>
      <c r="BJ128" s="5"/>
      <c r="BK128" s="5">
        <f t="shared" si="304"/>
        <v>0</v>
      </c>
      <c r="BM128" s="62">
        <v>0</v>
      </c>
      <c r="BN128" s="11"/>
      <c r="BO128" s="11"/>
      <c r="BP128" s="11"/>
      <c r="BQ128" s="5"/>
      <c r="BR128" s="5"/>
      <c r="BS128" s="5"/>
      <c r="BT128" s="5">
        <f t="shared" si="305"/>
        <v>0</v>
      </c>
      <c r="BV128" s="5">
        <f t="shared" si="306"/>
        <v>439638.00993988727</v>
      </c>
      <c r="BW128" s="5">
        <f t="shared" si="306"/>
        <v>0</v>
      </c>
      <c r="BX128" s="5">
        <f t="shared" si="306"/>
        <v>0</v>
      </c>
      <c r="BY128" s="5">
        <f t="shared" si="306"/>
        <v>0</v>
      </c>
      <c r="BZ128" s="5">
        <f t="shared" si="306"/>
        <v>0</v>
      </c>
      <c r="CA128" s="5">
        <f t="shared" si="306"/>
        <v>0</v>
      </c>
      <c r="CB128" s="5"/>
      <c r="CC128" s="5">
        <f t="shared" si="307"/>
        <v>439638.00993988727</v>
      </c>
    </row>
    <row r="129" spans="1:81">
      <c r="A129" s="29" t="s">
        <v>112</v>
      </c>
      <c r="B129" s="11">
        <f>(12.5*6*185)*B52</f>
        <v>0</v>
      </c>
      <c r="C129" s="11">
        <f>(12.5*6*185)*C52</f>
        <v>0</v>
      </c>
      <c r="D129" s="62">
        <v>0</v>
      </c>
      <c r="E129" s="62"/>
      <c r="F129" s="5"/>
      <c r="G129" s="5"/>
      <c r="H129" s="5"/>
      <c r="I129" s="5">
        <f>SUM(B129:H129)</f>
        <v>0</v>
      </c>
      <c r="K129" s="11">
        <f>(12.5*6*185)*K52</f>
        <v>0</v>
      </c>
      <c r="L129" s="11">
        <f>(12.5*6*185)*L52</f>
        <v>0</v>
      </c>
      <c r="M129" s="62"/>
      <c r="N129" s="62"/>
      <c r="O129" s="5"/>
      <c r="P129" s="5"/>
      <c r="Q129" s="5"/>
      <c r="R129" s="5">
        <f>SUM(K129:Q129)</f>
        <v>0</v>
      </c>
      <c r="T129" s="62">
        <f>'27-28'!T129*1.015</f>
        <v>65592.267428624968</v>
      </c>
      <c r="U129" s="11"/>
      <c r="V129" s="62"/>
      <c r="W129" s="62"/>
      <c r="X129" s="5"/>
      <c r="Y129" s="5"/>
      <c r="Z129" s="5"/>
      <c r="AA129" s="5">
        <f>SUM(T129:Z129)</f>
        <v>65592.267428624968</v>
      </c>
      <c r="AC129" s="62">
        <f>'27-28'!AC129*1.015</f>
        <v>60126.245142906228</v>
      </c>
      <c r="AD129" s="11">
        <f>(12.5*6*185)*AD52</f>
        <v>0</v>
      </c>
      <c r="AE129" s="62">
        <v>0</v>
      </c>
      <c r="AF129" s="62"/>
      <c r="AG129" s="5"/>
      <c r="AH129" s="5"/>
      <c r="AI129" s="5"/>
      <c r="AJ129" s="5">
        <f>SUM(AC129:AI129)</f>
        <v>60126.245142906228</v>
      </c>
      <c r="AL129" s="62">
        <f>'27-28'!AL129*1.015</f>
        <v>118872.71766999994</v>
      </c>
      <c r="AM129" s="11">
        <f>(12.5*6*185)*AM52</f>
        <v>0</v>
      </c>
      <c r="AN129" s="62">
        <v>0</v>
      </c>
      <c r="AO129" s="62"/>
      <c r="AP129" s="5"/>
      <c r="AQ129" s="5"/>
      <c r="AR129" s="5"/>
      <c r="AS129" s="5">
        <f>SUM(AL129:AR129)</f>
        <v>118872.71766999994</v>
      </c>
      <c r="AU129" s="11">
        <f>(12.5*6*185)*AU52</f>
        <v>0</v>
      </c>
      <c r="AV129" s="11">
        <f>(12.5*6*185)*AV52</f>
        <v>0</v>
      </c>
      <c r="AW129" s="62">
        <v>0</v>
      </c>
      <c r="AX129" s="62"/>
      <c r="AY129" s="5"/>
      <c r="AZ129" s="5"/>
      <c r="BA129" s="5"/>
      <c r="BB129" s="5">
        <f>SUM(AU129:BA129)</f>
        <v>0</v>
      </c>
      <c r="BD129" s="11">
        <f>(12.5*6*185)*BD52</f>
        <v>0</v>
      </c>
      <c r="BE129" s="11">
        <f>(12.5*6*185)*BE52</f>
        <v>0</v>
      </c>
      <c r="BF129" s="62">
        <v>0</v>
      </c>
      <c r="BG129" s="62"/>
      <c r="BH129" s="5"/>
      <c r="BI129" s="5"/>
      <c r="BJ129" s="5"/>
      <c r="BK129" s="5">
        <f>SUM(BD129:BJ129)</f>
        <v>0</v>
      </c>
      <c r="BM129" s="11">
        <f>(12.5*6*185)*BM52</f>
        <v>0</v>
      </c>
      <c r="BN129" s="11">
        <f>(12.5*6*185)*BN52</f>
        <v>0</v>
      </c>
      <c r="BO129" s="62">
        <v>0</v>
      </c>
      <c r="BP129" s="62"/>
      <c r="BQ129" s="5"/>
      <c r="BR129" s="5"/>
      <c r="BS129" s="5"/>
      <c r="BT129" s="5">
        <f>SUM(BM129:BS129)</f>
        <v>0</v>
      </c>
      <c r="BV129" s="5">
        <f t="shared" si="306"/>
        <v>244591.23024153116</v>
      </c>
      <c r="BW129" s="5">
        <f t="shared" si="306"/>
        <v>0</v>
      </c>
      <c r="BX129" s="5">
        <f t="shared" si="306"/>
        <v>0</v>
      </c>
      <c r="BY129" s="5">
        <f t="shared" si="306"/>
        <v>0</v>
      </c>
      <c r="BZ129" s="5">
        <f t="shared" si="306"/>
        <v>0</v>
      </c>
      <c r="CA129" s="5">
        <f t="shared" si="306"/>
        <v>0</v>
      </c>
      <c r="CB129" s="5"/>
      <c r="CC129" s="5">
        <f>SUM(BV129:CB129)</f>
        <v>244591.23024153116</v>
      </c>
    </row>
    <row r="130" spans="1:81">
      <c r="A130" s="29" t="s">
        <v>60</v>
      </c>
      <c r="B130" s="67">
        <f>175*180*B59</f>
        <v>31500</v>
      </c>
      <c r="C130" s="67">
        <f t="shared" ref="C130:H130" si="308">170*180*C59</f>
        <v>0</v>
      </c>
      <c r="D130" s="67">
        <f t="shared" si="308"/>
        <v>0</v>
      </c>
      <c r="E130" s="67">
        <f t="shared" si="308"/>
        <v>0</v>
      </c>
      <c r="F130" s="67">
        <f t="shared" si="308"/>
        <v>0</v>
      </c>
      <c r="G130" s="67">
        <f t="shared" si="308"/>
        <v>0</v>
      </c>
      <c r="H130" s="67">
        <f t="shared" si="308"/>
        <v>0</v>
      </c>
      <c r="I130" s="5">
        <f>SUM(B130:H130)</f>
        <v>31500</v>
      </c>
      <c r="K130" s="67">
        <f>175*180*K59</f>
        <v>31500</v>
      </c>
      <c r="L130" s="67">
        <f t="shared" ref="L130:Q130" si="309">170*180*L59</f>
        <v>0</v>
      </c>
      <c r="M130" s="67">
        <f t="shared" si="309"/>
        <v>0</v>
      </c>
      <c r="N130" s="67">
        <f t="shared" si="309"/>
        <v>0</v>
      </c>
      <c r="O130" s="67">
        <f t="shared" si="309"/>
        <v>0</v>
      </c>
      <c r="P130" s="67">
        <f t="shared" si="309"/>
        <v>0</v>
      </c>
      <c r="Q130" s="67">
        <f t="shared" si="309"/>
        <v>0</v>
      </c>
      <c r="R130" s="5">
        <f>SUM(K130:Q130)</f>
        <v>31500</v>
      </c>
      <c r="T130" s="35">
        <f>175*180*T59</f>
        <v>63000</v>
      </c>
      <c r="U130" s="35">
        <f t="shared" ref="U130:Z130" si="310">170*180*U59</f>
        <v>0</v>
      </c>
      <c r="V130" s="35">
        <f t="shared" si="310"/>
        <v>0</v>
      </c>
      <c r="W130" s="35">
        <f t="shared" si="310"/>
        <v>0</v>
      </c>
      <c r="X130" s="35">
        <f t="shared" si="310"/>
        <v>0</v>
      </c>
      <c r="Y130" s="35">
        <f t="shared" si="310"/>
        <v>0</v>
      </c>
      <c r="Z130" s="35">
        <f t="shared" si="310"/>
        <v>0</v>
      </c>
      <c r="AA130" s="5">
        <f>SUM(T130:Z130)</f>
        <v>63000</v>
      </c>
      <c r="AC130" s="67">
        <f>175*180*AC59</f>
        <v>94500</v>
      </c>
      <c r="AD130" s="67">
        <f t="shared" ref="AD130:AI130" si="311">170*180*AD59</f>
        <v>0</v>
      </c>
      <c r="AE130" s="67">
        <f t="shared" si="311"/>
        <v>0</v>
      </c>
      <c r="AF130" s="67">
        <f t="shared" si="311"/>
        <v>0</v>
      </c>
      <c r="AG130" s="67">
        <f t="shared" si="311"/>
        <v>0</v>
      </c>
      <c r="AH130" s="67">
        <f t="shared" si="311"/>
        <v>0</v>
      </c>
      <c r="AI130" s="67">
        <f t="shared" si="311"/>
        <v>0</v>
      </c>
      <c r="AJ130" s="5">
        <f>SUM(AC130:AI130)</f>
        <v>94500</v>
      </c>
      <c r="AL130" s="67">
        <f>175*180*AL59</f>
        <v>126000</v>
      </c>
      <c r="AM130" s="67">
        <f t="shared" ref="AM130:AR130" si="312">170*180*AM59</f>
        <v>0</v>
      </c>
      <c r="AN130" s="67">
        <f t="shared" si="312"/>
        <v>0</v>
      </c>
      <c r="AO130" s="67">
        <f t="shared" si="312"/>
        <v>0</v>
      </c>
      <c r="AP130" s="67">
        <f t="shared" si="312"/>
        <v>0</v>
      </c>
      <c r="AQ130" s="67">
        <f t="shared" si="312"/>
        <v>0</v>
      </c>
      <c r="AR130" s="67">
        <f t="shared" si="312"/>
        <v>0</v>
      </c>
      <c r="AS130" s="5">
        <f>SUM(AL130:AR130)</f>
        <v>126000</v>
      </c>
      <c r="AU130" s="67">
        <f>150*180*AU59</f>
        <v>0</v>
      </c>
      <c r="AV130" s="67">
        <f t="shared" ref="AV130:AX130" si="313">150*180*AV59</f>
        <v>0</v>
      </c>
      <c r="AW130" s="67">
        <f t="shared" si="313"/>
        <v>0</v>
      </c>
      <c r="AX130" s="67">
        <f t="shared" si="313"/>
        <v>0</v>
      </c>
      <c r="AY130" s="5"/>
      <c r="AZ130" s="5"/>
      <c r="BA130" s="5"/>
      <c r="BB130" s="5">
        <f>SUM(AU130:BA130)</f>
        <v>0</v>
      </c>
      <c r="BD130" s="67">
        <f>150*180*BD59</f>
        <v>0</v>
      </c>
      <c r="BE130" s="67">
        <f t="shared" ref="BE130:BG130" si="314">150*180*BE59</f>
        <v>0</v>
      </c>
      <c r="BF130" s="67">
        <f t="shared" si="314"/>
        <v>0</v>
      </c>
      <c r="BG130" s="67">
        <f t="shared" si="314"/>
        <v>0</v>
      </c>
      <c r="BH130" s="5"/>
      <c r="BI130" s="5"/>
      <c r="BJ130" s="5"/>
      <c r="BK130" s="5">
        <f>SUM(BD130:BJ130)</f>
        <v>0</v>
      </c>
      <c r="BM130" s="67">
        <f>150*180*BM59</f>
        <v>0</v>
      </c>
      <c r="BN130" s="67">
        <f t="shared" ref="BN130:BP130" si="315">150*180*BN59</f>
        <v>0</v>
      </c>
      <c r="BO130" s="67">
        <f t="shared" si="315"/>
        <v>0</v>
      </c>
      <c r="BP130" s="67">
        <f t="shared" si="315"/>
        <v>0</v>
      </c>
      <c r="BQ130" s="5"/>
      <c r="BR130" s="5"/>
      <c r="BS130" s="5"/>
      <c r="BT130" s="5">
        <f>SUM(BM130:BS130)</f>
        <v>0</v>
      </c>
      <c r="BV130" s="5">
        <f t="shared" si="306"/>
        <v>346500</v>
      </c>
      <c r="BW130" s="5">
        <f t="shared" si="306"/>
        <v>0</v>
      </c>
      <c r="BX130" s="5">
        <f t="shared" si="306"/>
        <v>0</v>
      </c>
      <c r="BY130" s="5">
        <f t="shared" si="306"/>
        <v>0</v>
      </c>
      <c r="BZ130" s="5">
        <f t="shared" si="306"/>
        <v>0</v>
      </c>
      <c r="CA130" s="5">
        <f t="shared" si="306"/>
        <v>0</v>
      </c>
      <c r="CB130" s="5"/>
      <c r="CC130" s="5">
        <f>SUM(BV130:CB130)</f>
        <v>346500</v>
      </c>
    </row>
    <row r="131" spans="1:81" ht="15">
      <c r="A131" s="68" t="s">
        <v>113</v>
      </c>
      <c r="B131" s="69">
        <f>SUM(B123:B130)</f>
        <v>63871.588294062487</v>
      </c>
      <c r="C131" s="69">
        <f t="shared" ref="C131:I131" si="316">SUM(C123:C130)</f>
        <v>81990.334285781209</v>
      </c>
      <c r="D131" s="69">
        <f t="shared" si="316"/>
        <v>0</v>
      </c>
      <c r="E131" s="69">
        <f t="shared" si="316"/>
        <v>0</v>
      </c>
      <c r="F131" s="69">
        <f t="shared" si="316"/>
        <v>0</v>
      </c>
      <c r="G131" s="69">
        <f t="shared" si="316"/>
        <v>0</v>
      </c>
      <c r="H131" s="69">
        <f t="shared" si="316"/>
        <v>0</v>
      </c>
      <c r="I131" s="69">
        <f t="shared" si="316"/>
        <v>145861.9225798437</v>
      </c>
      <c r="J131" s="7"/>
      <c r="K131" s="69">
        <f>SUM(K123:K130)</f>
        <v>99278.676342912484</v>
      </c>
      <c r="L131" s="69">
        <f t="shared" ref="L131:R131" si="317">SUM(L123:L130)</f>
        <v>170266.59420013899</v>
      </c>
      <c r="M131" s="69">
        <f t="shared" si="317"/>
        <v>0</v>
      </c>
      <c r="N131" s="69"/>
      <c r="O131" s="69">
        <f t="shared" si="317"/>
        <v>0</v>
      </c>
      <c r="P131" s="69">
        <f t="shared" si="317"/>
        <v>0</v>
      </c>
      <c r="Q131" s="69">
        <f t="shared" si="317"/>
        <v>0</v>
      </c>
      <c r="R131" s="69">
        <f t="shared" si="317"/>
        <v>269545.27054305148</v>
      </c>
      <c r="T131" s="69">
        <f>SUM(T123:T130)</f>
        <v>264446.80190862488</v>
      </c>
      <c r="U131" s="69">
        <f t="shared" ref="U131:AA131" si="318">SUM(U123:U130)</f>
        <v>231212.74268590304</v>
      </c>
      <c r="V131" s="69">
        <f t="shared" si="318"/>
        <v>0</v>
      </c>
      <c r="W131" s="69"/>
      <c r="X131" s="69">
        <f t="shared" si="318"/>
        <v>0</v>
      </c>
      <c r="Y131" s="69">
        <f t="shared" si="318"/>
        <v>0</v>
      </c>
      <c r="Z131" s="69">
        <f t="shared" si="318"/>
        <v>0</v>
      </c>
      <c r="AA131" s="69">
        <f t="shared" si="318"/>
        <v>495659.54459452792</v>
      </c>
      <c r="AC131" s="69">
        <f>SUM(AC123:AC130)</f>
        <v>222404.92148581872</v>
      </c>
      <c r="AD131" s="69">
        <f t="shared" ref="AD131:AJ131" si="319">SUM(AD123:AD130)</f>
        <v>351137.27163457242</v>
      </c>
      <c r="AE131" s="69">
        <f t="shared" si="319"/>
        <v>0</v>
      </c>
      <c r="AF131" s="69">
        <f t="shared" si="319"/>
        <v>0</v>
      </c>
      <c r="AG131" s="69">
        <f t="shared" si="319"/>
        <v>0</v>
      </c>
      <c r="AH131" s="69">
        <f t="shared" si="319"/>
        <v>0</v>
      </c>
      <c r="AI131" s="69">
        <f t="shared" si="319"/>
        <v>0</v>
      </c>
      <c r="AJ131" s="69">
        <f t="shared" si="319"/>
        <v>573542.19312039111</v>
      </c>
      <c r="AL131" s="69">
        <f>SUM(AL123:AL130)</f>
        <v>380727.25214999984</v>
      </c>
      <c r="AM131" s="69">
        <f t="shared" ref="AM131:AS131" si="320">SUM(AM123:AM130)</f>
        <v>240067.69878876739</v>
      </c>
      <c r="AN131" s="69">
        <f t="shared" si="320"/>
        <v>0</v>
      </c>
      <c r="AO131" s="69">
        <f t="shared" si="320"/>
        <v>0</v>
      </c>
      <c r="AP131" s="69">
        <f t="shared" si="320"/>
        <v>0</v>
      </c>
      <c r="AQ131" s="69">
        <f t="shared" si="320"/>
        <v>0</v>
      </c>
      <c r="AR131" s="69">
        <f t="shared" si="320"/>
        <v>0</v>
      </c>
      <c r="AS131" s="69">
        <f t="shared" si="320"/>
        <v>620794.95093876729</v>
      </c>
      <c r="AU131" s="69">
        <f>SUM(AU123:AU130)</f>
        <v>0</v>
      </c>
      <c r="AV131" s="69">
        <f t="shared" ref="AV131:BB131" si="321">SUM(AV123:AV130)</f>
        <v>0</v>
      </c>
      <c r="AW131" s="69">
        <f t="shared" si="321"/>
        <v>0</v>
      </c>
      <c r="AX131" s="69">
        <f t="shared" si="321"/>
        <v>0</v>
      </c>
      <c r="AY131" s="69">
        <f t="shared" si="321"/>
        <v>0</v>
      </c>
      <c r="AZ131" s="69">
        <f t="shared" si="321"/>
        <v>0</v>
      </c>
      <c r="BA131" s="69">
        <f t="shared" si="321"/>
        <v>0</v>
      </c>
      <c r="BB131" s="69">
        <f t="shared" si="321"/>
        <v>0</v>
      </c>
      <c r="BD131" s="69">
        <f>SUM(BD123:BD130)</f>
        <v>0</v>
      </c>
      <c r="BE131" s="69">
        <f t="shared" ref="BE131:BK131" si="322">SUM(BE123:BE130)</f>
        <v>0</v>
      </c>
      <c r="BF131" s="69">
        <f t="shared" si="322"/>
        <v>0</v>
      </c>
      <c r="BG131" s="69">
        <f t="shared" si="322"/>
        <v>0</v>
      </c>
      <c r="BH131" s="69">
        <f t="shared" si="322"/>
        <v>0</v>
      </c>
      <c r="BI131" s="69">
        <f t="shared" si="322"/>
        <v>0</v>
      </c>
      <c r="BJ131" s="69">
        <f t="shared" si="322"/>
        <v>0</v>
      </c>
      <c r="BK131" s="69">
        <f t="shared" si="322"/>
        <v>0</v>
      </c>
      <c r="BM131" s="69">
        <f>SUM(BM123:BM130)</f>
        <v>0</v>
      </c>
      <c r="BN131" s="69">
        <f t="shared" ref="BN131:BT131" si="323">SUM(BN123:BN130)</f>
        <v>0</v>
      </c>
      <c r="BO131" s="69">
        <f t="shared" si="323"/>
        <v>0</v>
      </c>
      <c r="BP131" s="69">
        <f t="shared" si="323"/>
        <v>0</v>
      </c>
      <c r="BQ131" s="69">
        <f t="shared" si="323"/>
        <v>0</v>
      </c>
      <c r="BR131" s="69">
        <f t="shared" si="323"/>
        <v>0</v>
      </c>
      <c r="BS131" s="69">
        <f t="shared" si="323"/>
        <v>0</v>
      </c>
      <c r="BT131" s="69">
        <f t="shared" si="323"/>
        <v>0</v>
      </c>
      <c r="BV131" s="69">
        <f>SUM(BV123:BV130)</f>
        <v>1030729.2401814184</v>
      </c>
      <c r="BW131" s="69">
        <f t="shared" ref="BW131:CC131" si="324">SUM(BW123:BW130)</f>
        <v>1074674.6415951631</v>
      </c>
      <c r="BX131" s="69">
        <f t="shared" si="324"/>
        <v>0</v>
      </c>
      <c r="BY131" s="69">
        <f t="shared" si="324"/>
        <v>0</v>
      </c>
      <c r="BZ131" s="69">
        <f t="shared" si="324"/>
        <v>0</v>
      </c>
      <c r="CA131" s="69">
        <f t="shared" si="324"/>
        <v>0</v>
      </c>
      <c r="CB131" s="69">
        <f t="shared" si="324"/>
        <v>0</v>
      </c>
      <c r="CC131" s="69">
        <f t="shared" si="324"/>
        <v>2105403.8817765815</v>
      </c>
    </row>
    <row r="132" spans="1:81" ht="15">
      <c r="A132" s="70" t="s">
        <v>114</v>
      </c>
      <c r="B132" s="71">
        <f t="shared" ref="B132:H132" si="325">B121+B131</f>
        <v>3807233.8893247694</v>
      </c>
      <c r="C132" s="71">
        <f t="shared" si="325"/>
        <v>522950.33428578119</v>
      </c>
      <c r="D132" s="71">
        <f t="shared" si="325"/>
        <v>65160</v>
      </c>
      <c r="E132" s="71">
        <f t="shared" si="325"/>
        <v>0</v>
      </c>
      <c r="F132" s="71">
        <f t="shared" si="325"/>
        <v>0</v>
      </c>
      <c r="G132" s="71">
        <f t="shared" si="325"/>
        <v>0</v>
      </c>
      <c r="H132" s="71">
        <f t="shared" si="325"/>
        <v>0</v>
      </c>
      <c r="I132" s="71">
        <f>I121+I131</f>
        <v>4395344.2236105502</v>
      </c>
      <c r="J132" s="7"/>
      <c r="K132" s="71">
        <f t="shared" ref="K132:Q132" si="326">K121+K131</f>
        <v>4104935.2131983307</v>
      </c>
      <c r="L132" s="71">
        <f t="shared" si="326"/>
        <v>539666.59420013893</v>
      </c>
      <c r="M132" s="71">
        <f t="shared" si="326"/>
        <v>72078.178285749978</v>
      </c>
      <c r="N132" s="71"/>
      <c r="O132" s="71">
        <f t="shared" si="326"/>
        <v>0</v>
      </c>
      <c r="P132" s="71">
        <f t="shared" si="326"/>
        <v>0</v>
      </c>
      <c r="Q132" s="71">
        <f t="shared" si="326"/>
        <v>0</v>
      </c>
      <c r="R132" s="71">
        <f>R121+R131</f>
        <v>4716679.9856842197</v>
      </c>
      <c r="T132" s="71">
        <f t="shared" ref="T132:Z132" si="327">T121+T131</f>
        <v>4999982.9929137006</v>
      </c>
      <c r="U132" s="71">
        <f t="shared" si="327"/>
        <v>702412.7426859031</v>
      </c>
      <c r="V132" s="71">
        <f t="shared" si="327"/>
        <v>64800</v>
      </c>
      <c r="W132" s="71"/>
      <c r="X132" s="71">
        <f t="shared" si="327"/>
        <v>0</v>
      </c>
      <c r="Y132" s="71">
        <f t="shared" si="327"/>
        <v>0</v>
      </c>
      <c r="Z132" s="71">
        <f t="shared" si="327"/>
        <v>0</v>
      </c>
      <c r="AA132" s="71">
        <f>AA121+AA131</f>
        <v>5767195.7355996035</v>
      </c>
      <c r="AC132" s="71">
        <f t="shared" ref="AC132:AI132" si="328">AC121+AC131</f>
        <v>9911597.2321388386</v>
      </c>
      <c r="AD132" s="71">
        <f t="shared" si="328"/>
        <v>1640477.2716345724</v>
      </c>
      <c r="AE132" s="71">
        <f t="shared" si="328"/>
        <v>170640</v>
      </c>
      <c r="AF132" s="71">
        <f t="shared" si="328"/>
        <v>0</v>
      </c>
      <c r="AG132" s="71">
        <f t="shared" si="328"/>
        <v>0</v>
      </c>
      <c r="AH132" s="71">
        <f t="shared" si="328"/>
        <v>0</v>
      </c>
      <c r="AI132" s="71">
        <f t="shared" si="328"/>
        <v>0</v>
      </c>
      <c r="AJ132" s="71">
        <f>AJ121+AJ131</f>
        <v>11722714.50377341</v>
      </c>
      <c r="AL132" s="71">
        <f t="shared" ref="AL132:AR132" si="329">AL121+AL131</f>
        <v>8981431.8565276489</v>
      </c>
      <c r="AM132" s="71">
        <f t="shared" si="329"/>
        <v>1394947.6987887674</v>
      </c>
      <c r="AN132" s="71">
        <f t="shared" si="329"/>
        <v>99720</v>
      </c>
      <c r="AO132" s="71">
        <f t="shared" si="329"/>
        <v>0</v>
      </c>
      <c r="AP132" s="71">
        <f t="shared" si="329"/>
        <v>0</v>
      </c>
      <c r="AQ132" s="71">
        <f t="shared" si="329"/>
        <v>0</v>
      </c>
      <c r="AR132" s="71">
        <f t="shared" si="329"/>
        <v>0</v>
      </c>
      <c r="AS132" s="71">
        <f>AS121+AS131</f>
        <v>10476099.555316415</v>
      </c>
      <c r="AU132" s="71">
        <f t="shared" ref="AU132:BA132" si="330">AU121+AU131</f>
        <v>152322.37885721872</v>
      </c>
      <c r="AV132" s="71">
        <f t="shared" si="330"/>
        <v>115434.55955149858</v>
      </c>
      <c r="AW132" s="71">
        <f t="shared" si="330"/>
        <v>0</v>
      </c>
      <c r="AX132" s="71">
        <f t="shared" si="330"/>
        <v>0</v>
      </c>
      <c r="AY132" s="71">
        <f t="shared" si="330"/>
        <v>0</v>
      </c>
      <c r="AZ132" s="71">
        <f t="shared" si="330"/>
        <v>0</v>
      </c>
      <c r="BA132" s="71">
        <f t="shared" si="330"/>
        <v>0</v>
      </c>
      <c r="BB132" s="71">
        <f>BB121+BB131</f>
        <v>267756.93840871728</v>
      </c>
      <c r="BD132" s="71">
        <f t="shared" ref="BD132:BJ132" si="331">BD121+BD131</f>
        <v>2161509.2925716876</v>
      </c>
      <c r="BE132" s="71">
        <f t="shared" si="331"/>
        <v>189600</v>
      </c>
      <c r="BF132" s="71">
        <f t="shared" si="331"/>
        <v>30240</v>
      </c>
      <c r="BG132" s="71">
        <f t="shared" si="331"/>
        <v>0</v>
      </c>
      <c r="BH132" s="71">
        <f t="shared" si="331"/>
        <v>0</v>
      </c>
      <c r="BI132" s="71">
        <f t="shared" si="331"/>
        <v>0</v>
      </c>
      <c r="BJ132" s="71">
        <f t="shared" si="331"/>
        <v>0</v>
      </c>
      <c r="BK132" s="71">
        <f>BK121+BK131</f>
        <v>2381349.2925716876</v>
      </c>
      <c r="BM132" s="71">
        <f t="shared" ref="BM132:BS132" si="332">BM121+BM131</f>
        <v>297340.31811118731</v>
      </c>
      <c r="BN132" s="71">
        <f t="shared" si="332"/>
        <v>0</v>
      </c>
      <c r="BO132" s="71">
        <f t="shared" si="332"/>
        <v>19075</v>
      </c>
      <c r="BP132" s="71">
        <f t="shared" si="332"/>
        <v>0</v>
      </c>
      <c r="BQ132" s="71">
        <f t="shared" si="332"/>
        <v>0</v>
      </c>
      <c r="BR132" s="71">
        <f t="shared" si="332"/>
        <v>0</v>
      </c>
      <c r="BS132" s="71">
        <f t="shared" si="332"/>
        <v>0</v>
      </c>
      <c r="BT132" s="71">
        <f>BT121+BT131</f>
        <v>316415.31811118731</v>
      </c>
      <c r="BV132" s="71">
        <f t="shared" ref="BV132:CB132" si="333">BV121+BV131</f>
        <v>34416353.17364338</v>
      </c>
      <c r="BW132" s="71">
        <f t="shared" si="333"/>
        <v>5105489.2011466613</v>
      </c>
      <c r="BX132" s="71">
        <f t="shared" si="333"/>
        <v>521713.17828574998</v>
      </c>
      <c r="BY132" s="71">
        <f t="shared" si="333"/>
        <v>0</v>
      </c>
      <c r="BZ132" s="71">
        <f t="shared" si="333"/>
        <v>0</v>
      </c>
      <c r="CA132" s="71">
        <f t="shared" si="333"/>
        <v>0</v>
      </c>
      <c r="CB132" s="71">
        <f t="shared" si="333"/>
        <v>0</v>
      </c>
      <c r="CC132" s="71">
        <f>CC121+CC131</f>
        <v>40043555.553075783</v>
      </c>
    </row>
    <row r="133" spans="1:81">
      <c r="A133" s="29" t="s">
        <v>115</v>
      </c>
      <c r="B133" s="52">
        <f>B132*0.335</f>
        <v>1275423.3529237979</v>
      </c>
      <c r="C133" s="52">
        <f t="shared" ref="C133:H133" si="334">C132*0.335</f>
        <v>175188.3619857367</v>
      </c>
      <c r="D133" s="52">
        <f t="shared" si="334"/>
        <v>21828.600000000002</v>
      </c>
      <c r="E133" s="52">
        <f t="shared" si="334"/>
        <v>0</v>
      </c>
      <c r="F133" s="52">
        <f t="shared" si="334"/>
        <v>0</v>
      </c>
      <c r="G133" s="52">
        <f t="shared" si="334"/>
        <v>0</v>
      </c>
      <c r="H133" s="52">
        <f t="shared" si="334"/>
        <v>0</v>
      </c>
      <c r="I133" s="11">
        <f>SUM(B133:H133)</f>
        <v>1472440.3149095348</v>
      </c>
      <c r="J133" s="72"/>
      <c r="K133" s="52">
        <f>K132*0.335</f>
        <v>1375153.2964214408</v>
      </c>
      <c r="L133" s="52">
        <f t="shared" ref="L133:Q133" si="335">L132*0.335</f>
        <v>180788.30905704654</v>
      </c>
      <c r="M133" s="52">
        <f t="shared" si="335"/>
        <v>24146.189725726243</v>
      </c>
      <c r="N133" s="52"/>
      <c r="O133" s="52">
        <f t="shared" si="335"/>
        <v>0</v>
      </c>
      <c r="P133" s="52">
        <f t="shared" si="335"/>
        <v>0</v>
      </c>
      <c r="Q133" s="52">
        <f t="shared" si="335"/>
        <v>0</v>
      </c>
      <c r="R133" s="11">
        <f>SUM(K133:Q133)</f>
        <v>1580087.7952042136</v>
      </c>
      <c r="T133" s="52">
        <f>T132*0.335-(T107*0.335)+(T107*0.125)</f>
        <v>1627495.6621676511</v>
      </c>
      <c r="U133" s="52">
        <f t="shared" ref="U133:Z133" si="336">U132*0.335</f>
        <v>235308.26879977755</v>
      </c>
      <c r="V133" s="52">
        <f t="shared" si="336"/>
        <v>21708</v>
      </c>
      <c r="W133" s="52">
        <f t="shared" si="336"/>
        <v>0</v>
      </c>
      <c r="X133" s="52">
        <f t="shared" si="336"/>
        <v>0</v>
      </c>
      <c r="Y133" s="52">
        <f t="shared" si="336"/>
        <v>0</v>
      </c>
      <c r="Z133" s="52">
        <f t="shared" si="336"/>
        <v>0</v>
      </c>
      <c r="AA133" s="11">
        <f>SUM(T133:Z133)</f>
        <v>1884511.9309674287</v>
      </c>
      <c r="AC133" s="52">
        <f>AC132*0.335</f>
        <v>3320385.0727665112</v>
      </c>
      <c r="AD133" s="52">
        <f t="shared" ref="AD133:AI133" si="337">AD132*0.335</f>
        <v>549559.88599758176</v>
      </c>
      <c r="AE133" s="52">
        <f t="shared" si="337"/>
        <v>57164.4</v>
      </c>
      <c r="AF133" s="52"/>
      <c r="AG133" s="52">
        <f t="shared" si="337"/>
        <v>0</v>
      </c>
      <c r="AH133" s="52">
        <f t="shared" si="337"/>
        <v>0</v>
      </c>
      <c r="AI133" s="52">
        <f t="shared" si="337"/>
        <v>0</v>
      </c>
      <c r="AJ133" s="11">
        <f>SUM(AC133:AI133)</f>
        <v>3927109.3587640929</v>
      </c>
      <c r="AL133" s="52">
        <f>AL132*0.335</f>
        <v>3008779.6719367625</v>
      </c>
      <c r="AM133" s="52">
        <f t="shared" ref="AM133:AR133" si="338">AM132*0.335</f>
        <v>467307.47909423715</v>
      </c>
      <c r="AN133" s="52">
        <f t="shared" si="338"/>
        <v>33406.200000000004</v>
      </c>
      <c r="AO133" s="52"/>
      <c r="AP133" s="52">
        <f t="shared" si="338"/>
        <v>0</v>
      </c>
      <c r="AQ133" s="52">
        <f t="shared" si="338"/>
        <v>0</v>
      </c>
      <c r="AR133" s="52">
        <f t="shared" si="338"/>
        <v>0</v>
      </c>
      <c r="AS133" s="11">
        <f>SUM(AL133:AR133)</f>
        <v>3509493.3510309998</v>
      </c>
      <c r="AU133" s="52">
        <f>AU132*0.335</f>
        <v>51027.996917168275</v>
      </c>
      <c r="AV133" s="52">
        <f t="shared" ref="AV133:BA133" si="339">AV132*0.335</f>
        <v>38670.577449752025</v>
      </c>
      <c r="AW133" s="52">
        <f t="shared" si="339"/>
        <v>0</v>
      </c>
      <c r="AX133" s="52"/>
      <c r="AY133" s="52">
        <f t="shared" si="339"/>
        <v>0</v>
      </c>
      <c r="AZ133" s="52">
        <f t="shared" si="339"/>
        <v>0</v>
      </c>
      <c r="BA133" s="52">
        <f t="shared" si="339"/>
        <v>0</v>
      </c>
      <c r="BB133" s="11">
        <f>SUM(AU133:BA133)</f>
        <v>89698.574366920308</v>
      </c>
      <c r="BD133" s="52">
        <f>BD132*0.335</f>
        <v>724105.61301151535</v>
      </c>
      <c r="BE133" s="52">
        <f t="shared" ref="BE133:BJ133" si="340">BE132*0.335</f>
        <v>63516.000000000007</v>
      </c>
      <c r="BF133" s="52">
        <f t="shared" si="340"/>
        <v>10130.400000000001</v>
      </c>
      <c r="BG133" s="52">
        <f t="shared" si="340"/>
        <v>0</v>
      </c>
      <c r="BH133" s="52">
        <f>BH132*0.335</f>
        <v>0</v>
      </c>
      <c r="BI133" s="52">
        <f t="shared" si="340"/>
        <v>0</v>
      </c>
      <c r="BJ133" s="52">
        <f t="shared" si="340"/>
        <v>0</v>
      </c>
      <c r="BK133" s="11">
        <f>SUM(BD133:BJ133)</f>
        <v>797752.01301151537</v>
      </c>
      <c r="BM133" s="52">
        <f>BM132*0.335</f>
        <v>99609.00656724775</v>
      </c>
      <c r="BN133" s="52">
        <f t="shared" ref="BN133:BO133" si="341">BN132*0.335</f>
        <v>0</v>
      </c>
      <c r="BO133" s="52">
        <f t="shared" si="341"/>
        <v>6390.125</v>
      </c>
      <c r="BP133" s="52"/>
      <c r="BQ133" s="52">
        <f t="shared" ref="BQ133:BS133" si="342">BQ132*0.335</f>
        <v>0</v>
      </c>
      <c r="BR133" s="52">
        <f t="shared" si="342"/>
        <v>0</v>
      </c>
      <c r="BS133" s="52">
        <f t="shared" si="342"/>
        <v>0</v>
      </c>
      <c r="BT133" s="11">
        <f>SUM(BM133:BS133)</f>
        <v>105999.13156724775</v>
      </c>
      <c r="BV133" s="5">
        <f t="shared" ref="BV133:CA140" si="343">B133+K133+T133+AC133+AL133+AU133+BD133+BM133</f>
        <v>11481979.672712091</v>
      </c>
      <c r="BW133" s="5">
        <f t="shared" si="343"/>
        <v>1710338.8823841317</v>
      </c>
      <c r="BX133" s="5">
        <f t="shared" si="343"/>
        <v>174773.91472572624</v>
      </c>
      <c r="BY133" s="5">
        <f t="shared" si="343"/>
        <v>0</v>
      </c>
      <c r="BZ133" s="5">
        <f t="shared" si="343"/>
        <v>0</v>
      </c>
      <c r="CA133" s="5">
        <f t="shared" si="343"/>
        <v>0</v>
      </c>
      <c r="CB133" s="52">
        <f t="shared" ref="CB133" si="344">CB132*0.335</f>
        <v>0</v>
      </c>
      <c r="CC133" s="11">
        <f>SUM(BV133:CB133)</f>
        <v>13367092.46982195</v>
      </c>
    </row>
    <row r="134" spans="1:81">
      <c r="A134" s="29" t="s">
        <v>116</v>
      </c>
      <c r="B134" s="11">
        <f>B132*0.1575</f>
        <v>599639.33756865119</v>
      </c>
      <c r="C134" s="11">
        <f t="shared" ref="C134:G134" si="345">C132*0.1575</f>
        <v>82364.677650010533</v>
      </c>
      <c r="D134" s="11">
        <f t="shared" si="345"/>
        <v>10262.700000000001</v>
      </c>
      <c r="E134" s="11">
        <f t="shared" si="345"/>
        <v>0</v>
      </c>
      <c r="F134" s="11">
        <f t="shared" si="345"/>
        <v>0</v>
      </c>
      <c r="G134" s="11">
        <f t="shared" si="345"/>
        <v>0</v>
      </c>
      <c r="H134" s="11">
        <f t="shared" ref="H134" si="346">((6750*H65)*0.8)+((175*H65)*0.825)+((70*H65)*0.825)+(H132*0.015)+(H132*0.031)</f>
        <v>0</v>
      </c>
      <c r="I134" s="11">
        <f>SUM(B134:H134)</f>
        <v>692266.7152186617</v>
      </c>
      <c r="J134" s="72"/>
      <c r="K134" s="11">
        <f>K132*0.1575</f>
        <v>646527.29607873713</v>
      </c>
      <c r="L134" s="11">
        <f t="shared" ref="L134:P134" si="347">L132*0.1575</f>
        <v>84997.488586521882</v>
      </c>
      <c r="M134" s="11">
        <f t="shared" si="347"/>
        <v>11352.313080005622</v>
      </c>
      <c r="N134" s="11">
        <f t="shared" si="347"/>
        <v>0</v>
      </c>
      <c r="O134" s="11">
        <f t="shared" si="347"/>
        <v>0</v>
      </c>
      <c r="P134" s="11">
        <f t="shared" si="347"/>
        <v>0</v>
      </c>
      <c r="Q134" s="11">
        <f t="shared" ref="Q134" si="348">((6750*Q65)*0.8)+((175*Q65)*0.825)+((70*Q65)*0.825)+(Q132*0.015)+(Q132*0.031)</f>
        <v>0</v>
      </c>
      <c r="R134" s="11">
        <f>SUM(K134:Q134)</f>
        <v>742877.09774526465</v>
      </c>
      <c r="T134" s="11">
        <f>T132*0.1575</f>
        <v>787497.32138390781</v>
      </c>
      <c r="U134" s="11">
        <f t="shared" ref="U134:Y134" si="349">U132*0.1575</f>
        <v>110630.00697302974</v>
      </c>
      <c r="V134" s="11">
        <f t="shared" si="349"/>
        <v>10206</v>
      </c>
      <c r="W134" s="11">
        <f t="shared" si="349"/>
        <v>0</v>
      </c>
      <c r="X134" s="11">
        <f t="shared" si="349"/>
        <v>0</v>
      </c>
      <c r="Y134" s="11">
        <f t="shared" si="349"/>
        <v>0</v>
      </c>
      <c r="Z134" s="11">
        <f t="shared" ref="Z134" si="350">((6750*Z65)*0.8)+((175*Z65)*0.825)+((70*Z65)*0.825)+(Z132*0.015)+(Z132*0.031)</f>
        <v>0</v>
      </c>
      <c r="AA134" s="11">
        <f>SUM(T134:Z134)</f>
        <v>908333.32835693751</v>
      </c>
      <c r="AC134" s="11">
        <f>AC132*0.1575</f>
        <v>1561076.5640618671</v>
      </c>
      <c r="AD134" s="11">
        <f t="shared" ref="AD134:AH134" si="351">AD132*0.1575</f>
        <v>258375.17028244515</v>
      </c>
      <c r="AE134" s="11">
        <f t="shared" si="351"/>
        <v>26875.8</v>
      </c>
      <c r="AF134" s="11">
        <f t="shared" si="351"/>
        <v>0</v>
      </c>
      <c r="AG134" s="11">
        <f t="shared" si="351"/>
        <v>0</v>
      </c>
      <c r="AH134" s="11">
        <f t="shared" si="351"/>
        <v>0</v>
      </c>
      <c r="AI134" s="11">
        <f t="shared" ref="AI134" si="352">((6750*AI65)*0.8)+((175*AI65)*0.825)+((70*AI65)*0.825)+(AI132*0.015)+(AI132*0.031)</f>
        <v>0</v>
      </c>
      <c r="AJ134" s="11">
        <f>SUM(AC134:AI134)</f>
        <v>1846327.5343443123</v>
      </c>
      <c r="AL134" s="11">
        <f>AL132*0.1575</f>
        <v>1414575.5174031048</v>
      </c>
      <c r="AM134" s="11">
        <f t="shared" ref="AM134:AQ134" si="353">AM132*0.1575</f>
        <v>219704.26255923088</v>
      </c>
      <c r="AN134" s="11">
        <f t="shared" si="353"/>
        <v>15705.9</v>
      </c>
      <c r="AO134" s="11">
        <f t="shared" si="353"/>
        <v>0</v>
      </c>
      <c r="AP134" s="11">
        <f t="shared" si="353"/>
        <v>0</v>
      </c>
      <c r="AQ134" s="11">
        <f t="shared" si="353"/>
        <v>0</v>
      </c>
      <c r="AR134" s="11">
        <f t="shared" ref="AR134" si="354">((6750*AR65)*0.8)+((175*AR65)*0.825)+((70*AR65)*0.825)+(AR132*0.015)+(AR132*0.031)</f>
        <v>0</v>
      </c>
      <c r="AS134" s="11">
        <f>SUM(AL134:AR134)</f>
        <v>1649985.6799623356</v>
      </c>
      <c r="AU134" s="11">
        <f>AU132*0.1575</f>
        <v>23990.77467001195</v>
      </c>
      <c r="AV134" s="11">
        <f t="shared" ref="AV134:AZ134" si="355">AV132*0.1575</f>
        <v>18180.943129361025</v>
      </c>
      <c r="AW134" s="11">
        <f t="shared" si="355"/>
        <v>0</v>
      </c>
      <c r="AX134" s="11">
        <f t="shared" si="355"/>
        <v>0</v>
      </c>
      <c r="AY134" s="11">
        <f t="shared" si="355"/>
        <v>0</v>
      </c>
      <c r="AZ134" s="11">
        <f t="shared" si="355"/>
        <v>0</v>
      </c>
      <c r="BA134" s="11">
        <f t="shared" ref="BA134" si="356">((6750*BA65)*0.85)+((175*BA65)*0.85)+((70*BA65)*0.85)+(BA132*0.015)+(BA132*0.031)</f>
        <v>0</v>
      </c>
      <c r="BB134" s="11">
        <f>SUM(AU134:BA134)</f>
        <v>42171.717799372971</v>
      </c>
      <c r="BD134" s="11">
        <f>BD132*0.1575</f>
        <v>340437.71358004079</v>
      </c>
      <c r="BE134" s="11">
        <f t="shared" ref="BE134:BI134" si="357">BE132*0.1575</f>
        <v>29862</v>
      </c>
      <c r="BF134" s="11">
        <f t="shared" si="357"/>
        <v>4762.8</v>
      </c>
      <c r="BG134" s="11">
        <f t="shared" si="357"/>
        <v>0</v>
      </c>
      <c r="BH134" s="11">
        <f t="shared" si="357"/>
        <v>0</v>
      </c>
      <c r="BI134" s="11">
        <f t="shared" si="357"/>
        <v>0</v>
      </c>
      <c r="BJ134" s="11">
        <f t="shared" ref="BJ134" si="358">((6750*BJ65)*0.8)+((175*BJ65)*0.825)+((70*BJ65)*0.825)+(BJ132*0.015)+(BJ132*0.031)</f>
        <v>0</v>
      </c>
      <c r="BK134" s="11">
        <f>SUM(BD134:BJ134)</f>
        <v>375062.51358004077</v>
      </c>
      <c r="BM134" s="11">
        <f>BM132*0.1575</f>
        <v>46831.100102511999</v>
      </c>
      <c r="BN134" s="11">
        <f t="shared" ref="BN134:BR134" si="359">BN132*0.1575</f>
        <v>0</v>
      </c>
      <c r="BO134" s="11">
        <f t="shared" si="359"/>
        <v>3004.3125</v>
      </c>
      <c r="BP134" s="11">
        <f t="shared" si="359"/>
        <v>0</v>
      </c>
      <c r="BQ134" s="11">
        <f t="shared" si="359"/>
        <v>0</v>
      </c>
      <c r="BR134" s="11">
        <f t="shared" si="359"/>
        <v>0</v>
      </c>
      <c r="BS134" s="11">
        <f t="shared" ref="BS134" si="360">((6850*BS65)*0.85)+((175*BS65)*0.85)+((70*BS65)*0.85)+(BS132*0.015)+(BS132*0.031)</f>
        <v>0</v>
      </c>
      <c r="BT134" s="11">
        <f>SUM(BM134:BS134)</f>
        <v>49835.412602511999</v>
      </c>
      <c r="BV134" s="5">
        <f t="shared" si="343"/>
        <v>5420575.6248488342</v>
      </c>
      <c r="BW134" s="5">
        <f t="shared" si="343"/>
        <v>804114.54918059928</v>
      </c>
      <c r="BX134" s="5">
        <f t="shared" si="343"/>
        <v>82169.825580005621</v>
      </c>
      <c r="BY134" s="5">
        <f t="shared" si="343"/>
        <v>0</v>
      </c>
      <c r="BZ134" s="5">
        <f t="shared" si="343"/>
        <v>0</v>
      </c>
      <c r="CA134" s="5">
        <f t="shared" si="343"/>
        <v>0</v>
      </c>
      <c r="CB134" s="11">
        <f t="shared" ref="CB134" si="361">((6850*CB65)*0.85)+((175*CB65)*0.85)+((70*CB65)*0.85)+(CB132*0.015)+(CB132*0.031)</f>
        <v>0</v>
      </c>
      <c r="CC134" s="11">
        <f>SUM(BV134:CB134)</f>
        <v>6306859.9996094387</v>
      </c>
    </row>
    <row r="135" spans="1:81">
      <c r="A135" s="29" t="s">
        <v>117</v>
      </c>
      <c r="B135" s="11">
        <f>((2500*B39)+(2000*B40)+(1750*B41)+(1750*B42)+(1750*B43)+(1750*B44)+(1750*B45)+(1100*B46)+(1000*B47)+(500*B48)+(500*B49)+(500*B50)+(500*B51)+(500*B52)+(500*B53)+(1100*B54)+(1000*B55)+(1100*B56)+(1100*B57)+(1100*B58)+(500*B59)+(500*B60)+(1100*B36))*0.99+5000</f>
        <v>69548</v>
      </c>
      <c r="C135" s="11">
        <f t="shared" ref="C135:D135" si="362">((2500*C39)+(2000*C40)+(1750*C41)+(1750*C42)+(1750*C43)+(1750*C44)+(1750*C45)+(1100*C46)+(1000*C47)+(500*C48)+(500*C49)+(500*C50)+(500*C51)+(500*C52)+(500*C53)+(1100*C54)+(1000*C55)+(1100*C56)+(1100*C57)+(1100*C58)+(500*C59)+(500*C60)+(1100*C36))*0.99</f>
        <v>8514</v>
      </c>
      <c r="D135" s="11">
        <f t="shared" si="362"/>
        <v>990</v>
      </c>
      <c r="E135" s="11">
        <f t="shared" ref="E135:H135" si="363">((2000*E39)+(1750*E40)+(1500*E41)+(1500*E42)+(1500*E43)+(1500*E44)+(1500*E45)+(1000*E46)+(1000*E47)+(500*E48)+(500*E49)+(500*E50)+(500*E51)+(500*E52)+(500*E53)+(1000*E54)+(1000*E55)+(1000*E56)+(1000*E57)+(1000*E58)+(500*E59)+(500*E60)+(1000*E36))*0.99</f>
        <v>0</v>
      </c>
      <c r="F135" s="11">
        <f t="shared" si="363"/>
        <v>0</v>
      </c>
      <c r="G135" s="11">
        <f t="shared" si="363"/>
        <v>0</v>
      </c>
      <c r="H135" s="11">
        <f t="shared" si="363"/>
        <v>0</v>
      </c>
      <c r="I135" s="11">
        <f t="shared" ref="I135:I140" si="364">SUM(B135:H135)</f>
        <v>79052</v>
      </c>
      <c r="K135" s="11">
        <f>((2500*K39)+(2000*K40)+(1750*K41)+(1750*K42)+(1750*K43)+(1750*K44)+(1750*K45)+(1100*K46)+(1000*K47)+(500*K48)+(500*K49)+(500*K50)+(500*K51)+(500*K52)+(500*K53)+(1100*K54)+(1000*K55)+(1100*K56)+(1100*K57)+(1100*K58)+(500*K59)+(500*K60)+(1100*K36))*0.99+5000</f>
        <v>73805</v>
      </c>
      <c r="L135" s="11">
        <f t="shared" ref="L135:M135" si="365">((2500*L39)+(2000*L40)+(1750*L41)+(1750*L42)+(1750*L43)+(1750*L44)+(1750*L45)+(1100*L46)+(1000*L47)+(500*L48)+(500*L49)+(500*L50)+(500*L51)+(500*L52)+(500*L53)+(1100*L54)+(1000*L55)+(1100*L56)+(1100*L57)+(1100*L58)+(500*L59)+(500*L60)+(1100*L36))*0.99</f>
        <v>8514</v>
      </c>
      <c r="M135" s="11">
        <f t="shared" si="365"/>
        <v>990</v>
      </c>
      <c r="N135" s="11">
        <f t="shared" ref="N135:Q135" si="366">((2000*N39)+(1750*N40)+(1500*N41)+(1500*N42)+(1500*N43)+(1500*N44)+(1500*N45)+(1000*N46)+(1000*N47)+(500*N48)+(500*N49)+(500*N50)+(500*N51)+(500*N52)+(500*N53)+(1000*N54)+(1000*N55)+(1000*N56)+(1000*N57)+(1000*N58)+(500*N59)+(500*N60)+(1000*N36))*0.99</f>
        <v>0</v>
      </c>
      <c r="O135" s="11">
        <f t="shared" si="366"/>
        <v>0</v>
      </c>
      <c r="P135" s="11">
        <f t="shared" si="366"/>
        <v>0</v>
      </c>
      <c r="Q135" s="11">
        <f t="shared" si="366"/>
        <v>0</v>
      </c>
      <c r="R135" s="11">
        <f t="shared" ref="R135:R140" si="367">SUM(K135:Q135)</f>
        <v>83309</v>
      </c>
      <c r="T135" s="11">
        <f>((2500*T39)+(2000*T40)+(1750*T41)+(1750*T42)+(1750*T43)+(1750*T44)+(1750*T45)+(1100*T46)+(1000*T47)+(500*T48)+(500*T49)+(500*T50)+(500*T51)+(500*T52)+(500*T53)+(1100*T54)+(1000*T55)+(1100*T56)+(1100*T57)+(1100*T58)+(500*T59)+(500*T60)+(1100*T36))*0.99+5000</f>
        <v>86873</v>
      </c>
      <c r="U135" s="11">
        <f t="shared" ref="U135:V135" si="368">((2500*U39)+(2000*U40)+(1750*U41)+(1750*U42)+(1750*U43)+(1750*U44)+(1750*U45)+(1100*U46)+(1000*U47)+(500*U48)+(500*U49)+(500*U50)+(500*U51)+(500*U52)+(500*U53)+(1100*U54)+(1000*U55)+(1100*U56)+(1100*U57)+(1100*U58)+(500*U59)+(500*U60)+(1100*U36))*0.99</f>
        <v>11447.37</v>
      </c>
      <c r="V135" s="11">
        <f t="shared" si="368"/>
        <v>990</v>
      </c>
      <c r="W135" s="11">
        <f t="shared" ref="W135:Z135" si="369">((2000*W39)+(1750*W40)+(1500*W41)+(1500*W42)+(1500*W43)+(1500*W44)+(1500*W45)+(1000*W46)+(1000*W47)+(500*W48)+(500*W49)+(500*W50)+(500*W51)+(500*W52)+(500*W53)+(1000*W54)+(1000*W55)+(1000*W56)+(1000*W57)+(1000*W58)+(500*W59)+(500*W60)+(1000*W36))</f>
        <v>0</v>
      </c>
      <c r="X135" s="11">
        <f t="shared" si="369"/>
        <v>0</v>
      </c>
      <c r="Y135" s="11">
        <f t="shared" si="369"/>
        <v>0</v>
      </c>
      <c r="Z135" s="11">
        <f t="shared" si="369"/>
        <v>0</v>
      </c>
      <c r="AA135" s="11">
        <f t="shared" ref="AA135:AA140" si="370">SUM(T135:Z135)</f>
        <v>99310.37</v>
      </c>
      <c r="AC135" s="11">
        <f>((2500*AC39)+(2000*AC40)+(1750*AC41)+(1750*AC42)+(1750*AC43)+(1750*AC44)+(1750*AC45)+(1100*AC46)+(1000*AC47)+(500*AC48)+(500*AC49)+(500*AC50)+(500*AC51)+(500*AC52)+(500*AC53)+(1100*AC54)+(1000*AC55)+(1100*AC56)+(1100*AC57)+(1100*AC58)+(500*AC59)+(500*AC60)+(1100*AC36))*0.99+10000</f>
        <v>168053.5</v>
      </c>
      <c r="AD135" s="11">
        <f t="shared" ref="AD135:AE135" si="371">((2500*AD39)+(2000*AD40)+(1750*AD41)+(1750*AD42)+(1750*AD43)+(1750*AD44)+(1750*AD45)+(1100*AD46)+(1000*AD47)+(500*AD48)+(500*AD49)+(500*AD50)+(500*AD51)+(500*AD52)+(500*AD53)+(1100*AD54)+(1000*AD55)+(1100*AD56)+(1100*AD57)+(1100*AD58)+(500*AD59)+(500*AD60)+(1100*AD36))*0.99</f>
        <v>24849</v>
      </c>
      <c r="AE135" s="11">
        <f t="shared" si="371"/>
        <v>2970</v>
      </c>
      <c r="AF135" s="11">
        <f t="shared" ref="AF135:AI135" si="372">((2000*AF39)+(1750*AF40)+(1500*AF41)+(1500*AF42)+(1500*AF43)+(1500*AF44)+(1500*AF45)+(1000*AF46)+(1000*AF47)+(500*AF48)+(500*AF49)+(500*AF50)+(500*AF51)+(500*AF52)+(500*AF53)+(1000*AF54)+(1000*AF55)+(1000*AF56)+(1000*AF57)+(1000*AF58)+(500*AF59)+(500*AF60)+(1000*AF36))*0.99</f>
        <v>0</v>
      </c>
      <c r="AG135" s="11">
        <f t="shared" si="372"/>
        <v>0</v>
      </c>
      <c r="AH135" s="11">
        <f t="shared" si="372"/>
        <v>0</v>
      </c>
      <c r="AI135" s="11">
        <f t="shared" si="372"/>
        <v>0</v>
      </c>
      <c r="AJ135" s="11">
        <f t="shared" ref="AJ135:AJ140" si="373">SUM(AC135:AI135)</f>
        <v>195872.5</v>
      </c>
      <c r="AL135" s="11">
        <f>((2500*AL39)+(2000*AL40)+(1750*AL41)+(1750*AL42)+(1750*AL43)+(1750*AL44)+(1750*AL45)+(1100*AL46)+(1000*AL47)+(500*AL48)+(500*AL49)+(500*AL50)+(500*AL51)+(500*AL52)+(500*AL53)+(1100*AL54)+(1000*AL55)+(1100*AL56)+(1100*AL57)+(1100*AL58)+(500*AL59)+(500*AL60)+(1100*AL36))*0.99</f>
        <v>147510</v>
      </c>
      <c r="AM135" s="11">
        <f t="shared" ref="AM135:AN135" si="374">((2500*AM39)+(2000*AM40)+(1750*AM41)+(1750*AM42)+(1750*AM43)+(1750*AM44)+(1750*AM45)+(1100*AM46)+(1000*AM47)+(500*AM48)+(500*AM49)+(500*AM50)+(500*AM51)+(500*AM52)+(500*AM53)+(1100*AM54)+(1000*AM55)+(1100*AM56)+(1100*AM57)+(1100*AM58)+(500*AM59)+(500*AM60)+(1100*AM36))*0.99</f>
        <v>21730.5</v>
      </c>
      <c r="AN135" s="11">
        <f t="shared" si="374"/>
        <v>1980</v>
      </c>
      <c r="AO135" s="11">
        <f t="shared" ref="AO135:AR135" si="375">((2000*AO39)+(1750*AO40)+(1500*AO41)+(1500*AO42)+(1500*AO43)+(1500*AO44)+(1500*AO45)+(1000*AO46)+(1000*AO47)+(500*AO48)+(500*AO49)+(500*AO50)+(500*AO51)+(500*AO52)+(500*AO53)+(1000*AO54)+(1000*AO55)+(1000*AO56)+(1000*AO57)+(1000*AO58)+(500*AO59)+(500*AO60)+(1000*AO36))*0.99</f>
        <v>0</v>
      </c>
      <c r="AP135" s="11">
        <f t="shared" si="375"/>
        <v>0</v>
      </c>
      <c r="AQ135" s="11">
        <f t="shared" si="375"/>
        <v>0</v>
      </c>
      <c r="AR135" s="11">
        <f t="shared" si="375"/>
        <v>0</v>
      </c>
      <c r="AS135" s="11">
        <f t="shared" ref="AS135:AS140" si="376">SUM(AL135:AR135)</f>
        <v>171220.5</v>
      </c>
      <c r="AU135" s="11">
        <f>((2500*AU39)+(2000*AU40)+(1750*AU41)+(1750*AU42)+(1750*AU43)+(1750*AU44)+(1750*AU45)+(1100*AU46)+(1000*AU47)+(500*AU48)+(500*AU49)+(500*AU50)+(500*AU51)+(500*AU52)+(500*AU53)+(1100*AU54)+(1000*AU55)+(1100*AU56)+(1100*AU57)+(1100*AU58)+(500*AU59)+(500*AU60)+(1100*AU36))*0.99</f>
        <v>2722.5</v>
      </c>
      <c r="AV135" s="11">
        <f t="shared" ref="AV135:AW135" si="377">((2500*AV39)+(2000*AV40)+(1750*AV41)+(1750*AV42)+(1750*AV43)+(1750*AV44)+(1750*AV45)+(1100*AV46)+(1000*AV47)+(500*AV48)+(500*AV49)+(500*AV50)+(500*AV51)+(500*AV52)+(500*AV53)+(1100*AV54)+(1000*AV55)+(1100*AV56)+(1100*AV57)+(1100*AV58)+(500*AV59)+(500*AV60)+(1100*AV36))*0.99</f>
        <v>1584</v>
      </c>
      <c r="AW135" s="11">
        <f t="shared" si="377"/>
        <v>0</v>
      </c>
      <c r="AX135" s="11">
        <f t="shared" ref="AX135:AY135" si="378">((2000*AX39)+(1750*AX40)+(1500*AX41)+(1500*AX42)+(1500*AX43)+(1500*AX44)+(1500*AX45)+(1000*AX46)+(1000*AX47)+(500*AX48)+(500*AX49)+(500*AX50)+(500*AX51)+(500*AX52)+(500*AX53)+(1000*AX54)+(1000*AX55)+(1000*AX56)+(1000*AX57)+(1000*AX58)+(500*AX59)+(500*AX60)+(1000*AX36))</f>
        <v>0</v>
      </c>
      <c r="AY135" s="11">
        <f t="shared" si="378"/>
        <v>0</v>
      </c>
      <c r="AZ135" s="11">
        <f t="shared" ref="AZ135:BA135" si="379">((2000*AZ39)+(1750*AZ40)+(1500*AZ41)+(1500*AZ42)+(1500*AZ43)+(1500*AZ44)+(1500*AZ45)+(1000*AZ46)+(1000*AZ47)+(500*AZ48)+(500*AZ49)+(500*AZ50)+(500*AZ51)+(500*AZ52)+(500*AZ53)+(1000*AZ54)+(1000*AZ55)+(1000*AZ56)+(1000*AZ57)+(1000*AZ58)+(500*AZ59)+(500*AZ60)+(1000*AZ36))*0.99</f>
        <v>0</v>
      </c>
      <c r="BA135" s="11">
        <f t="shared" si="379"/>
        <v>0</v>
      </c>
      <c r="BB135" s="11">
        <f t="shared" ref="BB135:BB140" si="380">SUM(AU135:BA135)</f>
        <v>4306.5</v>
      </c>
      <c r="BD135" s="11">
        <f>((2500*BD39)+(2000*BD40)+(1750*BD41)+(1750*BD42)+(1750*BD43)+(1750*BD44)+(1750*BD45)+(1100*BD46)+(1000*BD47)+(500*BD48)+(500*BD49)+(500*BD50)+(500*BD51)+(500*BD52)+(500*BD53)+(1100*BD54)+(1000*BD55)+(1100*BD56)+(1100*BD57)+(1100*BD58)+(500*BD59)+(500*BD60)+(1100*BD36))*0.8</f>
        <v>30760</v>
      </c>
      <c r="BE135" s="11">
        <f>((2500*BE39)+(2000*BE40)+(1750*BE41)+(1750*BE42)+(1750*BE43)+(1750*BE44)+(1750*BE45)+(1100*BE46)+(1000*BE47)+(500*BE48)+(500*BE49)+(500*BE50)+(500*BE51)+(500*BE52)+(500*BE53)+(1100*BE54)+(1000*BE55)+(1100*BE56)+(1100*BE57)+(1100*BE58)+(500*BE59)+(500*BE60)+(1100*BE36))</f>
        <v>3200</v>
      </c>
      <c r="BF135" s="11">
        <f t="shared" ref="BF135" si="381">((2500*BF39)+(2000*BF40)+(1750*BF41)+(1750*BF42)+(1750*BF43)+(1750*BF44)+(1750*BF45)+(1100*BF46)+(1000*BF47)+(500*BF48)+(500*BF49)+(500*BF50)+(500*BF51)+(500*BF52)+(500*BF53)+(1100*BF54)+(1000*BF55)+(1100*BF56)+(1100*BF57)+(1100*BF58)+(500*BF59)+(500*BF60)+(1100*BF36))*0.99</f>
        <v>495</v>
      </c>
      <c r="BG135" s="11">
        <v>0</v>
      </c>
      <c r="BH135" s="11"/>
      <c r="BI135" s="11">
        <f t="shared" ref="BI135" si="382">((2000*BI39)+(1750*BI40)+(1500*BI41)+(1500*BI42)+(1500*BI43)+(1500*BI44)+(1500*BI45)+(1000*BI46)+(1000*BI47)+(500*BI48)+(500*BI49)+(500*BI50)+(500*BI51)+(500*BI52)+(500*BI53)+(1000*BI54)+(1000*BI55)+(1000*BI56)+(1000*BI57)+(1000*BI58)+(500*BI59)+(500*BI60)+(1000*BI36))*0.33</f>
        <v>0</v>
      </c>
      <c r="BJ135" s="11">
        <f t="shared" ref="BJ135" si="383">((2000*BJ39)+(1750*BJ40)+(1500*BJ41)+(1500*BJ42)+(1500*BJ43)+(1500*BJ44)+(1500*BJ45)+(1000*BJ46)+(1000*BJ47)+(500*BJ48)+(500*BJ49)+(500*BJ50)+(500*BJ51)+(500*BJ52)+(500*BJ53)+(1000*BJ54)+(1000*BJ55)+(1000*BJ56)+(1000*BJ57)+(1000*BJ58)+(500*BJ59)+(500*BJ60)+(1000*BJ36))*0.99</f>
        <v>0</v>
      </c>
      <c r="BK135" s="11">
        <f t="shared" ref="BK135:BK140" si="384">SUM(BD135:BJ135)</f>
        <v>34455</v>
      </c>
      <c r="BM135" s="11">
        <f>((2000*BM39)+(1750*BM40)+(1500*BM41)+(1500*BM42)+(1500*BM43)+(1500*BM44)+(1500*BM45)+(1000*BM46)+(1000*BM47)+(500*BM48)+(500*BM49)+(500*BM50)+(500*BM51)+(500*BM52)+(500*BM53)+(1000*BM54)+(1000*BM55)+(1000*BM56)+(1000*BM57)+(1000*BM58)+(500*BM59)+(500*BM60)+(1000*BM36))</f>
        <v>3750</v>
      </c>
      <c r="BN135" s="11">
        <f t="shared" ref="BN135:BS135" si="385">((2000*BN39)+(1750*BN40)+(1500*BN41)+(1500*BN42)+(1500*BN43)+(1500*BN44)+(1500*BN45)+(1000*BN46)+(1000*BN47)+(500*BN48)+(500*BN49)+(500*BN50)+(500*BN51)+(500*BN52)+(500*BN53)+(1000*BN54)+(1000*BN55)+(1000*BN56)+(1000*BN57)+(1000*BN58)+(500*BN59)+(500*BN60)+(1000*BN36))*0.99</f>
        <v>0</v>
      </c>
      <c r="BO135" s="11">
        <f>((2000*BO39)+(1750*BO40)+(1500*BO41)+(1500*BO42)+(1500*BO43)+(1500*BO44)+(1500*BO45)+(1000*BO46)+(1000*BO47)+(500*BO48)+(500*BO49)+(500*BO50)+(500*BO51)+(500*BO52)+(500*BO53)+(1000*BO54)+(1000*BO55)+(1000*BO56)+(1000*BO57)+(1000*BO58)+(500*BO59)+(500*BO60)+(1000*BO36))</f>
        <v>250</v>
      </c>
      <c r="BP135" s="11">
        <f t="shared" si="385"/>
        <v>0</v>
      </c>
      <c r="BQ135" s="11">
        <f t="shared" si="385"/>
        <v>0</v>
      </c>
      <c r="BR135" s="11">
        <f t="shared" si="385"/>
        <v>0</v>
      </c>
      <c r="BS135" s="11">
        <f t="shared" si="385"/>
        <v>0</v>
      </c>
      <c r="BT135" s="11">
        <f t="shared" ref="BT135:BT140" si="386">SUM(BM135:BS135)</f>
        <v>4000</v>
      </c>
      <c r="BV135" s="5">
        <f t="shared" si="343"/>
        <v>583022</v>
      </c>
      <c r="BW135" s="5">
        <f t="shared" si="343"/>
        <v>79838.87</v>
      </c>
      <c r="BX135" s="5">
        <f t="shared" si="343"/>
        <v>8665</v>
      </c>
      <c r="BY135" s="5">
        <f t="shared" si="343"/>
        <v>0</v>
      </c>
      <c r="BZ135" s="5">
        <f t="shared" si="343"/>
        <v>0</v>
      </c>
      <c r="CA135" s="5">
        <f t="shared" si="343"/>
        <v>0</v>
      </c>
      <c r="CB135" s="11">
        <f t="shared" ref="CB135" si="387">((2000*CB39)+(1750*CB40)+(1500*CB41)+(1500*CB42)+(1500*CB43)+(1500*CB44)+(1500*CB45)+(1000*CB46)+(1000*CB47)+(500*CB48)+(500*CB49)+(500*CB50)+(500*CB51)+(500*CB52)+(500*CB53)+(1000*CB54)+(1000*CB55)+(1000*CB56)+(1000*CB57)+(1000*CB58)+(500*CB59)+(500*CB60)+(1000*CB36))*0.99</f>
        <v>0</v>
      </c>
      <c r="CC135" s="11">
        <f t="shared" ref="CC135:CC140" si="388">SUM(BV135:CB135)</f>
        <v>671525.87</v>
      </c>
    </row>
    <row r="136" spans="1:81">
      <c r="A136" s="29" t="s">
        <v>118</v>
      </c>
      <c r="B136" s="11">
        <f>150*B65+(150*25)</f>
        <v>12825</v>
      </c>
      <c r="C136" s="11">
        <f>150*C65</f>
        <v>1500</v>
      </c>
      <c r="D136" s="11">
        <f>150*D65</f>
        <v>300</v>
      </c>
      <c r="E136" s="11"/>
      <c r="F136" s="11"/>
      <c r="G136" s="11">
        <f>125*G65</f>
        <v>0</v>
      </c>
      <c r="H136" s="11">
        <f>125*H65</f>
        <v>0</v>
      </c>
      <c r="I136" s="11">
        <f t="shared" si="364"/>
        <v>14625</v>
      </c>
      <c r="K136" s="11">
        <f>150*K65+(150*25)</f>
        <v>13650</v>
      </c>
      <c r="L136" s="11">
        <f>150*L65</f>
        <v>1500</v>
      </c>
      <c r="M136" s="11">
        <f>150*M65</f>
        <v>300</v>
      </c>
      <c r="N136" s="11"/>
      <c r="O136" s="11">
        <f>125*O65</f>
        <v>0</v>
      </c>
      <c r="P136" s="11">
        <f>125*P65</f>
        <v>0</v>
      </c>
      <c r="Q136" s="11">
        <f>125*Q65</f>
        <v>0</v>
      </c>
      <c r="R136" s="11">
        <f t="shared" si="367"/>
        <v>15450</v>
      </c>
      <c r="T136" s="11">
        <f>150*T65+(150*25)</f>
        <v>15450</v>
      </c>
      <c r="U136" s="11">
        <f>150*U65</f>
        <v>1999.5</v>
      </c>
      <c r="V136" s="11">
        <f>150*V65</f>
        <v>300</v>
      </c>
      <c r="W136" s="11">
        <f t="shared" ref="W136:Z136" si="389">125*W65</f>
        <v>0</v>
      </c>
      <c r="X136" s="11">
        <f t="shared" si="389"/>
        <v>0</v>
      </c>
      <c r="Y136" s="11">
        <f t="shared" si="389"/>
        <v>0</v>
      </c>
      <c r="Z136" s="11">
        <f t="shared" si="389"/>
        <v>0</v>
      </c>
      <c r="AA136" s="11">
        <f t="shared" si="370"/>
        <v>17749.5</v>
      </c>
      <c r="AC136" s="11">
        <f>150*AC65+(150*35)</f>
        <v>27900</v>
      </c>
      <c r="AD136" s="11">
        <f>150*AD65</f>
        <v>4500</v>
      </c>
      <c r="AE136" s="11">
        <f>150*AE65</f>
        <v>900</v>
      </c>
      <c r="AF136" s="11"/>
      <c r="AG136" s="11">
        <f>125*AG65</f>
        <v>0</v>
      </c>
      <c r="AH136" s="11">
        <f>125*AH65</f>
        <v>0</v>
      </c>
      <c r="AI136" s="11">
        <f>125*AI65</f>
        <v>0</v>
      </c>
      <c r="AJ136" s="11">
        <f t="shared" si="373"/>
        <v>33300</v>
      </c>
      <c r="AL136" s="11">
        <f>150*AL65+(150*25)</f>
        <v>24750</v>
      </c>
      <c r="AM136" s="11">
        <f>150*AM65</f>
        <v>3975</v>
      </c>
      <c r="AN136" s="11">
        <f>150*AN65</f>
        <v>600</v>
      </c>
      <c r="AO136" s="11"/>
      <c r="AP136" s="11">
        <f>125*AP65</f>
        <v>0</v>
      </c>
      <c r="AQ136" s="11">
        <f>125*AQ65</f>
        <v>0</v>
      </c>
      <c r="AR136" s="11">
        <f>125*AR65</f>
        <v>0</v>
      </c>
      <c r="AS136" s="11">
        <f t="shared" si="376"/>
        <v>29325</v>
      </c>
      <c r="AU136" s="11">
        <f>150*AU65+(150*5)</f>
        <v>1200</v>
      </c>
      <c r="AV136" s="11">
        <f>150*AV65</f>
        <v>300</v>
      </c>
      <c r="AW136" s="11">
        <f>150*AW65</f>
        <v>0</v>
      </c>
      <c r="AX136" s="11"/>
      <c r="AY136" s="11">
        <f>125*AY65</f>
        <v>0</v>
      </c>
      <c r="AZ136" s="11">
        <f>125*AZ65</f>
        <v>0</v>
      </c>
      <c r="BA136" s="11">
        <f>125*BA65</f>
        <v>0</v>
      </c>
      <c r="BB136" s="11">
        <f t="shared" si="380"/>
        <v>1500</v>
      </c>
      <c r="BD136" s="11">
        <f>150*BD65+(150*8)</f>
        <v>6450</v>
      </c>
      <c r="BE136" s="11">
        <f>150*BE65</f>
        <v>600</v>
      </c>
      <c r="BF136" s="11">
        <f>150*BF65</f>
        <v>150</v>
      </c>
      <c r="BG136" s="11"/>
      <c r="BH136" s="11"/>
      <c r="BI136" s="11">
        <f>125*BI65</f>
        <v>0</v>
      </c>
      <c r="BJ136" s="11">
        <f>125*BJ65</f>
        <v>0</v>
      </c>
      <c r="BK136" s="11">
        <f t="shared" si="384"/>
        <v>7200</v>
      </c>
      <c r="BM136" s="11">
        <f>150*BM65+(150*25)</f>
        <v>4275</v>
      </c>
      <c r="BN136" s="11">
        <f>125*BN65</f>
        <v>0</v>
      </c>
      <c r="BO136" s="11">
        <f>150*BO65</f>
        <v>75</v>
      </c>
      <c r="BP136" s="11"/>
      <c r="BQ136" s="11">
        <f>125*BQ65</f>
        <v>0</v>
      </c>
      <c r="BR136" s="11">
        <f>125*BR65</f>
        <v>0</v>
      </c>
      <c r="BS136" s="11">
        <f>125*BS65</f>
        <v>0</v>
      </c>
      <c r="BT136" s="11">
        <f t="shared" si="386"/>
        <v>4350</v>
      </c>
      <c r="BV136" s="5">
        <f t="shared" si="343"/>
        <v>106500</v>
      </c>
      <c r="BW136" s="5">
        <f t="shared" si="343"/>
        <v>14374.5</v>
      </c>
      <c r="BX136" s="5">
        <f t="shared" si="343"/>
        <v>2625</v>
      </c>
      <c r="BY136" s="5">
        <f t="shared" si="343"/>
        <v>0</v>
      </c>
      <c r="BZ136" s="5">
        <f t="shared" si="343"/>
        <v>0</v>
      </c>
      <c r="CA136" s="5">
        <f t="shared" si="343"/>
        <v>0</v>
      </c>
      <c r="CB136" s="11">
        <f>125*CB65</f>
        <v>0</v>
      </c>
      <c r="CC136" s="11">
        <f t="shared" si="388"/>
        <v>123499.5</v>
      </c>
    </row>
    <row r="137" spans="1:81">
      <c r="A137" s="29" t="s">
        <v>119</v>
      </c>
      <c r="B137" s="11">
        <v>2500</v>
      </c>
      <c r="C137" s="11"/>
      <c r="D137" s="11"/>
      <c r="E137" s="11"/>
      <c r="F137" s="11"/>
      <c r="G137" s="11"/>
      <c r="H137" s="11"/>
      <c r="I137" s="11">
        <f t="shared" si="364"/>
        <v>2500</v>
      </c>
      <c r="K137" s="11">
        <v>2500</v>
      </c>
      <c r="L137" s="11"/>
      <c r="M137" s="11"/>
      <c r="N137" s="11"/>
      <c r="O137" s="11">
        <v>0</v>
      </c>
      <c r="P137" s="11"/>
      <c r="Q137" s="11"/>
      <c r="R137" s="11">
        <f t="shared" si="367"/>
        <v>2500</v>
      </c>
      <c r="T137" s="11">
        <v>10000</v>
      </c>
      <c r="U137" s="11"/>
      <c r="V137" s="11"/>
      <c r="W137" s="11"/>
      <c r="X137" s="11">
        <v>0</v>
      </c>
      <c r="Y137" s="11"/>
      <c r="Z137" s="11"/>
      <c r="AA137" s="11">
        <f t="shared" si="370"/>
        <v>10000</v>
      </c>
      <c r="AC137" s="11">
        <v>2500</v>
      </c>
      <c r="AD137" s="11"/>
      <c r="AE137" s="11"/>
      <c r="AF137" s="11"/>
      <c r="AG137" s="11">
        <v>0</v>
      </c>
      <c r="AH137" s="11"/>
      <c r="AI137" s="11"/>
      <c r="AJ137" s="11">
        <f t="shared" si="373"/>
        <v>2500</v>
      </c>
      <c r="AL137" s="11">
        <v>2500</v>
      </c>
      <c r="AM137" s="11"/>
      <c r="AN137" s="11"/>
      <c r="AO137" s="11"/>
      <c r="AP137" s="11">
        <v>0</v>
      </c>
      <c r="AQ137" s="11"/>
      <c r="AR137" s="11"/>
      <c r="AS137" s="11">
        <f t="shared" si="376"/>
        <v>2500</v>
      </c>
      <c r="AU137" s="11">
        <f>(115*(AU17+10)*12)+6000+15000+7000</f>
        <v>235000</v>
      </c>
      <c r="AV137" s="11">
        <v>17500</v>
      </c>
      <c r="AW137" s="11"/>
      <c r="AX137" s="11"/>
      <c r="AY137" s="11">
        <v>0</v>
      </c>
      <c r="AZ137" s="11"/>
      <c r="BA137" s="11"/>
      <c r="BB137" s="11">
        <f t="shared" si="380"/>
        <v>252500</v>
      </c>
      <c r="BD137" s="11">
        <v>0</v>
      </c>
      <c r="BE137" s="11"/>
      <c r="BF137" s="11"/>
      <c r="BG137" s="11"/>
      <c r="BH137" s="11">
        <v>0</v>
      </c>
      <c r="BI137" s="11"/>
      <c r="BJ137" s="11"/>
      <c r="BK137" s="11">
        <f t="shared" si="384"/>
        <v>0</v>
      </c>
      <c r="BM137" s="11">
        <v>0</v>
      </c>
      <c r="BN137" s="11"/>
      <c r="BO137" s="11"/>
      <c r="BP137" s="11"/>
      <c r="BQ137" s="11">
        <v>0</v>
      </c>
      <c r="BR137" s="11"/>
      <c r="BS137" s="11"/>
      <c r="BT137" s="11">
        <f t="shared" si="386"/>
        <v>0</v>
      </c>
      <c r="BV137" s="5">
        <f t="shared" si="343"/>
        <v>255000</v>
      </c>
      <c r="BW137" s="5">
        <f t="shared" si="343"/>
        <v>17500</v>
      </c>
      <c r="BX137" s="5">
        <f t="shared" si="343"/>
        <v>0</v>
      </c>
      <c r="BY137" s="5">
        <f t="shared" si="343"/>
        <v>0</v>
      </c>
      <c r="BZ137" s="5">
        <f t="shared" si="343"/>
        <v>0</v>
      </c>
      <c r="CA137" s="5">
        <f t="shared" si="343"/>
        <v>0</v>
      </c>
      <c r="CB137" s="11"/>
      <c r="CC137" s="11">
        <f t="shared" si="388"/>
        <v>272500</v>
      </c>
    </row>
    <row r="138" spans="1:81">
      <c r="A138" s="29" t="s">
        <v>120</v>
      </c>
      <c r="B138" s="11">
        <v>0</v>
      </c>
      <c r="C138" s="11">
        <v>0</v>
      </c>
      <c r="D138" s="11">
        <v>0</v>
      </c>
      <c r="E138" s="11"/>
      <c r="F138" s="11"/>
      <c r="G138" s="11"/>
      <c r="H138" s="11"/>
      <c r="I138" s="11">
        <f t="shared" si="364"/>
        <v>0</v>
      </c>
      <c r="K138" s="11">
        <v>0</v>
      </c>
      <c r="L138" s="11">
        <v>0</v>
      </c>
      <c r="M138" s="11">
        <v>0</v>
      </c>
      <c r="N138" s="11"/>
      <c r="O138" s="11"/>
      <c r="P138" s="11"/>
      <c r="Q138" s="11"/>
      <c r="R138" s="11">
        <f t="shared" si="367"/>
        <v>0</v>
      </c>
      <c r="T138" s="11">
        <v>0</v>
      </c>
      <c r="U138" s="11">
        <v>0</v>
      </c>
      <c r="V138" s="11">
        <v>0</v>
      </c>
      <c r="W138" s="11"/>
      <c r="X138" s="11"/>
      <c r="Y138" s="11"/>
      <c r="Z138" s="11"/>
      <c r="AA138" s="11">
        <f t="shared" si="370"/>
        <v>0</v>
      </c>
      <c r="AC138" s="11">
        <v>0</v>
      </c>
      <c r="AD138" s="11">
        <v>0</v>
      </c>
      <c r="AE138" s="11">
        <v>0</v>
      </c>
      <c r="AF138" s="11"/>
      <c r="AG138" s="11"/>
      <c r="AH138" s="11"/>
      <c r="AI138" s="11"/>
      <c r="AJ138" s="11">
        <f t="shared" si="373"/>
        <v>0</v>
      </c>
      <c r="AL138" s="11">
        <v>0</v>
      </c>
      <c r="AM138" s="11">
        <v>0</v>
      </c>
      <c r="AN138" s="11">
        <v>0</v>
      </c>
      <c r="AO138" s="11"/>
      <c r="AP138" s="11"/>
      <c r="AQ138" s="11"/>
      <c r="AR138" s="11"/>
      <c r="AS138" s="11">
        <f t="shared" si="376"/>
        <v>0</v>
      </c>
      <c r="AU138" s="11">
        <v>0</v>
      </c>
      <c r="AV138" s="11">
        <v>0</v>
      </c>
      <c r="AW138" s="11">
        <v>0</v>
      </c>
      <c r="AX138" s="11"/>
      <c r="AY138" s="11"/>
      <c r="AZ138" s="11"/>
      <c r="BA138" s="11"/>
      <c r="BB138" s="11">
        <f t="shared" si="380"/>
        <v>0</v>
      </c>
      <c r="BD138" s="11">
        <v>0</v>
      </c>
      <c r="BE138" s="11">
        <v>0</v>
      </c>
      <c r="BF138" s="11">
        <v>0</v>
      </c>
      <c r="BG138" s="11"/>
      <c r="BH138" s="11"/>
      <c r="BI138" s="11"/>
      <c r="BJ138" s="11"/>
      <c r="BK138" s="11">
        <f t="shared" si="384"/>
        <v>0</v>
      </c>
      <c r="BM138" s="11">
        <v>0</v>
      </c>
      <c r="BN138" s="11">
        <v>0</v>
      </c>
      <c r="BO138" s="11">
        <v>0</v>
      </c>
      <c r="BP138" s="11"/>
      <c r="BQ138" s="11"/>
      <c r="BR138" s="11"/>
      <c r="BS138" s="11"/>
      <c r="BT138" s="11">
        <f t="shared" si="386"/>
        <v>0</v>
      </c>
      <c r="BV138" s="5">
        <f t="shared" si="343"/>
        <v>0</v>
      </c>
      <c r="BW138" s="5">
        <f t="shared" si="343"/>
        <v>0</v>
      </c>
      <c r="BX138" s="5">
        <f t="shared" si="343"/>
        <v>0</v>
      </c>
      <c r="BY138" s="5">
        <f t="shared" si="343"/>
        <v>0</v>
      </c>
      <c r="BZ138" s="5">
        <f t="shared" si="343"/>
        <v>0</v>
      </c>
      <c r="CA138" s="5">
        <f t="shared" si="343"/>
        <v>0</v>
      </c>
      <c r="CB138" s="11"/>
      <c r="CC138" s="11">
        <f t="shared" si="388"/>
        <v>0</v>
      </c>
    </row>
    <row r="139" spans="1:81">
      <c r="A139" s="29" t="s">
        <v>121</v>
      </c>
      <c r="B139" s="11">
        <v>10000</v>
      </c>
      <c r="C139" s="11"/>
      <c r="D139" s="11"/>
      <c r="E139" s="11"/>
      <c r="F139" s="11"/>
      <c r="G139" s="11"/>
      <c r="H139" s="11"/>
      <c r="I139" s="5">
        <f t="shared" si="364"/>
        <v>10000</v>
      </c>
      <c r="K139" s="11">
        <v>10000</v>
      </c>
      <c r="L139" s="11"/>
      <c r="M139" s="11"/>
      <c r="N139" s="11"/>
      <c r="O139" s="11"/>
      <c r="P139" s="11"/>
      <c r="Q139" s="11"/>
      <c r="R139" s="5">
        <f t="shared" si="367"/>
        <v>10000</v>
      </c>
      <c r="T139" s="11">
        <v>12000</v>
      </c>
      <c r="U139" s="11"/>
      <c r="V139" s="11"/>
      <c r="W139" s="11"/>
      <c r="X139" s="11"/>
      <c r="Y139" s="11"/>
      <c r="Z139" s="11"/>
      <c r="AA139" s="5">
        <f t="shared" si="370"/>
        <v>12000</v>
      </c>
      <c r="AC139" s="11">
        <v>15000</v>
      </c>
      <c r="AD139" s="11"/>
      <c r="AE139" s="11"/>
      <c r="AF139" s="11"/>
      <c r="AG139" s="11"/>
      <c r="AH139" s="11"/>
      <c r="AI139" s="11"/>
      <c r="AJ139" s="5">
        <f t="shared" si="373"/>
        <v>15000</v>
      </c>
      <c r="AL139" s="11">
        <v>15000</v>
      </c>
      <c r="AM139" s="11"/>
      <c r="AN139" s="11"/>
      <c r="AO139" s="11"/>
      <c r="AP139" s="11"/>
      <c r="AQ139" s="11"/>
      <c r="AR139" s="11"/>
      <c r="AS139" s="5">
        <f t="shared" si="376"/>
        <v>15000</v>
      </c>
      <c r="AU139" s="11">
        <v>2500</v>
      </c>
      <c r="AV139" s="11"/>
      <c r="AW139" s="11"/>
      <c r="AX139" s="11"/>
      <c r="AY139" s="11"/>
      <c r="AZ139" s="11"/>
      <c r="BA139" s="11"/>
      <c r="BB139" s="5">
        <f t="shared" si="380"/>
        <v>2500</v>
      </c>
      <c r="BD139" s="11">
        <v>2500</v>
      </c>
      <c r="BE139" s="11"/>
      <c r="BF139" s="11"/>
      <c r="BG139" s="11"/>
      <c r="BH139" s="11"/>
      <c r="BI139" s="11"/>
      <c r="BJ139" s="11"/>
      <c r="BK139" s="5">
        <f t="shared" si="384"/>
        <v>2500</v>
      </c>
      <c r="BM139" s="11">
        <v>0</v>
      </c>
      <c r="BN139" s="11"/>
      <c r="BO139" s="11"/>
      <c r="BP139" s="11"/>
      <c r="BQ139" s="11"/>
      <c r="BR139" s="11"/>
      <c r="BS139" s="11"/>
      <c r="BT139" s="5">
        <f t="shared" si="386"/>
        <v>0</v>
      </c>
      <c r="BV139" s="5">
        <f t="shared" si="343"/>
        <v>67000</v>
      </c>
      <c r="BW139" s="5">
        <f t="shared" si="343"/>
        <v>0</v>
      </c>
      <c r="BX139" s="5">
        <f t="shared" si="343"/>
        <v>0</v>
      </c>
      <c r="BY139" s="5">
        <f t="shared" si="343"/>
        <v>0</v>
      </c>
      <c r="BZ139" s="5">
        <f t="shared" si="343"/>
        <v>0</v>
      </c>
      <c r="CA139" s="5">
        <f t="shared" si="343"/>
        <v>0</v>
      </c>
      <c r="CB139" s="11"/>
      <c r="CC139" s="5">
        <f t="shared" si="388"/>
        <v>67000</v>
      </c>
    </row>
    <row r="140" spans="1:81">
      <c r="A140" s="29" t="s">
        <v>122</v>
      </c>
      <c r="B140" s="35">
        <f>(190*11*(B36))-B130</f>
        <v>57325</v>
      </c>
      <c r="C140" s="35">
        <f t="shared" ref="C140:G140" si="390">(190*11*(C36))-C130</f>
        <v>10450</v>
      </c>
      <c r="D140" s="35">
        <f t="shared" si="390"/>
        <v>0</v>
      </c>
      <c r="E140" s="35">
        <f t="shared" si="390"/>
        <v>0</v>
      </c>
      <c r="F140" s="35">
        <f t="shared" si="390"/>
        <v>0</v>
      </c>
      <c r="G140" s="35">
        <f t="shared" si="390"/>
        <v>0</v>
      </c>
      <c r="H140" s="35">
        <f t="shared" ref="H140" si="391">(175*11*(H36))-H130</f>
        <v>0</v>
      </c>
      <c r="I140" s="5">
        <f t="shared" si="364"/>
        <v>67775</v>
      </c>
      <c r="K140" s="35">
        <f>(190*11*(K36))-K130</f>
        <v>60460</v>
      </c>
      <c r="L140" s="35">
        <f t="shared" ref="L140:P140" si="392">(190*11*(L36))-L130</f>
        <v>8360</v>
      </c>
      <c r="M140" s="35">
        <f t="shared" si="392"/>
        <v>0</v>
      </c>
      <c r="N140" s="35">
        <f t="shared" si="392"/>
        <v>0</v>
      </c>
      <c r="O140" s="35">
        <f t="shared" si="392"/>
        <v>0</v>
      </c>
      <c r="P140" s="35">
        <f t="shared" si="392"/>
        <v>0</v>
      </c>
      <c r="Q140" s="35">
        <f t="shared" ref="Q140" si="393">(175*11*(Q36))-Q130</f>
        <v>0</v>
      </c>
      <c r="R140" s="5">
        <f t="shared" si="367"/>
        <v>68820</v>
      </c>
      <c r="T140" s="35">
        <f>(190*11*(T36))-T130</f>
        <v>54040</v>
      </c>
      <c r="U140" s="35">
        <f t="shared" ref="U140:Z140" si="394">(190*11*(U36))-U130</f>
        <v>10450</v>
      </c>
      <c r="V140" s="35">
        <f t="shared" si="394"/>
        <v>0</v>
      </c>
      <c r="W140" s="35">
        <f t="shared" si="394"/>
        <v>0</v>
      </c>
      <c r="X140" s="35">
        <f t="shared" si="394"/>
        <v>0</v>
      </c>
      <c r="Y140" s="35">
        <f t="shared" si="394"/>
        <v>0</v>
      </c>
      <c r="Z140" s="35">
        <f t="shared" si="394"/>
        <v>0</v>
      </c>
      <c r="AA140" s="5">
        <f t="shared" si="370"/>
        <v>64490</v>
      </c>
      <c r="AC140" s="35">
        <f>(190*11*(AC36))-AC130</f>
        <v>118680</v>
      </c>
      <c r="AD140" s="35">
        <f t="shared" ref="AD140:AH140" si="395">(190*11*(AD36))-AD130</f>
        <v>27170</v>
      </c>
      <c r="AE140" s="35">
        <f t="shared" si="395"/>
        <v>0</v>
      </c>
      <c r="AF140" s="35">
        <f t="shared" si="395"/>
        <v>0</v>
      </c>
      <c r="AG140" s="35">
        <f t="shared" si="395"/>
        <v>0</v>
      </c>
      <c r="AH140" s="35">
        <f t="shared" si="395"/>
        <v>0</v>
      </c>
      <c r="AI140" s="35">
        <f t="shared" ref="AI140" si="396">(175*11*(AI36))-AI130</f>
        <v>0</v>
      </c>
      <c r="AJ140" s="5">
        <f t="shared" si="373"/>
        <v>145850</v>
      </c>
      <c r="AL140" s="35">
        <f>(190*11*(AL36))-AL130</f>
        <v>78820</v>
      </c>
      <c r="AM140" s="35">
        <f>(190*11*(AM36))-AM130</f>
        <v>25080</v>
      </c>
      <c r="AN140" s="35">
        <f t="shared" ref="AN140:AO140" si="397">(185*11*(AN36))-AN130</f>
        <v>0</v>
      </c>
      <c r="AO140" s="35">
        <f t="shared" si="397"/>
        <v>0</v>
      </c>
      <c r="AP140" s="35">
        <f t="shared" ref="AP140:AR140" si="398">(175*11*(AP36))-AP130</f>
        <v>0</v>
      </c>
      <c r="AQ140" s="35">
        <f t="shared" si="398"/>
        <v>0</v>
      </c>
      <c r="AR140" s="35">
        <f t="shared" si="398"/>
        <v>0</v>
      </c>
      <c r="AS140" s="5">
        <f t="shared" si="376"/>
        <v>103900</v>
      </c>
      <c r="AU140" s="35">
        <f>(190*11*(AU36))-AU130</f>
        <v>0</v>
      </c>
      <c r="AV140" s="35">
        <f t="shared" ref="AV140:AZ140" si="399">(190*11*(AV36))-AV130</f>
        <v>2090</v>
      </c>
      <c r="AW140" s="35">
        <f t="shared" si="399"/>
        <v>0</v>
      </c>
      <c r="AX140" s="35">
        <f t="shared" si="399"/>
        <v>0</v>
      </c>
      <c r="AY140" s="35">
        <f t="shared" si="399"/>
        <v>0</v>
      </c>
      <c r="AZ140" s="35">
        <f t="shared" si="399"/>
        <v>0</v>
      </c>
      <c r="BA140" s="35">
        <f t="shared" ref="BA140" si="400">(175*11*(BA36))-BA130</f>
        <v>0</v>
      </c>
      <c r="BB140" s="5">
        <f t="shared" si="380"/>
        <v>2090</v>
      </c>
      <c r="BD140" s="35">
        <f>(190*11*(BD36))-BD130</f>
        <v>54340</v>
      </c>
      <c r="BE140" s="35">
        <f t="shared" ref="BE140:BI140" si="401">(190*11*(BE36))-BE130</f>
        <v>4180</v>
      </c>
      <c r="BF140" s="35">
        <f t="shared" si="401"/>
        <v>0</v>
      </c>
      <c r="BG140" s="35">
        <f t="shared" si="401"/>
        <v>0</v>
      </c>
      <c r="BH140" s="35">
        <f t="shared" si="401"/>
        <v>0</v>
      </c>
      <c r="BI140" s="35">
        <f t="shared" si="401"/>
        <v>0</v>
      </c>
      <c r="BJ140" s="35">
        <f t="shared" ref="BJ140" si="402">(175*11*(BJ36))-BJ130</f>
        <v>0</v>
      </c>
      <c r="BK140" s="5">
        <f t="shared" si="384"/>
        <v>58520</v>
      </c>
      <c r="BM140" s="35">
        <v>0</v>
      </c>
      <c r="BN140" s="35">
        <f t="shared" ref="BN140:BP140" si="403">(185*11*(BN36))-BN130</f>
        <v>0</v>
      </c>
      <c r="BO140" s="35">
        <f t="shared" si="403"/>
        <v>0</v>
      </c>
      <c r="BP140" s="35">
        <f t="shared" si="403"/>
        <v>0</v>
      </c>
      <c r="BQ140" s="35">
        <f t="shared" ref="BQ140:BS140" si="404">(175*11*(BQ36))-BQ130</f>
        <v>0</v>
      </c>
      <c r="BR140" s="35">
        <f t="shared" si="404"/>
        <v>0</v>
      </c>
      <c r="BS140" s="35">
        <f t="shared" si="404"/>
        <v>0</v>
      </c>
      <c r="BT140" s="5">
        <f t="shared" si="386"/>
        <v>0</v>
      </c>
      <c r="BV140" s="5">
        <f t="shared" si="343"/>
        <v>423665</v>
      </c>
      <c r="BW140" s="5">
        <f t="shared" si="343"/>
        <v>87780</v>
      </c>
      <c r="BX140" s="5">
        <f t="shared" si="343"/>
        <v>0</v>
      </c>
      <c r="BY140" s="5">
        <f t="shared" si="343"/>
        <v>0</v>
      </c>
      <c r="BZ140" s="5">
        <f t="shared" si="343"/>
        <v>0</v>
      </c>
      <c r="CA140" s="5">
        <f t="shared" si="343"/>
        <v>0</v>
      </c>
      <c r="CB140" s="35">
        <f t="shared" ref="CB140" si="405">(175*11*(CB36))-CB130</f>
        <v>0</v>
      </c>
      <c r="CC140" s="5">
        <f t="shared" si="388"/>
        <v>511445</v>
      </c>
    </row>
    <row r="141" spans="1:81" ht="15">
      <c r="A141" s="73" t="s">
        <v>123</v>
      </c>
      <c r="B141" s="74">
        <f>SUM(B133:B140)</f>
        <v>2027260.6904924491</v>
      </c>
      <c r="C141" s="74">
        <f t="shared" ref="C141:H141" si="406">SUM(C133:C140)</f>
        <v>278017.03963574721</v>
      </c>
      <c r="D141" s="74">
        <f t="shared" si="406"/>
        <v>33381.300000000003</v>
      </c>
      <c r="E141" s="74">
        <f t="shared" si="406"/>
        <v>0</v>
      </c>
      <c r="F141" s="74">
        <f t="shared" si="406"/>
        <v>0</v>
      </c>
      <c r="G141" s="74">
        <f t="shared" si="406"/>
        <v>0</v>
      </c>
      <c r="H141" s="74">
        <f t="shared" si="406"/>
        <v>0</v>
      </c>
      <c r="I141" s="74">
        <f>SUM(I133:I140)</f>
        <v>2338659.0301281963</v>
      </c>
      <c r="J141" s="7"/>
      <c r="K141" s="74">
        <f>SUM(K133:K140)</f>
        <v>2182095.5925001781</v>
      </c>
      <c r="L141" s="74">
        <f t="shared" ref="L141:Q141" si="407">SUM(L133:L140)</f>
        <v>284159.79764356842</v>
      </c>
      <c r="M141" s="74">
        <f t="shared" si="407"/>
        <v>36788.502805731863</v>
      </c>
      <c r="N141" s="74"/>
      <c r="O141" s="74">
        <f t="shared" si="407"/>
        <v>0</v>
      </c>
      <c r="P141" s="74">
        <f t="shared" si="407"/>
        <v>0</v>
      </c>
      <c r="Q141" s="74">
        <f t="shared" si="407"/>
        <v>0</v>
      </c>
      <c r="R141" s="74">
        <f>SUM(R133:R140)</f>
        <v>2503043.8929494782</v>
      </c>
      <c r="T141" s="74">
        <f>SUM(T133:T140)</f>
        <v>2593355.983551559</v>
      </c>
      <c r="U141" s="74">
        <f t="shared" ref="U141:Z141" si="408">SUM(U133:U140)</f>
        <v>369835.1457728073</v>
      </c>
      <c r="V141" s="74">
        <f t="shared" si="408"/>
        <v>33204</v>
      </c>
      <c r="W141" s="74"/>
      <c r="X141" s="74">
        <f t="shared" si="408"/>
        <v>0</v>
      </c>
      <c r="Y141" s="74">
        <f t="shared" si="408"/>
        <v>0</v>
      </c>
      <c r="Z141" s="74">
        <f t="shared" si="408"/>
        <v>0</v>
      </c>
      <c r="AA141" s="74">
        <f>SUM(AA133:AA140)</f>
        <v>2996395.1293243663</v>
      </c>
      <c r="AC141" s="74">
        <f>SUM(AC133:AC140)</f>
        <v>5213595.1368283778</v>
      </c>
      <c r="AD141" s="74">
        <f t="shared" ref="AD141:AI141" si="409">SUM(AD133:AD140)</f>
        <v>864454.05628002691</v>
      </c>
      <c r="AE141" s="74">
        <f t="shared" si="409"/>
        <v>87910.2</v>
      </c>
      <c r="AF141" s="74">
        <f t="shared" si="409"/>
        <v>0</v>
      </c>
      <c r="AG141" s="74">
        <f t="shared" si="409"/>
        <v>0</v>
      </c>
      <c r="AH141" s="74">
        <f t="shared" si="409"/>
        <v>0</v>
      </c>
      <c r="AI141" s="74">
        <f t="shared" si="409"/>
        <v>0</v>
      </c>
      <c r="AJ141" s="74">
        <f>SUM(AJ133:AJ140)</f>
        <v>6165959.3931084052</v>
      </c>
      <c r="AL141" s="74">
        <f>SUM(AL133:AL140)</f>
        <v>4691935.1893398669</v>
      </c>
      <c r="AM141" s="74">
        <f t="shared" ref="AM141:AR141" si="410">SUM(AM133:AM140)</f>
        <v>737797.24165346799</v>
      </c>
      <c r="AN141" s="74">
        <f t="shared" si="410"/>
        <v>51692.100000000006</v>
      </c>
      <c r="AO141" s="74">
        <f t="shared" si="410"/>
        <v>0</v>
      </c>
      <c r="AP141" s="74">
        <f t="shared" si="410"/>
        <v>0</v>
      </c>
      <c r="AQ141" s="74">
        <f t="shared" si="410"/>
        <v>0</v>
      </c>
      <c r="AR141" s="74">
        <f t="shared" si="410"/>
        <v>0</v>
      </c>
      <c r="AS141" s="74">
        <f>SUM(AS133:AS140)</f>
        <v>5481424.5309933349</v>
      </c>
      <c r="AU141" s="74">
        <f>SUM(AU133:AU140)</f>
        <v>316441.27158718021</v>
      </c>
      <c r="AV141" s="74">
        <f t="shared" ref="AV141:BA141" si="411">SUM(AV133:AV140)</f>
        <v>78325.520579113043</v>
      </c>
      <c r="AW141" s="74">
        <f t="shared" si="411"/>
        <v>0</v>
      </c>
      <c r="AX141" s="74">
        <f t="shared" si="411"/>
        <v>0</v>
      </c>
      <c r="AY141" s="74">
        <f t="shared" si="411"/>
        <v>0</v>
      </c>
      <c r="AZ141" s="74">
        <f t="shared" si="411"/>
        <v>0</v>
      </c>
      <c r="BA141" s="74">
        <f t="shared" si="411"/>
        <v>0</v>
      </c>
      <c r="BB141" s="74">
        <f>SUM(BB133:BB140)</f>
        <v>394766.79216629325</v>
      </c>
      <c r="BD141" s="74">
        <f>SUM(BD133:BD140)</f>
        <v>1158593.3265915562</v>
      </c>
      <c r="BE141" s="74">
        <f t="shared" ref="BE141:BJ141" si="412">SUM(BE133:BE140)</f>
        <v>101358</v>
      </c>
      <c r="BF141" s="74">
        <f t="shared" si="412"/>
        <v>15538.2</v>
      </c>
      <c r="BG141" s="74">
        <f t="shared" si="412"/>
        <v>0</v>
      </c>
      <c r="BH141" s="74">
        <f t="shared" si="412"/>
        <v>0</v>
      </c>
      <c r="BI141" s="74">
        <f t="shared" si="412"/>
        <v>0</v>
      </c>
      <c r="BJ141" s="74">
        <f t="shared" si="412"/>
        <v>0</v>
      </c>
      <c r="BK141" s="74">
        <f>SUM(BK133:BK140)</f>
        <v>1275489.5265915561</v>
      </c>
      <c r="BM141" s="74">
        <f>SUM(BM133:BM140)</f>
        <v>154465.10666975976</v>
      </c>
      <c r="BN141" s="74">
        <f t="shared" ref="BN141:BS141" si="413">SUM(BN133:BN140)</f>
        <v>0</v>
      </c>
      <c r="BO141" s="74">
        <f t="shared" si="413"/>
        <v>9719.4375</v>
      </c>
      <c r="BP141" s="74">
        <f t="shared" si="413"/>
        <v>0</v>
      </c>
      <c r="BQ141" s="74">
        <f t="shared" si="413"/>
        <v>0</v>
      </c>
      <c r="BR141" s="74">
        <f t="shared" si="413"/>
        <v>0</v>
      </c>
      <c r="BS141" s="74">
        <f t="shared" si="413"/>
        <v>0</v>
      </c>
      <c r="BT141" s="74">
        <f>SUM(BT133:BT140)</f>
        <v>164184.54416975976</v>
      </c>
      <c r="BV141" s="74">
        <f>SUM(BV133:BV140)</f>
        <v>18337742.297560927</v>
      </c>
      <c r="BW141" s="74">
        <f t="shared" ref="BW141:CB141" si="414">SUM(BW133:BW140)</f>
        <v>2713946.8015647312</v>
      </c>
      <c r="BX141" s="74">
        <f t="shared" si="414"/>
        <v>268233.74030573189</v>
      </c>
      <c r="BY141" s="74">
        <f t="shared" si="414"/>
        <v>0</v>
      </c>
      <c r="BZ141" s="74">
        <f t="shared" si="414"/>
        <v>0</v>
      </c>
      <c r="CA141" s="74">
        <f t="shared" si="414"/>
        <v>0</v>
      </c>
      <c r="CB141" s="74">
        <f t="shared" si="414"/>
        <v>0</v>
      </c>
      <c r="CC141" s="74">
        <f>SUM(CC133:CC140)</f>
        <v>21319922.83943139</v>
      </c>
    </row>
    <row r="142" spans="1:81" ht="15">
      <c r="A142" s="70" t="s">
        <v>124</v>
      </c>
      <c r="B142" s="71">
        <f t="shared" ref="B142:I142" si="415">B132+B141</f>
        <v>5834494.5798172187</v>
      </c>
      <c r="C142" s="71">
        <f t="shared" si="415"/>
        <v>800967.37392152846</v>
      </c>
      <c r="D142" s="71">
        <f t="shared" si="415"/>
        <v>98541.3</v>
      </c>
      <c r="E142" s="71">
        <f t="shared" si="415"/>
        <v>0</v>
      </c>
      <c r="F142" s="71">
        <f t="shared" si="415"/>
        <v>0</v>
      </c>
      <c r="G142" s="71">
        <f t="shared" si="415"/>
        <v>0</v>
      </c>
      <c r="H142" s="71">
        <f t="shared" si="415"/>
        <v>0</v>
      </c>
      <c r="I142" s="71">
        <f t="shared" si="415"/>
        <v>6734003.253738746</v>
      </c>
      <c r="J142" s="7"/>
      <c r="K142" s="71">
        <f t="shared" ref="K142:R142" si="416">K132+K141</f>
        <v>6287030.8056985084</v>
      </c>
      <c r="L142" s="71">
        <f t="shared" si="416"/>
        <v>823826.3918437073</v>
      </c>
      <c r="M142" s="71">
        <f t="shared" si="416"/>
        <v>108866.68109148185</v>
      </c>
      <c r="N142" s="71"/>
      <c r="O142" s="71">
        <f t="shared" si="416"/>
        <v>0</v>
      </c>
      <c r="P142" s="71">
        <f t="shared" si="416"/>
        <v>0</v>
      </c>
      <c r="Q142" s="71">
        <f t="shared" si="416"/>
        <v>0</v>
      </c>
      <c r="R142" s="71">
        <f t="shared" si="416"/>
        <v>7219723.8786336984</v>
      </c>
      <c r="T142" s="71">
        <f t="shared" ref="T142:AA142" si="417">T132+T141</f>
        <v>7593338.9764652597</v>
      </c>
      <c r="U142" s="71">
        <f t="shared" si="417"/>
        <v>1072247.8884587104</v>
      </c>
      <c r="V142" s="71">
        <f t="shared" si="417"/>
        <v>98004</v>
      </c>
      <c r="W142" s="71"/>
      <c r="X142" s="71">
        <f t="shared" si="417"/>
        <v>0</v>
      </c>
      <c r="Y142" s="71">
        <f t="shared" si="417"/>
        <v>0</v>
      </c>
      <c r="Z142" s="71">
        <f t="shared" si="417"/>
        <v>0</v>
      </c>
      <c r="AA142" s="71">
        <f t="shared" si="417"/>
        <v>8763590.8649239689</v>
      </c>
      <c r="AC142" s="71">
        <f t="shared" ref="AC142:AJ142" si="418">AC132+AC141</f>
        <v>15125192.368967216</v>
      </c>
      <c r="AD142" s="71">
        <f t="shared" si="418"/>
        <v>2504931.3279145993</v>
      </c>
      <c r="AE142" s="71">
        <f t="shared" si="418"/>
        <v>258550.2</v>
      </c>
      <c r="AF142" s="71">
        <f t="shared" si="418"/>
        <v>0</v>
      </c>
      <c r="AG142" s="71">
        <f t="shared" si="418"/>
        <v>0</v>
      </c>
      <c r="AH142" s="71">
        <f t="shared" si="418"/>
        <v>0</v>
      </c>
      <c r="AI142" s="71">
        <f t="shared" si="418"/>
        <v>0</v>
      </c>
      <c r="AJ142" s="71">
        <f t="shared" si="418"/>
        <v>17888673.896881815</v>
      </c>
      <c r="AL142" s="71">
        <f t="shared" ref="AL142:AS142" si="419">AL132+AL141</f>
        <v>13673367.045867516</v>
      </c>
      <c r="AM142" s="71">
        <f t="shared" si="419"/>
        <v>2132744.9404422352</v>
      </c>
      <c r="AN142" s="71">
        <f t="shared" si="419"/>
        <v>151412.1</v>
      </c>
      <c r="AO142" s="71">
        <f t="shared" si="419"/>
        <v>0</v>
      </c>
      <c r="AP142" s="71">
        <f t="shared" si="419"/>
        <v>0</v>
      </c>
      <c r="AQ142" s="71">
        <f t="shared" si="419"/>
        <v>0</v>
      </c>
      <c r="AR142" s="71">
        <f t="shared" si="419"/>
        <v>0</v>
      </c>
      <c r="AS142" s="71">
        <f t="shared" si="419"/>
        <v>15957524.08630975</v>
      </c>
      <c r="AU142" s="71">
        <f t="shared" ref="AU142:BB142" si="420">AU132+AU141</f>
        <v>468763.65044439893</v>
      </c>
      <c r="AV142" s="71">
        <f t="shared" si="420"/>
        <v>193760.0801306116</v>
      </c>
      <c r="AW142" s="71">
        <f t="shared" si="420"/>
        <v>0</v>
      </c>
      <c r="AX142" s="71">
        <f t="shared" si="420"/>
        <v>0</v>
      </c>
      <c r="AY142" s="71">
        <f t="shared" si="420"/>
        <v>0</v>
      </c>
      <c r="AZ142" s="71">
        <f t="shared" si="420"/>
        <v>0</v>
      </c>
      <c r="BA142" s="71">
        <f t="shared" si="420"/>
        <v>0</v>
      </c>
      <c r="BB142" s="71">
        <f t="shared" si="420"/>
        <v>662523.73057501053</v>
      </c>
      <c r="BD142" s="71">
        <f t="shared" ref="BD142:BK142" si="421">BD132+BD141</f>
        <v>3320102.619163244</v>
      </c>
      <c r="BE142" s="71">
        <f t="shared" si="421"/>
        <v>290958</v>
      </c>
      <c r="BF142" s="71">
        <f t="shared" si="421"/>
        <v>45778.2</v>
      </c>
      <c r="BG142" s="71">
        <f t="shared" si="421"/>
        <v>0</v>
      </c>
      <c r="BH142" s="71">
        <f t="shared" si="421"/>
        <v>0</v>
      </c>
      <c r="BI142" s="71">
        <f t="shared" si="421"/>
        <v>0</v>
      </c>
      <c r="BJ142" s="71">
        <f t="shared" si="421"/>
        <v>0</v>
      </c>
      <c r="BK142" s="71">
        <f t="shared" si="421"/>
        <v>3656838.8191632438</v>
      </c>
      <c r="BM142" s="71">
        <f t="shared" ref="BM142:BT142" si="422">BM132+BM141</f>
        <v>451805.42478094704</v>
      </c>
      <c r="BN142" s="71">
        <f t="shared" si="422"/>
        <v>0</v>
      </c>
      <c r="BO142" s="71">
        <f t="shared" si="422"/>
        <v>28794.4375</v>
      </c>
      <c r="BP142" s="71">
        <f t="shared" si="422"/>
        <v>0</v>
      </c>
      <c r="BQ142" s="71">
        <f t="shared" si="422"/>
        <v>0</v>
      </c>
      <c r="BR142" s="71">
        <f t="shared" si="422"/>
        <v>0</v>
      </c>
      <c r="BS142" s="71">
        <f t="shared" si="422"/>
        <v>0</v>
      </c>
      <c r="BT142" s="71">
        <f t="shared" si="422"/>
        <v>480599.86228094704</v>
      </c>
      <c r="BV142" s="71">
        <f t="shared" ref="BV142:CC142" si="423">BV132+BV141</f>
        <v>52754095.471204311</v>
      </c>
      <c r="BW142" s="71">
        <f t="shared" si="423"/>
        <v>7819436.0027113929</v>
      </c>
      <c r="BX142" s="71">
        <f t="shared" si="423"/>
        <v>789946.91859148187</v>
      </c>
      <c r="BY142" s="71">
        <f t="shared" si="423"/>
        <v>0</v>
      </c>
      <c r="BZ142" s="71">
        <f t="shared" si="423"/>
        <v>0</v>
      </c>
      <c r="CA142" s="71">
        <f t="shared" si="423"/>
        <v>0</v>
      </c>
      <c r="CB142" s="71">
        <f t="shared" si="423"/>
        <v>0</v>
      </c>
      <c r="CC142" s="71">
        <f t="shared" si="423"/>
        <v>61363478.392507173</v>
      </c>
    </row>
    <row r="143" spans="1:81" ht="15">
      <c r="A143" s="75" t="s">
        <v>125</v>
      </c>
      <c r="B143" s="18" t="str">
        <f t="shared" ref="B143:I143" si="424">B1</f>
        <v>Operating</v>
      </c>
      <c r="C143" s="18" t="str">
        <f t="shared" si="424"/>
        <v>SPED</v>
      </c>
      <c r="D143" s="18" t="str">
        <f t="shared" si="424"/>
        <v>NSLP</v>
      </c>
      <c r="E143" s="18" t="str">
        <f t="shared" si="424"/>
        <v>Other</v>
      </c>
      <c r="F143" s="18" t="str">
        <f t="shared" si="424"/>
        <v>Title I</v>
      </c>
      <c r="G143" s="18" t="str">
        <f t="shared" si="424"/>
        <v>SGF</v>
      </c>
      <c r="H143" s="18" t="str">
        <f t="shared" si="424"/>
        <v>Title III</v>
      </c>
      <c r="I143" s="18" t="str">
        <f t="shared" si="424"/>
        <v>Horizon</v>
      </c>
      <c r="J143" s="7"/>
      <c r="K143" s="18" t="str">
        <f t="shared" ref="K143:R143" si="425">K1</f>
        <v>Operating</v>
      </c>
      <c r="L143" s="18" t="str">
        <f t="shared" si="425"/>
        <v>SPED</v>
      </c>
      <c r="M143" s="18" t="str">
        <f t="shared" si="425"/>
        <v>NSLP</v>
      </c>
      <c r="N143" s="18" t="str">
        <f t="shared" si="425"/>
        <v>Other</v>
      </c>
      <c r="O143" s="18" t="str">
        <f t="shared" si="425"/>
        <v>Title I</v>
      </c>
      <c r="P143" s="18" t="str">
        <f t="shared" si="425"/>
        <v>SGF</v>
      </c>
      <c r="Q143" s="18" t="str">
        <f t="shared" si="425"/>
        <v>Title III</v>
      </c>
      <c r="R143" s="18" t="str">
        <f t="shared" si="425"/>
        <v>St. Rose</v>
      </c>
      <c r="T143" s="18" t="str">
        <f t="shared" ref="T143:AA143" si="426">T1</f>
        <v>Operating</v>
      </c>
      <c r="U143" s="18" t="str">
        <f t="shared" si="426"/>
        <v>SPED</v>
      </c>
      <c r="V143" s="18" t="str">
        <f t="shared" si="426"/>
        <v>NSLP</v>
      </c>
      <c r="W143" s="18" t="str">
        <f t="shared" si="426"/>
        <v>Other</v>
      </c>
      <c r="X143" s="18" t="str">
        <f t="shared" si="426"/>
        <v>Title I</v>
      </c>
      <c r="Y143" s="18" t="str">
        <f t="shared" si="426"/>
        <v>SGF</v>
      </c>
      <c r="Z143" s="18" t="str">
        <f t="shared" si="426"/>
        <v>Title III</v>
      </c>
      <c r="AA143" s="18" t="str">
        <f t="shared" si="426"/>
        <v>Inspirada</v>
      </c>
      <c r="AC143" s="18" t="str">
        <f t="shared" ref="AC143:AJ143" si="427">AC1</f>
        <v>Operating</v>
      </c>
      <c r="AD143" s="18" t="str">
        <f t="shared" si="427"/>
        <v>SPED</v>
      </c>
      <c r="AE143" s="18" t="str">
        <f t="shared" si="427"/>
        <v>NSLP</v>
      </c>
      <c r="AF143" s="18" t="str">
        <f t="shared" si="427"/>
        <v>Other</v>
      </c>
      <c r="AG143" s="18" t="str">
        <f t="shared" si="427"/>
        <v>Title I</v>
      </c>
      <c r="AH143" s="18" t="str">
        <f t="shared" si="427"/>
        <v>SGF</v>
      </c>
      <c r="AI143" s="18" t="str">
        <f t="shared" si="427"/>
        <v>Title III</v>
      </c>
      <c r="AJ143" s="18" t="str">
        <f t="shared" si="427"/>
        <v>Cadence</v>
      </c>
      <c r="AL143" s="18" t="str">
        <f t="shared" ref="AL143:AS143" si="428">AL1</f>
        <v>Operating</v>
      </c>
      <c r="AM143" s="18" t="str">
        <f t="shared" si="428"/>
        <v>SPED</v>
      </c>
      <c r="AN143" s="18" t="str">
        <f t="shared" si="428"/>
        <v>NSLP</v>
      </c>
      <c r="AO143" s="18" t="str">
        <f t="shared" si="428"/>
        <v>Other</v>
      </c>
      <c r="AP143" s="18" t="str">
        <f t="shared" si="428"/>
        <v>Title I</v>
      </c>
      <c r="AQ143" s="18" t="str">
        <f t="shared" si="428"/>
        <v>SGF</v>
      </c>
      <c r="AR143" s="18" t="str">
        <f t="shared" si="428"/>
        <v>Title III</v>
      </c>
      <c r="AS143" s="18" t="str">
        <f t="shared" si="428"/>
        <v>Sloan</v>
      </c>
      <c r="AU143" s="18" t="str">
        <f t="shared" ref="AU143:BB143" si="429">AU1</f>
        <v>Operating</v>
      </c>
      <c r="AV143" s="18" t="str">
        <f t="shared" si="429"/>
        <v>SPED</v>
      </c>
      <c r="AW143" s="18" t="str">
        <f t="shared" si="429"/>
        <v>NSLP</v>
      </c>
      <c r="AX143" s="18" t="str">
        <f t="shared" si="429"/>
        <v>Other</v>
      </c>
      <c r="AY143" s="18" t="str">
        <f t="shared" si="429"/>
        <v>Title I</v>
      </c>
      <c r="AZ143" s="18" t="str">
        <f t="shared" si="429"/>
        <v>SGF</v>
      </c>
      <c r="BA143" s="18" t="str">
        <f t="shared" si="429"/>
        <v>Title III</v>
      </c>
      <c r="BB143" s="18" t="str">
        <f t="shared" si="429"/>
        <v>Virtual</v>
      </c>
      <c r="BD143" s="18" t="str">
        <f t="shared" ref="BD143:BK143" si="430">BD1</f>
        <v>Operating</v>
      </c>
      <c r="BE143" s="18" t="str">
        <f t="shared" si="430"/>
        <v>SPED</v>
      </c>
      <c r="BF143" s="18" t="str">
        <f t="shared" si="430"/>
        <v>NSLP</v>
      </c>
      <c r="BG143" s="18" t="str">
        <f t="shared" si="430"/>
        <v>Other</v>
      </c>
      <c r="BH143" s="18" t="str">
        <f t="shared" si="430"/>
        <v>Title I</v>
      </c>
      <c r="BI143" s="18" t="str">
        <f t="shared" si="430"/>
        <v>SGF</v>
      </c>
      <c r="BJ143" s="18" t="str">
        <f t="shared" si="430"/>
        <v>Title III</v>
      </c>
      <c r="BK143" s="18" t="str">
        <f t="shared" si="430"/>
        <v>Springs</v>
      </c>
      <c r="BM143" s="18" t="str">
        <f t="shared" ref="BM143:BT143" si="431">BM1</f>
        <v>Operating</v>
      </c>
      <c r="BN143" s="18" t="str">
        <f t="shared" si="431"/>
        <v>SPED</v>
      </c>
      <c r="BO143" s="18" t="str">
        <f t="shared" si="431"/>
        <v>NSLP</v>
      </c>
      <c r="BP143" s="18" t="str">
        <f t="shared" si="431"/>
        <v>Other</v>
      </c>
      <c r="BQ143" s="18" t="str">
        <f t="shared" si="431"/>
        <v>Title I</v>
      </c>
      <c r="BR143" s="18" t="str">
        <f t="shared" si="431"/>
        <v>SGF</v>
      </c>
      <c r="BS143" s="18" t="str">
        <f t="shared" si="431"/>
        <v>Title III</v>
      </c>
      <c r="BT143" s="18" t="str">
        <f t="shared" si="431"/>
        <v>Exec. Office</v>
      </c>
      <c r="BV143" s="18" t="str">
        <f t="shared" ref="BV143:CC143" si="432">BV1</f>
        <v>Operating</v>
      </c>
      <c r="BW143" s="18" t="str">
        <f t="shared" si="432"/>
        <v>SPED</v>
      </c>
      <c r="BX143" s="18" t="str">
        <f t="shared" si="432"/>
        <v>NSLP</v>
      </c>
      <c r="BY143" s="18" t="str">
        <f t="shared" si="432"/>
        <v>Other</v>
      </c>
      <c r="BZ143" s="18" t="str">
        <f t="shared" si="432"/>
        <v>Title I</v>
      </c>
      <c r="CA143" s="18" t="str">
        <f t="shared" si="432"/>
        <v>SGF</v>
      </c>
      <c r="CB143" s="18" t="str">
        <f t="shared" si="432"/>
        <v>Title III</v>
      </c>
      <c r="CC143" s="18" t="str">
        <f t="shared" si="432"/>
        <v>Systemwide</v>
      </c>
    </row>
    <row r="144" spans="1:81">
      <c r="A144" s="76" t="s">
        <v>126</v>
      </c>
      <c r="B144" s="5">
        <f>210*B17</f>
        <v>195300</v>
      </c>
      <c r="C144" s="11"/>
      <c r="D144" s="11"/>
      <c r="E144" s="11"/>
      <c r="F144" s="11"/>
      <c r="G144" s="11"/>
      <c r="H144" s="11"/>
      <c r="I144" s="5">
        <f t="shared" ref="I144:I152" si="433">SUM(B144:H144)</f>
        <v>195300</v>
      </c>
      <c r="K144" s="5">
        <f>210*K17</f>
        <v>216720</v>
      </c>
      <c r="L144" s="11"/>
      <c r="M144" s="11"/>
      <c r="N144" s="11"/>
      <c r="O144" s="11"/>
      <c r="P144" s="11"/>
      <c r="Q144" s="11"/>
      <c r="R144" s="5">
        <f t="shared" ref="R144:R152" si="434">SUM(K144:Q144)</f>
        <v>216720</v>
      </c>
      <c r="T144" s="5">
        <f>210*T17</f>
        <v>261450</v>
      </c>
      <c r="U144" s="11"/>
      <c r="V144" s="11"/>
      <c r="W144" s="11"/>
      <c r="X144" s="11"/>
      <c r="Y144" s="11"/>
      <c r="Z144" s="11"/>
      <c r="AA144" s="5">
        <f t="shared" ref="AA144:AA152" si="435">SUM(T144:Z144)</f>
        <v>261450</v>
      </c>
      <c r="AC144" s="5">
        <f>210*AC17</f>
        <v>534660</v>
      </c>
      <c r="AD144" s="11"/>
      <c r="AE144" s="11"/>
      <c r="AF144" s="11"/>
      <c r="AG144" s="11"/>
      <c r="AH144" s="11"/>
      <c r="AI144" s="11"/>
      <c r="AJ144" s="5">
        <f t="shared" ref="AJ144:AJ152" si="436">SUM(AC144:AI144)</f>
        <v>534660</v>
      </c>
      <c r="AL144" s="5">
        <f>210*AL17</f>
        <v>504420</v>
      </c>
      <c r="AM144" s="11"/>
      <c r="AN144" s="11"/>
      <c r="AO144" s="11"/>
      <c r="AP144" s="11"/>
      <c r="AQ144" s="11"/>
      <c r="AR144" s="11"/>
      <c r="AS144" s="5">
        <f t="shared" ref="AS144:AS152" si="437">SUM(AL144:AR144)</f>
        <v>504420</v>
      </c>
      <c r="AU144" s="5">
        <f>210*AU17</f>
        <v>29400</v>
      </c>
      <c r="AV144" s="11"/>
      <c r="AW144" s="11"/>
      <c r="AX144" s="11"/>
      <c r="AY144" s="11"/>
      <c r="AZ144" s="11"/>
      <c r="BA144" s="11"/>
      <c r="BB144" s="5">
        <f t="shared" ref="BB144:BB152" si="438">SUM(AU144:BA144)</f>
        <v>29400</v>
      </c>
      <c r="BD144" s="5">
        <f>210*BD17</f>
        <v>119910</v>
      </c>
      <c r="BE144" s="11"/>
      <c r="BF144" s="11"/>
      <c r="BG144" s="11"/>
      <c r="BH144" s="11"/>
      <c r="BI144" s="11"/>
      <c r="BJ144" s="11"/>
      <c r="BK144" s="5">
        <f t="shared" ref="BK144:BK152" si="439">SUM(BD144:BJ144)</f>
        <v>119910</v>
      </c>
      <c r="BM144" s="5">
        <f>(150*BM17)</f>
        <v>0</v>
      </c>
      <c r="BN144" s="11"/>
      <c r="BO144" s="11"/>
      <c r="BP144" s="11"/>
      <c r="BQ144" s="11"/>
      <c r="BR144" s="11"/>
      <c r="BS144" s="11"/>
      <c r="BT144" s="5">
        <f t="shared" ref="BT144:BT152" si="440">SUM(BM144:BS144)</f>
        <v>0</v>
      </c>
      <c r="BV144" s="5">
        <f t="shared" ref="BV144:CA153" si="441">B144+K144+T144+AC144+AL144+AU144+BD144+BM144</f>
        <v>1861860</v>
      </c>
      <c r="BW144" s="5">
        <f t="shared" si="441"/>
        <v>0</v>
      </c>
      <c r="BX144" s="5">
        <f t="shared" si="441"/>
        <v>0</v>
      </c>
      <c r="BY144" s="5">
        <f t="shared" si="441"/>
        <v>0</v>
      </c>
      <c r="BZ144" s="5">
        <f t="shared" si="441"/>
        <v>0</v>
      </c>
      <c r="CA144" s="5">
        <f t="shared" si="441"/>
        <v>0</v>
      </c>
      <c r="CB144" s="11"/>
      <c r="CC144" s="5">
        <f t="shared" ref="CC144:CC152" si="442">SUM(BV144:CB144)</f>
        <v>1861860</v>
      </c>
    </row>
    <row r="145" spans="1:81">
      <c r="A145" s="77" t="s">
        <v>127</v>
      </c>
      <c r="B145" s="5">
        <v>0</v>
      </c>
      <c r="C145" s="11"/>
      <c r="D145" s="11"/>
      <c r="E145" s="11"/>
      <c r="F145" s="11"/>
      <c r="G145" s="11"/>
      <c r="H145" s="11"/>
      <c r="I145" s="5">
        <f t="shared" si="433"/>
        <v>0</v>
      </c>
      <c r="K145" s="5">
        <v>0</v>
      </c>
      <c r="L145" s="11"/>
      <c r="M145" s="11"/>
      <c r="N145" s="11"/>
      <c r="O145" s="11"/>
      <c r="P145" s="11"/>
      <c r="Q145" s="11"/>
      <c r="R145" s="5">
        <f t="shared" si="434"/>
        <v>0</v>
      </c>
      <c r="T145" s="5">
        <v>0</v>
      </c>
      <c r="U145" s="11"/>
      <c r="V145" s="11"/>
      <c r="W145" s="11"/>
      <c r="X145" s="11"/>
      <c r="Y145" s="11"/>
      <c r="Z145" s="11"/>
      <c r="AA145" s="5">
        <f t="shared" si="435"/>
        <v>0</v>
      </c>
      <c r="AC145" s="99">
        <f>175000+AC94</f>
        <v>175000</v>
      </c>
      <c r="AD145" s="11"/>
      <c r="AE145" s="11"/>
      <c r="AF145" s="11"/>
      <c r="AG145" s="11"/>
      <c r="AH145" s="11"/>
      <c r="AI145" s="11"/>
      <c r="AJ145" s="5">
        <f t="shared" si="436"/>
        <v>175000</v>
      </c>
      <c r="AL145" s="11">
        <v>185000</v>
      </c>
      <c r="AM145" s="11"/>
      <c r="AN145" s="11"/>
      <c r="AO145" s="11"/>
      <c r="AP145" s="11"/>
      <c r="AQ145" s="11"/>
      <c r="AR145" s="11"/>
      <c r="AS145" s="5">
        <f t="shared" si="437"/>
        <v>185000</v>
      </c>
      <c r="AU145" s="11">
        <f>5*400*8</f>
        <v>16000</v>
      </c>
      <c r="AV145" s="11"/>
      <c r="AW145" s="11"/>
      <c r="AX145" s="11"/>
      <c r="AY145" s="11"/>
      <c r="AZ145" s="11"/>
      <c r="BA145" s="11"/>
      <c r="BB145" s="5">
        <f t="shared" si="438"/>
        <v>16000</v>
      </c>
      <c r="BD145" s="5">
        <v>0</v>
      </c>
      <c r="BE145" s="11"/>
      <c r="BF145" s="11"/>
      <c r="BG145" s="11"/>
      <c r="BH145" s="11"/>
      <c r="BI145" s="11"/>
      <c r="BJ145" s="11"/>
      <c r="BK145" s="5">
        <f t="shared" si="439"/>
        <v>0</v>
      </c>
      <c r="BM145" s="5">
        <v>0</v>
      </c>
      <c r="BN145" s="11"/>
      <c r="BO145" s="11"/>
      <c r="BP145" s="11"/>
      <c r="BQ145" s="11"/>
      <c r="BR145" s="11"/>
      <c r="BS145" s="11"/>
      <c r="BT145" s="5">
        <f t="shared" si="440"/>
        <v>0</v>
      </c>
      <c r="BV145" s="5">
        <f t="shared" si="441"/>
        <v>376000</v>
      </c>
      <c r="BW145" s="5">
        <f t="shared" si="441"/>
        <v>0</v>
      </c>
      <c r="BX145" s="5">
        <f t="shared" si="441"/>
        <v>0</v>
      </c>
      <c r="BY145" s="5">
        <f t="shared" si="441"/>
        <v>0</v>
      </c>
      <c r="BZ145" s="5">
        <f t="shared" si="441"/>
        <v>0</v>
      </c>
      <c r="CA145" s="5">
        <f t="shared" si="441"/>
        <v>0</v>
      </c>
      <c r="CB145" s="11"/>
      <c r="CC145" s="5">
        <f t="shared" si="442"/>
        <v>376000</v>
      </c>
    </row>
    <row r="146" spans="1:81">
      <c r="A146" s="29" t="s">
        <v>128</v>
      </c>
      <c r="B146" s="11"/>
      <c r="C146" s="11"/>
      <c r="D146" s="11"/>
      <c r="E146" s="11">
        <v>0</v>
      </c>
      <c r="F146" s="11"/>
      <c r="G146" s="11"/>
      <c r="H146" s="11"/>
      <c r="I146" s="5">
        <f t="shared" si="433"/>
        <v>0</v>
      </c>
      <c r="K146" s="11"/>
      <c r="L146" s="11"/>
      <c r="M146" s="11"/>
      <c r="N146" s="11"/>
      <c r="O146" s="11"/>
      <c r="P146" s="11"/>
      <c r="Q146" s="11"/>
      <c r="R146" s="5">
        <f t="shared" si="434"/>
        <v>0</v>
      </c>
      <c r="T146" s="11">
        <v>0</v>
      </c>
      <c r="U146" s="11"/>
      <c r="V146" s="11"/>
      <c r="W146" s="11"/>
      <c r="X146" s="11"/>
      <c r="Y146" s="11"/>
      <c r="Z146" s="11"/>
      <c r="AA146" s="5">
        <f t="shared" si="435"/>
        <v>0</v>
      </c>
      <c r="AC146" s="11">
        <f>1400*100</f>
        <v>140000</v>
      </c>
      <c r="AD146" s="11"/>
      <c r="AE146" s="11"/>
      <c r="AF146" s="11"/>
      <c r="AG146" s="11"/>
      <c r="AH146" s="11"/>
      <c r="AI146" s="11"/>
      <c r="AJ146" s="5">
        <f t="shared" si="436"/>
        <v>140000</v>
      </c>
      <c r="AL146" s="11">
        <f>(1250*120)</f>
        <v>150000</v>
      </c>
      <c r="AM146" s="11"/>
      <c r="AN146" s="11"/>
      <c r="AO146" s="11"/>
      <c r="AP146" s="11"/>
      <c r="AQ146" s="11"/>
      <c r="AR146" s="11"/>
      <c r="AS146" s="5">
        <f t="shared" si="437"/>
        <v>150000</v>
      </c>
      <c r="AU146" s="11">
        <v>0</v>
      </c>
      <c r="AV146" s="11"/>
      <c r="AW146" s="11"/>
      <c r="AX146" s="11">
        <v>0</v>
      </c>
      <c r="AY146" s="11"/>
      <c r="AZ146" s="11"/>
      <c r="BA146" s="11"/>
      <c r="BB146" s="5">
        <f t="shared" si="438"/>
        <v>0</v>
      </c>
      <c r="BD146" s="11">
        <f>100*1300</f>
        <v>130000</v>
      </c>
      <c r="BE146" s="11"/>
      <c r="BF146" s="11"/>
      <c r="BG146" s="11">
        <v>0</v>
      </c>
      <c r="BH146" s="11"/>
      <c r="BI146" s="11"/>
      <c r="BJ146" s="11"/>
      <c r="BK146" s="5">
        <f t="shared" si="439"/>
        <v>130000</v>
      </c>
      <c r="BM146" s="11">
        <f>20*BM17</f>
        <v>0</v>
      </c>
      <c r="BN146" s="11"/>
      <c r="BO146" s="11"/>
      <c r="BP146" s="11">
        <v>0</v>
      </c>
      <c r="BQ146" s="11"/>
      <c r="BR146" s="11"/>
      <c r="BS146" s="11"/>
      <c r="BT146" s="5">
        <f t="shared" si="440"/>
        <v>0</v>
      </c>
      <c r="BV146" s="5">
        <f t="shared" si="441"/>
        <v>420000</v>
      </c>
      <c r="BW146" s="5">
        <f t="shared" si="441"/>
        <v>0</v>
      </c>
      <c r="BX146" s="5">
        <f t="shared" si="441"/>
        <v>0</v>
      </c>
      <c r="BY146" s="5">
        <f t="shared" si="441"/>
        <v>0</v>
      </c>
      <c r="BZ146" s="5">
        <f t="shared" si="441"/>
        <v>0</v>
      </c>
      <c r="CA146" s="5">
        <f t="shared" si="441"/>
        <v>0</v>
      </c>
      <c r="CB146" s="11"/>
      <c r="CC146" s="5">
        <f t="shared" si="442"/>
        <v>420000</v>
      </c>
    </row>
    <row r="147" spans="1:81">
      <c r="A147" s="29" t="s">
        <v>129</v>
      </c>
      <c r="B147" s="5">
        <f>25*B17</f>
        <v>23250</v>
      </c>
      <c r="C147" s="11"/>
      <c r="D147" s="11">
        <v>3500</v>
      </c>
      <c r="E147" s="11"/>
      <c r="F147" s="11"/>
      <c r="G147" s="11"/>
      <c r="H147" s="11"/>
      <c r="I147" s="5">
        <f t="shared" si="433"/>
        <v>26750</v>
      </c>
      <c r="K147" s="5">
        <f>25*K17</f>
        <v>25800</v>
      </c>
      <c r="L147" s="11"/>
      <c r="M147" s="11">
        <v>2500</v>
      </c>
      <c r="N147" s="11"/>
      <c r="O147" s="11"/>
      <c r="P147" s="11"/>
      <c r="Q147" s="11"/>
      <c r="R147" s="5">
        <f t="shared" si="434"/>
        <v>28300</v>
      </c>
      <c r="T147" s="5">
        <f>25*T17</f>
        <v>31125</v>
      </c>
      <c r="U147" s="11"/>
      <c r="V147" s="11"/>
      <c r="W147" s="11"/>
      <c r="X147" s="11"/>
      <c r="Y147" s="11"/>
      <c r="Z147" s="11"/>
      <c r="AA147" s="5">
        <f t="shared" si="435"/>
        <v>31125</v>
      </c>
      <c r="AC147" s="5">
        <f>25*AC17</f>
        <v>63650</v>
      </c>
      <c r="AD147" s="11"/>
      <c r="AE147" s="11">
        <v>3500</v>
      </c>
      <c r="AF147" s="11"/>
      <c r="AG147" s="11"/>
      <c r="AH147" s="11"/>
      <c r="AI147" s="11"/>
      <c r="AJ147" s="5">
        <f t="shared" si="436"/>
        <v>67150</v>
      </c>
      <c r="AL147" s="5">
        <f>25*AL17</f>
        <v>60050</v>
      </c>
      <c r="AM147" s="11"/>
      <c r="AN147" s="11">
        <v>3500</v>
      </c>
      <c r="AO147" s="11"/>
      <c r="AP147" s="11"/>
      <c r="AQ147" s="11"/>
      <c r="AR147" s="11"/>
      <c r="AS147" s="5">
        <f t="shared" si="437"/>
        <v>63550</v>
      </c>
      <c r="AU147" s="11">
        <f>25*AU17</f>
        <v>3500</v>
      </c>
      <c r="AV147" s="11"/>
      <c r="AW147" s="11">
        <v>0</v>
      </c>
      <c r="AX147" s="11"/>
      <c r="AY147" s="11"/>
      <c r="AZ147" s="11"/>
      <c r="BA147" s="11"/>
      <c r="BB147" s="5">
        <f t="shared" si="438"/>
        <v>3500</v>
      </c>
      <c r="BD147" s="5">
        <f>25*BD17</f>
        <v>14275</v>
      </c>
      <c r="BE147" s="11"/>
      <c r="BF147" s="11">
        <v>2500</v>
      </c>
      <c r="BG147" s="11"/>
      <c r="BH147" s="11"/>
      <c r="BI147" s="11"/>
      <c r="BJ147" s="11"/>
      <c r="BK147" s="5">
        <f t="shared" si="439"/>
        <v>16775</v>
      </c>
      <c r="BM147" s="5">
        <f>25*BM17</f>
        <v>0</v>
      </c>
      <c r="BN147" s="11"/>
      <c r="BO147" s="11">
        <v>0</v>
      </c>
      <c r="BP147" s="11"/>
      <c r="BQ147" s="11"/>
      <c r="BR147" s="11"/>
      <c r="BS147" s="11"/>
      <c r="BT147" s="5">
        <f t="shared" si="440"/>
        <v>0</v>
      </c>
      <c r="BV147" s="5">
        <f t="shared" si="441"/>
        <v>221650</v>
      </c>
      <c r="BW147" s="5">
        <f t="shared" si="441"/>
        <v>0</v>
      </c>
      <c r="BX147" s="5">
        <f t="shared" si="441"/>
        <v>15500</v>
      </c>
      <c r="BY147" s="5">
        <f t="shared" si="441"/>
        <v>0</v>
      </c>
      <c r="BZ147" s="5">
        <f t="shared" si="441"/>
        <v>0</v>
      </c>
      <c r="CA147" s="5">
        <f t="shared" si="441"/>
        <v>0</v>
      </c>
      <c r="CB147" s="11"/>
      <c r="CC147" s="5">
        <f t="shared" si="442"/>
        <v>237150</v>
      </c>
    </row>
    <row r="148" spans="1:81">
      <c r="A148" s="29" t="s">
        <v>130</v>
      </c>
      <c r="B148" s="5">
        <f>40*B17</f>
        <v>37200</v>
      </c>
      <c r="C148" s="11"/>
      <c r="D148" s="11"/>
      <c r="E148" s="11"/>
      <c r="F148" s="11"/>
      <c r="G148" s="11"/>
      <c r="H148" s="11"/>
      <c r="I148" s="5">
        <f t="shared" si="433"/>
        <v>37200</v>
      </c>
      <c r="K148" s="5">
        <f>40*K17</f>
        <v>41280</v>
      </c>
      <c r="L148" s="11"/>
      <c r="M148" s="11"/>
      <c r="N148" s="11"/>
      <c r="O148" s="11"/>
      <c r="P148" s="11"/>
      <c r="Q148" s="11"/>
      <c r="R148" s="5">
        <f t="shared" si="434"/>
        <v>41280</v>
      </c>
      <c r="T148" s="5">
        <f>40*T17</f>
        <v>49800</v>
      </c>
      <c r="U148" s="11"/>
      <c r="V148" s="11"/>
      <c r="W148" s="11"/>
      <c r="X148" s="11"/>
      <c r="Y148" s="11"/>
      <c r="Z148" s="11"/>
      <c r="AA148" s="5">
        <f t="shared" si="435"/>
        <v>49800</v>
      </c>
      <c r="AC148" s="5">
        <f>40*AC17</f>
        <v>101840</v>
      </c>
      <c r="AD148" s="11"/>
      <c r="AE148" s="11"/>
      <c r="AF148" s="11"/>
      <c r="AG148" s="11"/>
      <c r="AH148" s="11"/>
      <c r="AI148" s="11"/>
      <c r="AJ148" s="5">
        <f t="shared" si="436"/>
        <v>101840</v>
      </c>
      <c r="AL148" s="5">
        <f>40*AL17</f>
        <v>96080</v>
      </c>
      <c r="AM148" s="11"/>
      <c r="AN148" s="11"/>
      <c r="AO148" s="11"/>
      <c r="AP148" s="11"/>
      <c r="AQ148" s="11"/>
      <c r="AR148" s="11"/>
      <c r="AS148" s="5">
        <f t="shared" si="437"/>
        <v>96080</v>
      </c>
      <c r="AU148" s="5">
        <f>20*AU17</f>
        <v>2800</v>
      </c>
      <c r="AV148" s="11"/>
      <c r="AW148" s="11"/>
      <c r="AX148" s="11"/>
      <c r="AY148" s="11"/>
      <c r="AZ148" s="11"/>
      <c r="BA148" s="11"/>
      <c r="BB148" s="5">
        <f t="shared" si="438"/>
        <v>2800</v>
      </c>
      <c r="BD148" s="5">
        <f>40*BD17</f>
        <v>22840</v>
      </c>
      <c r="BE148" s="11"/>
      <c r="BF148" s="11"/>
      <c r="BG148" s="11"/>
      <c r="BH148" s="11">
        <v>0</v>
      </c>
      <c r="BI148" s="11"/>
      <c r="BJ148" s="11"/>
      <c r="BK148" s="5">
        <f t="shared" si="439"/>
        <v>22840</v>
      </c>
      <c r="BM148" s="5">
        <f>40*BM17</f>
        <v>0</v>
      </c>
      <c r="BN148" s="11"/>
      <c r="BO148" s="11"/>
      <c r="BP148" s="11"/>
      <c r="BQ148" s="11"/>
      <c r="BR148" s="11"/>
      <c r="BS148" s="11"/>
      <c r="BT148" s="5">
        <f t="shared" si="440"/>
        <v>0</v>
      </c>
      <c r="BV148" s="5">
        <f t="shared" si="441"/>
        <v>351840</v>
      </c>
      <c r="BW148" s="5">
        <f t="shared" si="441"/>
        <v>0</v>
      </c>
      <c r="BX148" s="5">
        <f t="shared" si="441"/>
        <v>0</v>
      </c>
      <c r="BY148" s="5">
        <f t="shared" si="441"/>
        <v>0</v>
      </c>
      <c r="BZ148" s="5">
        <f t="shared" si="441"/>
        <v>0</v>
      </c>
      <c r="CA148" s="5">
        <f t="shared" si="441"/>
        <v>0</v>
      </c>
      <c r="CB148" s="11"/>
      <c r="CC148" s="5">
        <f t="shared" si="442"/>
        <v>351840</v>
      </c>
    </row>
    <row r="149" spans="1:81">
      <c r="A149" s="29" t="s">
        <v>131</v>
      </c>
      <c r="B149" s="5">
        <f>15*B17</f>
        <v>13950</v>
      </c>
      <c r="C149" s="11"/>
      <c r="D149" s="11"/>
      <c r="E149" s="11"/>
      <c r="F149" s="11"/>
      <c r="G149" s="11"/>
      <c r="H149" s="11"/>
      <c r="I149" s="5">
        <f t="shared" si="433"/>
        <v>13950</v>
      </c>
      <c r="K149" s="5">
        <f>15*K17</f>
        <v>15480</v>
      </c>
      <c r="L149" s="11"/>
      <c r="M149" s="11"/>
      <c r="N149" s="11"/>
      <c r="O149" s="11"/>
      <c r="P149" s="11"/>
      <c r="Q149" s="11"/>
      <c r="R149" s="5">
        <f t="shared" si="434"/>
        <v>15480</v>
      </c>
      <c r="T149" s="5">
        <f>15*T17</f>
        <v>18675</v>
      </c>
      <c r="U149" s="11"/>
      <c r="V149" s="11"/>
      <c r="W149" s="11"/>
      <c r="X149" s="11"/>
      <c r="Y149" s="11"/>
      <c r="Z149" s="11"/>
      <c r="AA149" s="5">
        <f t="shared" si="435"/>
        <v>18675</v>
      </c>
      <c r="AC149" s="5">
        <f>15*AC17</f>
        <v>38190</v>
      </c>
      <c r="AD149" s="11"/>
      <c r="AE149" s="11"/>
      <c r="AF149" s="11"/>
      <c r="AG149" s="11"/>
      <c r="AH149" s="11"/>
      <c r="AI149" s="11"/>
      <c r="AJ149" s="5">
        <f t="shared" si="436"/>
        <v>38190</v>
      </c>
      <c r="AL149" s="5">
        <f>15*AL17</f>
        <v>36030</v>
      </c>
      <c r="AM149" s="11"/>
      <c r="AN149" s="11"/>
      <c r="AO149" s="11"/>
      <c r="AP149" s="11"/>
      <c r="AQ149" s="11"/>
      <c r="AR149" s="11"/>
      <c r="AS149" s="5">
        <f t="shared" si="437"/>
        <v>36030</v>
      </c>
      <c r="AU149" s="5">
        <f>15*AU17</f>
        <v>2100</v>
      </c>
      <c r="AV149" s="11"/>
      <c r="AW149" s="11"/>
      <c r="AX149" s="11"/>
      <c r="AY149" s="11"/>
      <c r="AZ149" s="11"/>
      <c r="BA149" s="11"/>
      <c r="BB149" s="5">
        <f t="shared" si="438"/>
        <v>2100</v>
      </c>
      <c r="BD149" s="5">
        <f>15*BD17</f>
        <v>8565</v>
      </c>
      <c r="BE149" s="11"/>
      <c r="BF149" s="11"/>
      <c r="BG149" s="11"/>
      <c r="BH149" s="11"/>
      <c r="BI149" s="11"/>
      <c r="BJ149" s="11"/>
      <c r="BK149" s="5">
        <f t="shared" si="439"/>
        <v>8565</v>
      </c>
      <c r="BM149" s="5">
        <f>15*BM17</f>
        <v>0</v>
      </c>
      <c r="BN149" s="11"/>
      <c r="BO149" s="11"/>
      <c r="BP149" s="11"/>
      <c r="BQ149" s="11"/>
      <c r="BR149" s="11"/>
      <c r="BS149" s="11"/>
      <c r="BT149" s="5">
        <f t="shared" si="440"/>
        <v>0</v>
      </c>
      <c r="BV149" s="5">
        <f t="shared" si="441"/>
        <v>132990</v>
      </c>
      <c r="BW149" s="5">
        <f t="shared" si="441"/>
        <v>0</v>
      </c>
      <c r="BX149" s="5">
        <f t="shared" si="441"/>
        <v>0</v>
      </c>
      <c r="BY149" s="5">
        <f t="shared" si="441"/>
        <v>0</v>
      </c>
      <c r="BZ149" s="5">
        <f t="shared" si="441"/>
        <v>0</v>
      </c>
      <c r="CA149" s="5">
        <f t="shared" si="441"/>
        <v>0</v>
      </c>
      <c r="CB149" s="11"/>
      <c r="CC149" s="5">
        <f t="shared" si="442"/>
        <v>132990</v>
      </c>
    </row>
    <row r="150" spans="1:81">
      <c r="A150" s="29" t="s">
        <v>132</v>
      </c>
      <c r="B150" s="5">
        <f>8*B17</f>
        <v>7440</v>
      </c>
      <c r="C150" s="11"/>
      <c r="D150" s="11"/>
      <c r="E150" s="11"/>
      <c r="F150" s="11"/>
      <c r="G150" s="11"/>
      <c r="H150" s="11"/>
      <c r="I150" s="5">
        <f t="shared" si="433"/>
        <v>7440</v>
      </c>
      <c r="K150" s="5">
        <f>8*K17</f>
        <v>8256</v>
      </c>
      <c r="L150" s="11"/>
      <c r="M150" s="11"/>
      <c r="N150" s="11"/>
      <c r="O150" s="11"/>
      <c r="P150" s="11"/>
      <c r="Q150" s="11"/>
      <c r="R150" s="5">
        <f t="shared" si="434"/>
        <v>8256</v>
      </c>
      <c r="T150" s="5">
        <f>8*T17</f>
        <v>9960</v>
      </c>
      <c r="U150" s="11"/>
      <c r="V150" s="11"/>
      <c r="W150" s="11"/>
      <c r="X150" s="11"/>
      <c r="Y150" s="11"/>
      <c r="Z150" s="11"/>
      <c r="AA150" s="5">
        <f t="shared" si="435"/>
        <v>9960</v>
      </c>
      <c r="AC150" s="5">
        <f>8*AC17</f>
        <v>20368</v>
      </c>
      <c r="AD150" s="11"/>
      <c r="AE150" s="11"/>
      <c r="AF150" s="11"/>
      <c r="AG150" s="11"/>
      <c r="AH150" s="11"/>
      <c r="AI150" s="11"/>
      <c r="AJ150" s="5">
        <f t="shared" si="436"/>
        <v>20368</v>
      </c>
      <c r="AL150" s="5">
        <f>8*AL17</f>
        <v>19216</v>
      </c>
      <c r="AM150" s="11"/>
      <c r="AN150" s="11"/>
      <c r="AO150" s="11"/>
      <c r="AP150" s="11"/>
      <c r="AQ150" s="11"/>
      <c r="AR150" s="11"/>
      <c r="AS150" s="5">
        <f t="shared" si="437"/>
        <v>19216</v>
      </c>
      <c r="AU150" s="5">
        <v>0</v>
      </c>
      <c r="AV150" s="11"/>
      <c r="AW150" s="11"/>
      <c r="AX150" s="11"/>
      <c r="AY150" s="11"/>
      <c r="AZ150" s="11"/>
      <c r="BA150" s="11"/>
      <c r="BB150" s="5">
        <f t="shared" si="438"/>
        <v>0</v>
      </c>
      <c r="BD150" s="5">
        <f>8*BD17</f>
        <v>4568</v>
      </c>
      <c r="BE150" s="11"/>
      <c r="BF150" s="11"/>
      <c r="BG150" s="11"/>
      <c r="BH150" s="11"/>
      <c r="BI150" s="11"/>
      <c r="BJ150" s="11"/>
      <c r="BK150" s="5">
        <f t="shared" si="439"/>
        <v>4568</v>
      </c>
      <c r="BM150" s="5">
        <f>8*BM17</f>
        <v>0</v>
      </c>
      <c r="BN150" s="11"/>
      <c r="BO150" s="11"/>
      <c r="BP150" s="11"/>
      <c r="BQ150" s="11"/>
      <c r="BR150" s="11"/>
      <c r="BS150" s="11"/>
      <c r="BT150" s="5">
        <f t="shared" si="440"/>
        <v>0</v>
      </c>
      <c r="BV150" s="5">
        <f t="shared" si="441"/>
        <v>69808</v>
      </c>
      <c r="BW150" s="5">
        <f t="shared" si="441"/>
        <v>0</v>
      </c>
      <c r="BX150" s="5">
        <f t="shared" si="441"/>
        <v>0</v>
      </c>
      <c r="BY150" s="5">
        <f t="shared" si="441"/>
        <v>0</v>
      </c>
      <c r="BZ150" s="5">
        <f t="shared" si="441"/>
        <v>0</v>
      </c>
      <c r="CA150" s="5">
        <f t="shared" si="441"/>
        <v>0</v>
      </c>
      <c r="CB150" s="11"/>
      <c r="CC150" s="5">
        <f t="shared" si="442"/>
        <v>69808</v>
      </c>
    </row>
    <row r="151" spans="1:81">
      <c r="A151" s="29" t="s">
        <v>133</v>
      </c>
      <c r="B151" s="5">
        <f>129*B20</f>
        <v>0</v>
      </c>
      <c r="C151" s="11">
        <f>150*(C20)</f>
        <v>18651.381215469617</v>
      </c>
      <c r="D151" s="11"/>
      <c r="E151" s="11"/>
      <c r="F151" s="11"/>
      <c r="G151" s="11"/>
      <c r="H151" s="11"/>
      <c r="I151" s="5">
        <f t="shared" si="433"/>
        <v>18651.381215469617</v>
      </c>
      <c r="K151" s="5">
        <f>129*K20</f>
        <v>0</v>
      </c>
      <c r="L151" s="11">
        <f>150*(L20)</f>
        <v>11057.142857142857</v>
      </c>
      <c r="M151" s="11"/>
      <c r="N151" s="11"/>
      <c r="O151" s="11"/>
      <c r="P151" s="11"/>
      <c r="Q151" s="11"/>
      <c r="R151" s="5">
        <f t="shared" si="434"/>
        <v>11057.142857142857</v>
      </c>
      <c r="T151" s="5">
        <f>129*T20</f>
        <v>0</v>
      </c>
      <c r="U151" s="11">
        <f>150*(U20)</f>
        <v>16906.119027661356</v>
      </c>
      <c r="V151" s="11"/>
      <c r="W151" s="11"/>
      <c r="X151" s="11"/>
      <c r="Y151" s="11"/>
      <c r="Z151" s="11"/>
      <c r="AA151" s="5">
        <f t="shared" si="435"/>
        <v>16906.119027661356</v>
      </c>
      <c r="AC151" s="5">
        <f>129*AC20</f>
        <v>0</v>
      </c>
      <c r="AD151" s="11">
        <f>150*(AD20)</f>
        <v>45409.837467921294</v>
      </c>
      <c r="AE151" s="11"/>
      <c r="AF151" s="11"/>
      <c r="AG151" s="11"/>
      <c r="AH151" s="11"/>
      <c r="AI151" s="11"/>
      <c r="AJ151" s="5">
        <f t="shared" si="436"/>
        <v>45409.837467921294</v>
      </c>
      <c r="AL151" s="5">
        <f>129*AL20</f>
        <v>0</v>
      </c>
      <c r="AM151" s="11">
        <f>150*(AM20)</f>
        <v>33792.998678996039</v>
      </c>
      <c r="AN151" s="11"/>
      <c r="AO151" s="11"/>
      <c r="AP151" s="11"/>
      <c r="AQ151" s="11"/>
      <c r="AR151" s="11"/>
      <c r="AS151" s="5">
        <f t="shared" si="437"/>
        <v>33792.998678996039</v>
      </c>
      <c r="AU151" s="5"/>
      <c r="AV151" s="11">
        <f>150*(AV20)</f>
        <v>2800</v>
      </c>
      <c r="AW151" s="11"/>
      <c r="AX151" s="11"/>
      <c r="AY151" s="11"/>
      <c r="AZ151" s="11"/>
      <c r="BA151" s="11"/>
      <c r="BB151" s="5">
        <f t="shared" si="438"/>
        <v>2800</v>
      </c>
      <c r="BD151" s="5">
        <f>129*BD20</f>
        <v>0</v>
      </c>
      <c r="BE151" s="11">
        <f>150*(BE20)</f>
        <v>5473.872180451127</v>
      </c>
      <c r="BF151" s="11"/>
      <c r="BG151" s="11"/>
      <c r="BH151" s="11"/>
      <c r="BI151" s="11"/>
      <c r="BJ151" s="11"/>
      <c r="BK151" s="5">
        <f t="shared" si="439"/>
        <v>5473.872180451127</v>
      </c>
      <c r="BM151" s="5">
        <f>129*BM20</f>
        <v>0</v>
      </c>
      <c r="BN151" s="11">
        <f>150*(BN20)</f>
        <v>0</v>
      </c>
      <c r="BO151" s="11"/>
      <c r="BP151" s="11"/>
      <c r="BQ151" s="11"/>
      <c r="BR151" s="11"/>
      <c r="BS151" s="11"/>
      <c r="BT151" s="5">
        <f t="shared" si="440"/>
        <v>0</v>
      </c>
      <c r="BV151" s="5">
        <f t="shared" si="441"/>
        <v>0</v>
      </c>
      <c r="BW151" s="5">
        <f t="shared" si="441"/>
        <v>134091.35142764228</v>
      </c>
      <c r="BX151" s="5">
        <f t="shared" si="441"/>
        <v>0</v>
      </c>
      <c r="BY151" s="5">
        <f t="shared" si="441"/>
        <v>0</v>
      </c>
      <c r="BZ151" s="5">
        <f t="shared" si="441"/>
        <v>0</v>
      </c>
      <c r="CA151" s="5">
        <f t="shared" si="441"/>
        <v>0</v>
      </c>
      <c r="CB151" s="11"/>
      <c r="CC151" s="5">
        <f t="shared" si="442"/>
        <v>134091.35142764228</v>
      </c>
    </row>
    <row r="152" spans="1:81">
      <c r="A152" s="29" t="s">
        <v>134</v>
      </c>
      <c r="B152" s="5">
        <v>0</v>
      </c>
      <c r="C152" s="5"/>
      <c r="D152" s="5"/>
      <c r="E152" s="5"/>
      <c r="F152" s="5"/>
      <c r="G152" s="5"/>
      <c r="H152" s="5"/>
      <c r="I152" s="5">
        <f t="shared" si="433"/>
        <v>0</v>
      </c>
      <c r="K152" s="5">
        <v>0</v>
      </c>
      <c r="L152" s="5"/>
      <c r="M152" s="5"/>
      <c r="N152" s="5"/>
      <c r="O152" s="5"/>
      <c r="P152" s="5"/>
      <c r="Q152" s="5"/>
      <c r="R152" s="5">
        <f t="shared" si="434"/>
        <v>0</v>
      </c>
      <c r="T152" s="5">
        <v>0</v>
      </c>
      <c r="U152" s="5"/>
      <c r="V152" s="5"/>
      <c r="W152" s="5"/>
      <c r="X152" s="5"/>
      <c r="Y152" s="5"/>
      <c r="Z152" s="5"/>
      <c r="AA152" s="5">
        <f t="shared" si="435"/>
        <v>0</v>
      </c>
      <c r="AC152" s="5">
        <v>100000</v>
      </c>
      <c r="AD152" s="5"/>
      <c r="AE152" s="5"/>
      <c r="AF152" s="5"/>
      <c r="AG152" s="5"/>
      <c r="AH152" s="5"/>
      <c r="AI152" s="5"/>
      <c r="AJ152" s="5">
        <f t="shared" si="436"/>
        <v>100000</v>
      </c>
      <c r="AL152" s="5">
        <v>110000</v>
      </c>
      <c r="AM152" s="5"/>
      <c r="AN152" s="5"/>
      <c r="AO152" s="5"/>
      <c r="AP152" s="5"/>
      <c r="AQ152" s="5"/>
      <c r="AR152" s="5"/>
      <c r="AS152" s="5">
        <f t="shared" si="437"/>
        <v>110000</v>
      </c>
      <c r="AU152" s="5">
        <v>0</v>
      </c>
      <c r="AV152" s="5"/>
      <c r="AW152" s="5"/>
      <c r="AX152" s="5"/>
      <c r="AY152" s="5"/>
      <c r="AZ152" s="5"/>
      <c r="BA152" s="5"/>
      <c r="BB152" s="5">
        <f t="shared" si="438"/>
        <v>0</v>
      </c>
      <c r="BD152" s="5">
        <v>0</v>
      </c>
      <c r="BE152" s="5"/>
      <c r="BF152" s="5"/>
      <c r="BG152" s="5"/>
      <c r="BH152" s="5"/>
      <c r="BI152" s="5"/>
      <c r="BJ152" s="5"/>
      <c r="BK152" s="5">
        <f t="shared" si="439"/>
        <v>0</v>
      </c>
      <c r="BM152" s="5">
        <v>0</v>
      </c>
      <c r="BN152" s="5"/>
      <c r="BO152" s="5"/>
      <c r="BP152" s="5"/>
      <c r="BQ152" s="5"/>
      <c r="BR152" s="5"/>
      <c r="BS152" s="5"/>
      <c r="BT152" s="5">
        <f t="shared" si="440"/>
        <v>0</v>
      </c>
      <c r="BV152" s="5">
        <f t="shared" si="441"/>
        <v>210000</v>
      </c>
      <c r="BW152" s="5">
        <f t="shared" si="441"/>
        <v>0</v>
      </c>
      <c r="BX152" s="5">
        <f t="shared" si="441"/>
        <v>0</v>
      </c>
      <c r="BY152" s="5">
        <f t="shared" si="441"/>
        <v>0</v>
      </c>
      <c r="BZ152" s="5">
        <f t="shared" si="441"/>
        <v>0</v>
      </c>
      <c r="CA152" s="5">
        <f t="shared" si="441"/>
        <v>0</v>
      </c>
      <c r="CB152" s="5"/>
      <c r="CC152" s="5">
        <f t="shared" si="442"/>
        <v>210000</v>
      </c>
    </row>
    <row r="153" spans="1:81">
      <c r="A153" s="78" t="s">
        <v>135</v>
      </c>
      <c r="B153" s="79">
        <f>50*B17</f>
        <v>46500</v>
      </c>
      <c r="C153" s="5"/>
      <c r="D153" s="5"/>
      <c r="E153" s="5"/>
      <c r="F153" s="5"/>
      <c r="G153" s="5"/>
      <c r="H153" s="5"/>
      <c r="I153" s="5">
        <f>SUM(B153:H153)</f>
        <v>46500</v>
      </c>
      <c r="K153" s="79">
        <f>50*K17</f>
        <v>51600</v>
      </c>
      <c r="L153" s="5"/>
      <c r="M153" s="5"/>
      <c r="N153" s="5"/>
      <c r="O153" s="5"/>
      <c r="P153" s="5"/>
      <c r="Q153" s="5"/>
      <c r="R153" s="5">
        <f>SUM(K153:Q153)</f>
        <v>51600</v>
      </c>
      <c r="T153" s="79">
        <f>45*T17</f>
        <v>56025</v>
      </c>
      <c r="U153" s="5"/>
      <c r="V153" s="5"/>
      <c r="W153" s="5"/>
      <c r="X153" s="5"/>
      <c r="Y153" s="5"/>
      <c r="Z153" s="5"/>
      <c r="AA153" s="5">
        <f>SUM(T153:Z153)</f>
        <v>56025</v>
      </c>
      <c r="AC153" s="79">
        <f>45*AC17</f>
        <v>114570</v>
      </c>
      <c r="AD153" s="5"/>
      <c r="AE153" s="5"/>
      <c r="AF153" s="5"/>
      <c r="AG153" s="5"/>
      <c r="AH153" s="5"/>
      <c r="AI153" s="5"/>
      <c r="AJ153" s="5">
        <f>SUM(AC153:AI153)</f>
        <v>114570</v>
      </c>
      <c r="AL153" s="79">
        <f>45*AL17</f>
        <v>108090</v>
      </c>
      <c r="AM153" s="5"/>
      <c r="AN153" s="5"/>
      <c r="AO153" s="5"/>
      <c r="AP153" s="5"/>
      <c r="AQ153" s="5"/>
      <c r="AR153" s="5"/>
      <c r="AS153" s="5">
        <f>SUM(AL153:AR153)</f>
        <v>108090</v>
      </c>
      <c r="AU153" s="79">
        <v>0</v>
      </c>
      <c r="AV153" s="5"/>
      <c r="AW153" s="5"/>
      <c r="AX153" s="5"/>
      <c r="AY153" s="5"/>
      <c r="AZ153" s="5"/>
      <c r="BA153" s="5"/>
      <c r="BB153" s="5">
        <f>SUM(AU153:BA153)</f>
        <v>0</v>
      </c>
      <c r="BD153" s="79">
        <f>45*BD17</f>
        <v>25695</v>
      </c>
      <c r="BE153" s="5"/>
      <c r="BF153" s="5"/>
      <c r="BG153" s="5"/>
      <c r="BH153" s="5"/>
      <c r="BI153" s="5"/>
      <c r="BJ153" s="5"/>
      <c r="BK153" s="5">
        <f>SUM(BD153:BJ153)</f>
        <v>25695</v>
      </c>
      <c r="BM153" s="79">
        <f>45*BM17</f>
        <v>0</v>
      </c>
      <c r="BN153" s="5"/>
      <c r="BO153" s="5"/>
      <c r="BP153" s="5"/>
      <c r="BQ153" s="5"/>
      <c r="BR153" s="5"/>
      <c r="BS153" s="5"/>
      <c r="BT153" s="5">
        <f>SUM(BM153:BS153)</f>
        <v>0</v>
      </c>
      <c r="BV153" s="5">
        <f t="shared" si="441"/>
        <v>402480</v>
      </c>
      <c r="BW153" s="5">
        <f t="shared" si="441"/>
        <v>0</v>
      </c>
      <c r="BX153" s="5">
        <f t="shared" si="441"/>
        <v>0</v>
      </c>
      <c r="BY153" s="5">
        <f t="shared" si="441"/>
        <v>0</v>
      </c>
      <c r="BZ153" s="5">
        <f t="shared" si="441"/>
        <v>0</v>
      </c>
      <c r="CA153" s="5">
        <f t="shared" si="441"/>
        <v>0</v>
      </c>
      <c r="CB153" s="5"/>
      <c r="CC153" s="5">
        <f>SUM(BV153:CB153)</f>
        <v>402480</v>
      </c>
    </row>
    <row r="154" spans="1:81" ht="15">
      <c r="A154" s="70" t="s">
        <v>136</v>
      </c>
      <c r="B154" s="71">
        <f>SUM(B144:B153)</f>
        <v>323640</v>
      </c>
      <c r="C154" s="71">
        <f t="shared" ref="C154:I154" si="443">SUM(C144:C153)</f>
        <v>18651.381215469617</v>
      </c>
      <c r="D154" s="71">
        <f t="shared" si="443"/>
        <v>3500</v>
      </c>
      <c r="E154" s="71">
        <f t="shared" si="443"/>
        <v>0</v>
      </c>
      <c r="F154" s="71">
        <f t="shared" si="443"/>
        <v>0</v>
      </c>
      <c r="G154" s="71">
        <f t="shared" si="443"/>
        <v>0</v>
      </c>
      <c r="H154" s="71">
        <f t="shared" si="443"/>
        <v>0</v>
      </c>
      <c r="I154" s="71">
        <f t="shared" si="443"/>
        <v>345791.38121546962</v>
      </c>
      <c r="J154" s="7"/>
      <c r="K154" s="71">
        <f>SUM(K144:K153)</f>
        <v>359136</v>
      </c>
      <c r="L154" s="71">
        <f t="shared" ref="L154:R154" si="444">SUM(L144:L153)</f>
        <v>11057.142857142857</v>
      </c>
      <c r="M154" s="71">
        <f t="shared" si="444"/>
        <v>2500</v>
      </c>
      <c r="N154" s="71"/>
      <c r="O154" s="71">
        <f t="shared" si="444"/>
        <v>0</v>
      </c>
      <c r="P154" s="71">
        <f t="shared" si="444"/>
        <v>0</v>
      </c>
      <c r="Q154" s="71">
        <f t="shared" si="444"/>
        <v>0</v>
      </c>
      <c r="R154" s="71">
        <f t="shared" si="444"/>
        <v>372693.14285714284</v>
      </c>
      <c r="T154" s="71">
        <f>SUM(T144:T153)</f>
        <v>427035</v>
      </c>
      <c r="U154" s="71">
        <f t="shared" ref="U154:AA154" si="445">SUM(U144:U153)</f>
        <v>16906.119027661356</v>
      </c>
      <c r="V154" s="71">
        <f t="shared" si="445"/>
        <v>0</v>
      </c>
      <c r="W154" s="71"/>
      <c r="X154" s="71">
        <f t="shared" si="445"/>
        <v>0</v>
      </c>
      <c r="Y154" s="71">
        <f t="shared" si="445"/>
        <v>0</v>
      </c>
      <c r="Z154" s="71">
        <f t="shared" si="445"/>
        <v>0</v>
      </c>
      <c r="AA154" s="71">
        <f t="shared" si="445"/>
        <v>443941.11902766133</v>
      </c>
      <c r="AC154" s="71">
        <f>SUM(AC144:AC153)</f>
        <v>1288278</v>
      </c>
      <c r="AD154" s="71">
        <f t="shared" ref="AD154:AJ154" si="446">SUM(AD144:AD153)</f>
        <v>45409.837467921294</v>
      </c>
      <c r="AE154" s="71">
        <f t="shared" si="446"/>
        <v>3500</v>
      </c>
      <c r="AF154" s="71">
        <f t="shared" si="446"/>
        <v>0</v>
      </c>
      <c r="AG154" s="71">
        <f t="shared" si="446"/>
        <v>0</v>
      </c>
      <c r="AH154" s="71">
        <f t="shared" si="446"/>
        <v>0</v>
      </c>
      <c r="AI154" s="71">
        <f t="shared" si="446"/>
        <v>0</v>
      </c>
      <c r="AJ154" s="71">
        <f t="shared" si="446"/>
        <v>1337187.8374679212</v>
      </c>
      <c r="AL154" s="71">
        <f>SUM(AL144:AL153)</f>
        <v>1268886</v>
      </c>
      <c r="AM154" s="71">
        <f t="shared" ref="AM154:AS154" si="447">SUM(AM144:AM153)</f>
        <v>33792.998678996039</v>
      </c>
      <c r="AN154" s="71">
        <f t="shared" si="447"/>
        <v>3500</v>
      </c>
      <c r="AO154" s="71"/>
      <c r="AP154" s="71">
        <f t="shared" si="447"/>
        <v>0</v>
      </c>
      <c r="AQ154" s="71">
        <f t="shared" si="447"/>
        <v>0</v>
      </c>
      <c r="AR154" s="71">
        <f t="shared" si="447"/>
        <v>0</v>
      </c>
      <c r="AS154" s="71">
        <f t="shared" si="447"/>
        <v>1306178.998678996</v>
      </c>
      <c r="AU154" s="71">
        <f>SUM(AU144:AU153)</f>
        <v>53800</v>
      </c>
      <c r="AV154" s="71">
        <f t="shared" ref="AV154:BB154" si="448">SUM(AV144:AV153)</f>
        <v>2800</v>
      </c>
      <c r="AW154" s="71">
        <f t="shared" si="448"/>
        <v>0</v>
      </c>
      <c r="AX154" s="71">
        <f t="shared" si="448"/>
        <v>0</v>
      </c>
      <c r="AY154" s="71">
        <f t="shared" si="448"/>
        <v>0</v>
      </c>
      <c r="AZ154" s="71">
        <f t="shared" si="448"/>
        <v>0</v>
      </c>
      <c r="BA154" s="71">
        <f t="shared" si="448"/>
        <v>0</v>
      </c>
      <c r="BB154" s="71">
        <f t="shared" si="448"/>
        <v>56600</v>
      </c>
      <c r="BD154" s="71">
        <f>SUM(BD144:BD153)</f>
        <v>325853</v>
      </c>
      <c r="BE154" s="71">
        <f t="shared" ref="BE154:BK154" si="449">SUM(BE144:BE153)</f>
        <v>5473.872180451127</v>
      </c>
      <c r="BF154" s="71">
        <f t="shared" si="449"/>
        <v>2500</v>
      </c>
      <c r="BG154" s="71">
        <f t="shared" si="449"/>
        <v>0</v>
      </c>
      <c r="BH154" s="71">
        <f t="shared" si="449"/>
        <v>0</v>
      </c>
      <c r="BI154" s="71">
        <f t="shared" si="449"/>
        <v>0</v>
      </c>
      <c r="BJ154" s="71">
        <f t="shared" si="449"/>
        <v>0</v>
      </c>
      <c r="BK154" s="71">
        <f t="shared" si="449"/>
        <v>333826.87218045112</v>
      </c>
      <c r="BM154" s="71">
        <f>SUM(BM144:BM153)</f>
        <v>0</v>
      </c>
      <c r="BN154" s="71">
        <f t="shared" ref="BN154:BT154" si="450">SUM(BN144:BN153)</f>
        <v>0</v>
      </c>
      <c r="BO154" s="71">
        <f t="shared" si="450"/>
        <v>0</v>
      </c>
      <c r="BP154" s="71">
        <f t="shared" si="450"/>
        <v>0</v>
      </c>
      <c r="BQ154" s="71">
        <f t="shared" si="450"/>
        <v>0</v>
      </c>
      <c r="BR154" s="71">
        <f t="shared" si="450"/>
        <v>0</v>
      </c>
      <c r="BS154" s="71">
        <f t="shared" si="450"/>
        <v>0</v>
      </c>
      <c r="BT154" s="71">
        <f t="shared" si="450"/>
        <v>0</v>
      </c>
      <c r="BV154" s="71">
        <f>SUM(BV144:BV153)</f>
        <v>4046628</v>
      </c>
      <c r="BW154" s="71">
        <f t="shared" ref="BW154:CC154" si="451">SUM(BW144:BW153)</f>
        <v>134091.35142764228</v>
      </c>
      <c r="BX154" s="71">
        <f t="shared" si="451"/>
        <v>15500</v>
      </c>
      <c r="BY154" s="71">
        <f t="shared" si="451"/>
        <v>0</v>
      </c>
      <c r="BZ154" s="71">
        <f t="shared" si="451"/>
        <v>0</v>
      </c>
      <c r="CA154" s="71">
        <f t="shared" si="451"/>
        <v>0</v>
      </c>
      <c r="CB154" s="71">
        <f t="shared" si="451"/>
        <v>0</v>
      </c>
      <c r="CC154" s="71">
        <f t="shared" si="451"/>
        <v>4196219.3514276426</v>
      </c>
    </row>
    <row r="155" spans="1:81" ht="15">
      <c r="A155" s="75" t="s">
        <v>137</v>
      </c>
      <c r="B155" s="18" t="str">
        <f t="shared" ref="B155:I155" si="452">B1</f>
        <v>Operating</v>
      </c>
      <c r="C155" s="18" t="str">
        <f t="shared" si="452"/>
        <v>SPED</v>
      </c>
      <c r="D155" s="18" t="str">
        <f t="shared" si="452"/>
        <v>NSLP</v>
      </c>
      <c r="E155" s="18" t="str">
        <f t="shared" si="452"/>
        <v>Other</v>
      </c>
      <c r="F155" s="18" t="str">
        <f t="shared" si="452"/>
        <v>Title I</v>
      </c>
      <c r="G155" s="18" t="str">
        <f t="shared" si="452"/>
        <v>SGF</v>
      </c>
      <c r="H155" s="18" t="str">
        <f t="shared" si="452"/>
        <v>Title III</v>
      </c>
      <c r="I155" s="18" t="str">
        <f t="shared" si="452"/>
        <v>Horizon</v>
      </c>
      <c r="J155" s="7"/>
      <c r="K155" s="18" t="str">
        <f t="shared" ref="K155:R155" si="453">K1</f>
        <v>Operating</v>
      </c>
      <c r="L155" s="18" t="str">
        <f t="shared" si="453"/>
        <v>SPED</v>
      </c>
      <c r="M155" s="18" t="str">
        <f t="shared" si="453"/>
        <v>NSLP</v>
      </c>
      <c r="N155" s="18" t="str">
        <f t="shared" si="453"/>
        <v>Other</v>
      </c>
      <c r="O155" s="18" t="str">
        <f t="shared" si="453"/>
        <v>Title I</v>
      </c>
      <c r="P155" s="18" t="str">
        <f t="shared" si="453"/>
        <v>SGF</v>
      </c>
      <c r="Q155" s="18" t="str">
        <f t="shared" si="453"/>
        <v>Title III</v>
      </c>
      <c r="R155" s="18" t="str">
        <f t="shared" si="453"/>
        <v>St. Rose</v>
      </c>
      <c r="T155" s="18" t="str">
        <f t="shared" ref="T155:AA155" si="454">T1</f>
        <v>Operating</v>
      </c>
      <c r="U155" s="18" t="str">
        <f t="shared" si="454"/>
        <v>SPED</v>
      </c>
      <c r="V155" s="18" t="str">
        <f t="shared" si="454"/>
        <v>NSLP</v>
      </c>
      <c r="W155" s="18" t="str">
        <f t="shared" si="454"/>
        <v>Other</v>
      </c>
      <c r="X155" s="18" t="str">
        <f t="shared" si="454"/>
        <v>Title I</v>
      </c>
      <c r="Y155" s="18" t="str">
        <f t="shared" si="454"/>
        <v>SGF</v>
      </c>
      <c r="Z155" s="18" t="str">
        <f t="shared" si="454"/>
        <v>Title III</v>
      </c>
      <c r="AA155" s="18" t="str">
        <f t="shared" si="454"/>
        <v>Inspirada</v>
      </c>
      <c r="AC155" s="18" t="str">
        <f t="shared" ref="AC155:AJ155" si="455">AC1</f>
        <v>Operating</v>
      </c>
      <c r="AD155" s="18" t="str">
        <f t="shared" si="455"/>
        <v>SPED</v>
      </c>
      <c r="AE155" s="18" t="str">
        <f t="shared" si="455"/>
        <v>NSLP</v>
      </c>
      <c r="AF155" s="18" t="str">
        <f t="shared" si="455"/>
        <v>Other</v>
      </c>
      <c r="AG155" s="18" t="str">
        <f t="shared" si="455"/>
        <v>Title I</v>
      </c>
      <c r="AH155" s="18" t="str">
        <f t="shared" si="455"/>
        <v>SGF</v>
      </c>
      <c r="AI155" s="18" t="str">
        <f t="shared" si="455"/>
        <v>Title III</v>
      </c>
      <c r="AJ155" s="18" t="str">
        <f t="shared" si="455"/>
        <v>Cadence</v>
      </c>
      <c r="AL155" s="18" t="str">
        <f t="shared" ref="AL155:AS155" si="456">AL1</f>
        <v>Operating</v>
      </c>
      <c r="AM155" s="18" t="str">
        <f t="shared" si="456"/>
        <v>SPED</v>
      </c>
      <c r="AN155" s="18" t="str">
        <f t="shared" si="456"/>
        <v>NSLP</v>
      </c>
      <c r="AO155" s="18" t="str">
        <f t="shared" si="456"/>
        <v>Other</v>
      </c>
      <c r="AP155" s="18" t="str">
        <f t="shared" si="456"/>
        <v>Title I</v>
      </c>
      <c r="AQ155" s="18" t="str">
        <f t="shared" si="456"/>
        <v>SGF</v>
      </c>
      <c r="AR155" s="18" t="str">
        <f t="shared" si="456"/>
        <v>Title III</v>
      </c>
      <c r="AS155" s="18" t="str">
        <f t="shared" si="456"/>
        <v>Sloan</v>
      </c>
      <c r="AU155" s="18" t="str">
        <f t="shared" ref="AU155:BB155" si="457">AU1</f>
        <v>Operating</v>
      </c>
      <c r="AV155" s="18" t="str">
        <f t="shared" si="457"/>
        <v>SPED</v>
      </c>
      <c r="AW155" s="18" t="str">
        <f t="shared" si="457"/>
        <v>NSLP</v>
      </c>
      <c r="AX155" s="18" t="str">
        <f t="shared" si="457"/>
        <v>Other</v>
      </c>
      <c r="AY155" s="18" t="str">
        <f t="shared" si="457"/>
        <v>Title I</v>
      </c>
      <c r="AZ155" s="18" t="str">
        <f t="shared" si="457"/>
        <v>SGF</v>
      </c>
      <c r="BA155" s="18" t="str">
        <f t="shared" si="457"/>
        <v>Title III</v>
      </c>
      <c r="BB155" s="18" t="str">
        <f t="shared" si="457"/>
        <v>Virtual</v>
      </c>
      <c r="BD155" s="18" t="str">
        <f t="shared" ref="BD155:BK155" si="458">BD1</f>
        <v>Operating</v>
      </c>
      <c r="BE155" s="18" t="str">
        <f t="shared" si="458"/>
        <v>SPED</v>
      </c>
      <c r="BF155" s="18" t="str">
        <f t="shared" si="458"/>
        <v>NSLP</v>
      </c>
      <c r="BG155" s="18" t="str">
        <f t="shared" si="458"/>
        <v>Other</v>
      </c>
      <c r="BH155" s="18" t="str">
        <f t="shared" si="458"/>
        <v>Title I</v>
      </c>
      <c r="BI155" s="18" t="str">
        <f t="shared" si="458"/>
        <v>SGF</v>
      </c>
      <c r="BJ155" s="18" t="str">
        <f t="shared" si="458"/>
        <v>Title III</v>
      </c>
      <c r="BK155" s="18" t="str">
        <f t="shared" si="458"/>
        <v>Springs</v>
      </c>
      <c r="BM155" s="18" t="str">
        <f t="shared" ref="BM155:BT155" si="459">BM1</f>
        <v>Operating</v>
      </c>
      <c r="BN155" s="18" t="str">
        <f t="shared" si="459"/>
        <v>SPED</v>
      </c>
      <c r="BO155" s="18" t="str">
        <f t="shared" si="459"/>
        <v>NSLP</v>
      </c>
      <c r="BP155" s="18" t="str">
        <f t="shared" si="459"/>
        <v>Other</v>
      </c>
      <c r="BQ155" s="18" t="str">
        <f t="shared" si="459"/>
        <v>Title I</v>
      </c>
      <c r="BR155" s="18" t="str">
        <f t="shared" si="459"/>
        <v>SGF</v>
      </c>
      <c r="BS155" s="18" t="str">
        <f t="shared" si="459"/>
        <v>Title III</v>
      </c>
      <c r="BT155" s="18" t="str">
        <f t="shared" si="459"/>
        <v>Exec. Office</v>
      </c>
      <c r="BV155" s="18" t="str">
        <f t="shared" ref="BV155:CC155" si="460">BV1</f>
        <v>Operating</v>
      </c>
      <c r="BW155" s="18" t="str">
        <f t="shared" si="460"/>
        <v>SPED</v>
      </c>
      <c r="BX155" s="18" t="str">
        <f t="shared" si="460"/>
        <v>NSLP</v>
      </c>
      <c r="BY155" s="18" t="str">
        <f t="shared" si="460"/>
        <v>Other</v>
      </c>
      <c r="BZ155" s="18" t="str">
        <f t="shared" si="460"/>
        <v>Title I</v>
      </c>
      <c r="CA155" s="18" t="str">
        <f t="shared" si="460"/>
        <v>SGF</v>
      </c>
      <c r="CB155" s="18" t="str">
        <f t="shared" si="460"/>
        <v>Title III</v>
      </c>
      <c r="CC155" s="18" t="str">
        <f t="shared" si="460"/>
        <v>Systemwide</v>
      </c>
    </row>
    <row r="156" spans="1:81">
      <c r="A156" s="29" t="s">
        <v>138</v>
      </c>
      <c r="B156" s="62">
        <f>'27-28'!B156*1.05</f>
        <v>17260.188750000001</v>
      </c>
      <c r="C156" s="11"/>
      <c r="D156" s="11"/>
      <c r="E156" s="11"/>
      <c r="F156" s="11"/>
      <c r="G156" s="11"/>
      <c r="H156" s="11"/>
      <c r="I156" s="5">
        <f t="shared" ref="I156:I169" si="461">SUM(B156:H156)</f>
        <v>17260.188750000001</v>
      </c>
      <c r="K156" s="62">
        <f>'24-25'!K156*1.05</f>
        <v>24150</v>
      </c>
      <c r="L156" s="11"/>
      <c r="M156" s="11"/>
      <c r="N156" s="11"/>
      <c r="O156" s="11"/>
      <c r="P156" s="11"/>
      <c r="Q156" s="11"/>
      <c r="R156" s="5">
        <f t="shared" ref="R156:R169" si="462">SUM(K156:Q156)</f>
        <v>24150</v>
      </c>
      <c r="T156" s="62">
        <f>'27-28'!T156*1.05</f>
        <v>21879.112499999999</v>
      </c>
      <c r="U156" s="11"/>
      <c r="V156" s="11"/>
      <c r="W156" s="11"/>
      <c r="X156" s="11"/>
      <c r="Y156" s="11"/>
      <c r="Z156" s="11"/>
      <c r="AA156" s="5">
        <f t="shared" ref="AA156:AA169" si="463">SUM(T156:Z156)</f>
        <v>21879.112499999999</v>
      </c>
      <c r="AC156" s="62">
        <f>'27-28'!AC156*1.05</f>
        <v>42542.71875</v>
      </c>
      <c r="AD156" s="11"/>
      <c r="AE156" s="11"/>
      <c r="AF156" s="11"/>
      <c r="AG156" s="11"/>
      <c r="AH156" s="11"/>
      <c r="AI156" s="11"/>
      <c r="AJ156" s="5">
        <f t="shared" ref="AJ156:AJ169" si="464">SUM(AC156:AI156)</f>
        <v>42542.71875</v>
      </c>
      <c r="AL156" s="62">
        <f>'27-28'!AL156*1.05</f>
        <v>36465.1875</v>
      </c>
      <c r="AM156" s="11"/>
      <c r="AN156" s="11"/>
      <c r="AO156" s="11"/>
      <c r="AP156" s="11"/>
      <c r="AQ156" s="11"/>
      <c r="AR156" s="11"/>
      <c r="AS156" s="5">
        <f t="shared" ref="AS156:AS169" si="465">SUM(AL156:AR156)</f>
        <v>36465.1875</v>
      </c>
      <c r="AU156" s="62">
        <f>'27-28'!AU156*1.05</f>
        <v>11547.309375000001</v>
      </c>
      <c r="AV156" s="11"/>
      <c r="AW156" s="11"/>
      <c r="AX156" s="11"/>
      <c r="AY156" s="11"/>
      <c r="AZ156" s="11"/>
      <c r="BA156" s="11"/>
      <c r="BB156" s="5">
        <f t="shared" ref="BB156:BB169" si="466">SUM(AU156:BA156)</f>
        <v>11547.309375000001</v>
      </c>
      <c r="BD156" s="62">
        <f>'27-28'!BD156*1.05</f>
        <v>3646.5187500000002</v>
      </c>
      <c r="BE156" s="11"/>
      <c r="BF156" s="11"/>
      <c r="BG156" s="11"/>
      <c r="BH156" s="11"/>
      <c r="BI156" s="11"/>
      <c r="BJ156" s="11"/>
      <c r="BK156" s="5">
        <f t="shared" ref="BK156:BK169" si="467">SUM(BD156:BJ156)</f>
        <v>3646.5187500000002</v>
      </c>
      <c r="BM156" s="11">
        <v>0</v>
      </c>
      <c r="BN156" s="11"/>
      <c r="BO156" s="11"/>
      <c r="BP156" s="11"/>
      <c r="BQ156" s="11"/>
      <c r="BR156" s="11"/>
      <c r="BS156" s="11"/>
      <c r="BT156" s="5">
        <f t="shared" ref="BT156:BT169" si="468">SUM(BM156:BS156)</f>
        <v>0</v>
      </c>
      <c r="BV156" s="5">
        <f t="shared" ref="BV156:CA169" si="469">B156+K156+T156+AC156+AL156+AU156+BD156+BM156</f>
        <v>157491.03562500002</v>
      </c>
      <c r="BW156" s="5">
        <f t="shared" si="469"/>
        <v>0</v>
      </c>
      <c r="BX156" s="5">
        <f t="shared" si="469"/>
        <v>0</v>
      </c>
      <c r="BY156" s="5">
        <f t="shared" si="469"/>
        <v>0</v>
      </c>
      <c r="BZ156" s="5">
        <f t="shared" si="469"/>
        <v>0</v>
      </c>
      <c r="CA156" s="5">
        <f t="shared" si="469"/>
        <v>0</v>
      </c>
      <c r="CB156" s="11"/>
      <c r="CC156" s="5">
        <f t="shared" ref="CC156:CC169" si="470">SUM(BV156:CB156)</f>
        <v>157491.03562500002</v>
      </c>
    </row>
    <row r="157" spans="1:81">
      <c r="A157" s="29" t="s">
        <v>139</v>
      </c>
      <c r="B157" s="11">
        <v>0</v>
      </c>
      <c r="C157" s="11">
        <f>575*B17</f>
        <v>534750</v>
      </c>
      <c r="D157" s="5"/>
      <c r="E157" s="5"/>
      <c r="F157" s="5"/>
      <c r="G157" s="5"/>
      <c r="H157" s="5"/>
      <c r="I157" s="5">
        <f t="shared" si="461"/>
        <v>534750</v>
      </c>
      <c r="K157" s="11">
        <v>0</v>
      </c>
      <c r="L157" s="11">
        <f>160*K17</f>
        <v>165120</v>
      </c>
      <c r="M157" s="5"/>
      <c r="N157" s="5"/>
      <c r="O157" s="5"/>
      <c r="P157" s="5"/>
      <c r="Q157" s="5"/>
      <c r="R157" s="5">
        <f t="shared" si="462"/>
        <v>165120</v>
      </c>
      <c r="T157" s="11">
        <v>0</v>
      </c>
      <c r="U157" s="11">
        <f>80*T17</f>
        <v>99600</v>
      </c>
      <c r="V157" s="5"/>
      <c r="W157" s="5"/>
      <c r="X157" s="5"/>
      <c r="Y157" s="5"/>
      <c r="Z157" s="5"/>
      <c r="AA157" s="5">
        <f t="shared" si="463"/>
        <v>99600</v>
      </c>
      <c r="AC157" s="11">
        <v>0</v>
      </c>
      <c r="AD157" s="11">
        <f>140*AC17</f>
        <v>356440</v>
      </c>
      <c r="AE157" s="5"/>
      <c r="AF157" s="5"/>
      <c r="AG157" s="5"/>
      <c r="AH157" s="5"/>
      <c r="AI157" s="5"/>
      <c r="AJ157" s="5">
        <f t="shared" si="464"/>
        <v>356440</v>
      </c>
      <c r="AL157" s="11">
        <v>0</v>
      </c>
      <c r="AM157" s="11">
        <f>225*AL17</f>
        <v>540450</v>
      </c>
      <c r="AN157" s="5"/>
      <c r="AO157" s="5"/>
      <c r="AP157" s="5"/>
      <c r="AQ157" s="5"/>
      <c r="AR157" s="5"/>
      <c r="AS157" s="5">
        <f t="shared" si="465"/>
        <v>540450</v>
      </c>
      <c r="AU157" s="11">
        <v>0</v>
      </c>
      <c r="AV157" s="11">
        <f>200*AU17</f>
        <v>28000</v>
      </c>
      <c r="AW157" s="5"/>
      <c r="AX157" s="5"/>
      <c r="AY157" s="5"/>
      <c r="AZ157" s="5"/>
      <c r="BA157" s="5"/>
      <c r="BB157" s="5">
        <f t="shared" si="466"/>
        <v>28000</v>
      </c>
      <c r="BD157" s="11">
        <v>0</v>
      </c>
      <c r="BE157" s="11">
        <f>750*BD17+60000</f>
        <v>488250</v>
      </c>
      <c r="BF157" s="5"/>
      <c r="BG157" s="5"/>
      <c r="BH157" s="5"/>
      <c r="BI157" s="5"/>
      <c r="BJ157" s="5"/>
      <c r="BK157" s="5">
        <f t="shared" si="467"/>
        <v>488250</v>
      </c>
      <c r="BM157" s="11">
        <v>0</v>
      </c>
      <c r="BN157" s="5">
        <f>375*BM17</f>
        <v>0</v>
      </c>
      <c r="BO157" s="5"/>
      <c r="BP157" s="5"/>
      <c r="BQ157" s="5"/>
      <c r="BR157" s="5"/>
      <c r="BS157" s="5"/>
      <c r="BT157" s="5">
        <f t="shared" si="468"/>
        <v>0</v>
      </c>
      <c r="BV157" s="5">
        <f t="shared" si="469"/>
        <v>0</v>
      </c>
      <c r="BW157" s="5">
        <f t="shared" si="469"/>
        <v>2212610</v>
      </c>
      <c r="BX157" s="5">
        <f t="shared" si="469"/>
        <v>0</v>
      </c>
      <c r="BY157" s="5">
        <f t="shared" si="469"/>
        <v>0</v>
      </c>
      <c r="BZ157" s="5">
        <f t="shared" si="469"/>
        <v>0</v>
      </c>
      <c r="CA157" s="5">
        <f t="shared" si="469"/>
        <v>0</v>
      </c>
      <c r="CB157" s="5"/>
      <c r="CC157" s="5">
        <f t="shared" si="470"/>
        <v>2212610</v>
      </c>
    </row>
    <row r="158" spans="1:81">
      <c r="A158" s="29" t="s">
        <v>279</v>
      </c>
      <c r="B158" s="11">
        <v>0</v>
      </c>
      <c r="C158" s="5"/>
      <c r="D158" s="5"/>
      <c r="E158" s="5"/>
      <c r="F158" s="5"/>
      <c r="G158" s="5"/>
      <c r="H158" s="5"/>
      <c r="I158" s="5">
        <f t="shared" si="461"/>
        <v>0</v>
      </c>
      <c r="K158" s="11">
        <f>(1705*10*2)*1.03</f>
        <v>35123</v>
      </c>
      <c r="L158" s="5"/>
      <c r="M158" s="5"/>
      <c r="N158" s="5"/>
      <c r="O158" s="5"/>
      <c r="P158" s="5"/>
      <c r="Q158" s="5"/>
      <c r="R158" s="5">
        <f t="shared" si="462"/>
        <v>35123</v>
      </c>
      <c r="T158" s="11">
        <v>0</v>
      </c>
      <c r="U158" s="5"/>
      <c r="V158" s="5"/>
      <c r="W158" s="5"/>
      <c r="X158" s="5"/>
      <c r="Y158" s="5"/>
      <c r="Z158" s="5"/>
      <c r="AA158" s="5">
        <f t="shared" si="463"/>
        <v>0</v>
      </c>
      <c r="AC158" s="11">
        <v>0</v>
      </c>
      <c r="AD158" s="5"/>
      <c r="AE158" s="5"/>
      <c r="AF158" s="5"/>
      <c r="AG158" s="5"/>
      <c r="AH158" s="5"/>
      <c r="AI158" s="5"/>
      <c r="AJ158" s="5">
        <f t="shared" si="464"/>
        <v>0</v>
      </c>
      <c r="AL158" s="11">
        <v>0</v>
      </c>
      <c r="AM158" s="5"/>
      <c r="AN158" s="5"/>
      <c r="AO158" s="5"/>
      <c r="AP158" s="5"/>
      <c r="AQ158" s="5"/>
      <c r="AR158" s="5"/>
      <c r="AS158" s="5">
        <f t="shared" si="465"/>
        <v>0</v>
      </c>
      <c r="AU158" s="105">
        <f>(100*12)*AU17</f>
        <v>168000</v>
      </c>
      <c r="AV158" s="11"/>
      <c r="AW158" s="5"/>
      <c r="AX158" s="5"/>
      <c r="AY158" s="5"/>
      <c r="AZ158" s="5"/>
      <c r="BA158" s="5"/>
      <c r="BB158" s="5">
        <f t="shared" si="466"/>
        <v>168000</v>
      </c>
      <c r="BD158" s="11">
        <v>0</v>
      </c>
      <c r="BE158" s="5"/>
      <c r="BF158" s="5"/>
      <c r="BG158" s="5"/>
      <c r="BH158" s="5"/>
      <c r="BI158" s="5"/>
      <c r="BJ158" s="5"/>
      <c r="BK158" s="5">
        <f t="shared" si="467"/>
        <v>0</v>
      </c>
      <c r="BM158" s="11">
        <v>0</v>
      </c>
      <c r="BN158" s="5"/>
      <c r="BO158" s="5"/>
      <c r="BP158" s="5"/>
      <c r="BQ158" s="5"/>
      <c r="BR158" s="5"/>
      <c r="BS158" s="5"/>
      <c r="BT158" s="5">
        <f t="shared" si="468"/>
        <v>0</v>
      </c>
      <c r="BV158" s="5">
        <f t="shared" si="469"/>
        <v>203123</v>
      </c>
      <c r="BW158" s="5">
        <f t="shared" si="469"/>
        <v>0</v>
      </c>
      <c r="BX158" s="5">
        <f t="shared" si="469"/>
        <v>0</v>
      </c>
      <c r="BY158" s="5">
        <f t="shared" si="469"/>
        <v>0</v>
      </c>
      <c r="BZ158" s="5">
        <f t="shared" si="469"/>
        <v>0</v>
      </c>
      <c r="CA158" s="5">
        <f t="shared" si="469"/>
        <v>0</v>
      </c>
      <c r="CB158" s="5"/>
      <c r="CC158" s="5">
        <f t="shared" si="470"/>
        <v>203123</v>
      </c>
    </row>
    <row r="159" spans="1:81">
      <c r="A159" s="29" t="s">
        <v>280</v>
      </c>
      <c r="B159" s="11">
        <v>0</v>
      </c>
      <c r="C159" s="5"/>
      <c r="D159" s="5"/>
      <c r="E159" s="5"/>
      <c r="F159" s="5"/>
      <c r="G159" s="5"/>
      <c r="H159" s="5"/>
      <c r="I159" s="5">
        <f t="shared" si="461"/>
        <v>0</v>
      </c>
      <c r="K159" s="11">
        <v>0</v>
      </c>
      <c r="L159" s="5"/>
      <c r="M159" s="5"/>
      <c r="N159" s="5"/>
      <c r="O159" s="5"/>
      <c r="P159" s="5"/>
      <c r="Q159" s="5"/>
      <c r="R159" s="5">
        <f t="shared" si="462"/>
        <v>0</v>
      </c>
      <c r="T159" s="11">
        <v>0</v>
      </c>
      <c r="U159" s="5"/>
      <c r="V159" s="5"/>
      <c r="W159" s="5"/>
      <c r="X159" s="5"/>
      <c r="Y159" s="5"/>
      <c r="Z159" s="5"/>
      <c r="AA159" s="5">
        <f t="shared" si="463"/>
        <v>0</v>
      </c>
      <c r="AC159" s="11">
        <v>0</v>
      </c>
      <c r="AD159" s="5"/>
      <c r="AE159" s="5"/>
      <c r="AF159" s="5"/>
      <c r="AG159" s="5"/>
      <c r="AH159" s="5"/>
      <c r="AI159" s="5"/>
      <c r="AJ159" s="5">
        <f t="shared" si="464"/>
        <v>0</v>
      </c>
      <c r="AL159" s="11">
        <v>0</v>
      </c>
      <c r="AM159" s="5"/>
      <c r="AN159" s="5"/>
      <c r="AO159" s="5"/>
      <c r="AP159" s="5"/>
      <c r="AQ159" s="5"/>
      <c r="AR159" s="5"/>
      <c r="AS159" s="5">
        <f t="shared" si="465"/>
        <v>0</v>
      </c>
      <c r="AU159" s="11">
        <f>800*AU17</f>
        <v>112000</v>
      </c>
      <c r="AV159" s="11"/>
      <c r="AW159" s="5"/>
      <c r="AX159" s="5"/>
      <c r="AY159" s="5"/>
      <c r="AZ159" s="5"/>
      <c r="BA159" s="5"/>
      <c r="BB159" s="5">
        <f t="shared" si="466"/>
        <v>112000</v>
      </c>
      <c r="BD159" s="11">
        <v>0</v>
      </c>
      <c r="BE159" s="5"/>
      <c r="BF159" s="5"/>
      <c r="BG159" s="5"/>
      <c r="BH159" s="5"/>
      <c r="BI159" s="5"/>
      <c r="BJ159" s="5"/>
      <c r="BK159" s="5">
        <f t="shared" si="467"/>
        <v>0</v>
      </c>
      <c r="BM159" s="11">
        <v>0</v>
      </c>
      <c r="BN159" s="5"/>
      <c r="BO159" s="5"/>
      <c r="BP159" s="5"/>
      <c r="BQ159" s="5"/>
      <c r="BR159" s="5"/>
      <c r="BS159" s="5"/>
      <c r="BT159" s="5">
        <f t="shared" si="468"/>
        <v>0</v>
      </c>
      <c r="BV159" s="5">
        <f t="shared" si="469"/>
        <v>112000</v>
      </c>
      <c r="BW159" s="5">
        <f t="shared" si="469"/>
        <v>0</v>
      </c>
      <c r="BX159" s="5">
        <f t="shared" si="469"/>
        <v>0</v>
      </c>
      <c r="BY159" s="5">
        <f t="shared" si="469"/>
        <v>0</v>
      </c>
      <c r="BZ159" s="5">
        <f t="shared" si="469"/>
        <v>0</v>
      </c>
      <c r="CA159" s="5">
        <f t="shared" si="469"/>
        <v>0</v>
      </c>
      <c r="CB159" s="5"/>
      <c r="CC159" s="5">
        <f t="shared" si="470"/>
        <v>112000</v>
      </c>
    </row>
    <row r="160" spans="1:81">
      <c r="A160" s="29" t="s">
        <v>140</v>
      </c>
      <c r="B160" s="11">
        <f>495*B17</f>
        <v>460350</v>
      </c>
      <c r="C160" s="5"/>
      <c r="D160" s="5"/>
      <c r="E160" s="5"/>
      <c r="F160" s="5"/>
      <c r="G160" s="5"/>
      <c r="H160" s="5"/>
      <c r="I160" s="5">
        <f t="shared" si="461"/>
        <v>460350</v>
      </c>
      <c r="K160" s="11">
        <f>495*K17</f>
        <v>510840</v>
      </c>
      <c r="L160" s="5"/>
      <c r="M160" s="5"/>
      <c r="N160" s="5"/>
      <c r="O160" s="5"/>
      <c r="P160" s="5"/>
      <c r="Q160" s="5"/>
      <c r="R160" s="5">
        <f t="shared" si="462"/>
        <v>510840</v>
      </c>
      <c r="T160" s="11">
        <f>495*T17</f>
        <v>616275</v>
      </c>
      <c r="U160" s="5"/>
      <c r="V160" s="5"/>
      <c r="W160" s="5"/>
      <c r="X160" s="5"/>
      <c r="Y160" s="5"/>
      <c r="Z160" s="5"/>
      <c r="AA160" s="5">
        <f t="shared" si="463"/>
        <v>616275</v>
      </c>
      <c r="AC160" s="11">
        <f>495*AC17</f>
        <v>1260270</v>
      </c>
      <c r="AD160" s="5"/>
      <c r="AE160" s="5"/>
      <c r="AF160" s="5"/>
      <c r="AG160" s="5"/>
      <c r="AH160" s="5"/>
      <c r="AI160" s="5"/>
      <c r="AJ160" s="5">
        <f t="shared" si="464"/>
        <v>1260270</v>
      </c>
      <c r="AL160" s="11">
        <f>495*AL17</f>
        <v>1188990</v>
      </c>
      <c r="AM160" s="5"/>
      <c r="AN160" s="5"/>
      <c r="AO160" s="5"/>
      <c r="AP160" s="5"/>
      <c r="AQ160" s="5"/>
      <c r="AR160" s="5"/>
      <c r="AS160" s="5">
        <f t="shared" si="465"/>
        <v>1188990</v>
      </c>
      <c r="AU160" s="11">
        <f>495*AU17</f>
        <v>69300</v>
      </c>
      <c r="AV160" s="5"/>
      <c r="AW160" s="5"/>
      <c r="AX160" s="5"/>
      <c r="AY160" s="5"/>
      <c r="AZ160" s="5"/>
      <c r="BA160" s="5"/>
      <c r="BB160" s="5">
        <f t="shared" si="466"/>
        <v>69300</v>
      </c>
      <c r="BD160" s="11">
        <f>495*BD17</f>
        <v>282645</v>
      </c>
      <c r="BE160" s="5"/>
      <c r="BF160" s="5"/>
      <c r="BG160" s="5"/>
      <c r="BH160" s="5"/>
      <c r="BI160" s="5"/>
      <c r="BJ160" s="5"/>
      <c r="BK160" s="5">
        <f t="shared" si="467"/>
        <v>282645</v>
      </c>
      <c r="BM160" s="11">
        <f>450*BM17</f>
        <v>0</v>
      </c>
      <c r="BN160" s="5"/>
      <c r="BO160" s="5"/>
      <c r="BP160" s="5"/>
      <c r="BQ160" s="5"/>
      <c r="BR160" s="5"/>
      <c r="BS160" s="5"/>
      <c r="BT160" s="5">
        <f t="shared" si="468"/>
        <v>0</v>
      </c>
      <c r="BV160" s="5">
        <f t="shared" si="469"/>
        <v>4388670</v>
      </c>
      <c r="BW160" s="5">
        <f t="shared" si="469"/>
        <v>0</v>
      </c>
      <c r="BX160" s="5">
        <f t="shared" si="469"/>
        <v>0</v>
      </c>
      <c r="BY160" s="5">
        <f t="shared" si="469"/>
        <v>0</v>
      </c>
      <c r="BZ160" s="5">
        <f t="shared" si="469"/>
        <v>0</v>
      </c>
      <c r="CA160" s="5">
        <f t="shared" si="469"/>
        <v>0</v>
      </c>
      <c r="CB160" s="5"/>
      <c r="CC160" s="5">
        <f t="shared" si="470"/>
        <v>4388670</v>
      </c>
    </row>
    <row r="161" spans="1:81">
      <c r="A161" s="29" t="s">
        <v>141</v>
      </c>
      <c r="B161" s="62">
        <f>'27-28'!B161*1.05</f>
        <v>25525.631250000002</v>
      </c>
      <c r="C161" s="62">
        <f>'27-28'!C161*1.05</f>
        <v>3646.5187500000002</v>
      </c>
      <c r="D161" s="11">
        <v>0</v>
      </c>
      <c r="E161" s="11"/>
      <c r="F161" s="11">
        <f>(240*F65)</f>
        <v>0</v>
      </c>
      <c r="G161" s="11">
        <f>(240*G65)</f>
        <v>0</v>
      </c>
      <c r="H161" s="11">
        <f>(240*H65)</f>
        <v>0</v>
      </c>
      <c r="I161" s="5">
        <f t="shared" si="461"/>
        <v>29172.15</v>
      </c>
      <c r="K161" s="62">
        <f>'27-28'!K161*1.05</f>
        <v>26741.137500000001</v>
      </c>
      <c r="L161" s="62">
        <f>'27-28'!L161*1.05</f>
        <v>3646.5187500000002</v>
      </c>
      <c r="M161" s="11">
        <v>0</v>
      </c>
      <c r="N161" s="11"/>
      <c r="O161" s="11">
        <f>(240*O65)</f>
        <v>0</v>
      </c>
      <c r="P161" s="11">
        <f>(240*P65)</f>
        <v>0</v>
      </c>
      <c r="Q161" s="11">
        <f>(240*Q65)</f>
        <v>0</v>
      </c>
      <c r="R161" s="5">
        <f t="shared" si="462"/>
        <v>30387.65625</v>
      </c>
      <c r="T161" s="62">
        <f>'27-28'!T161*1.05</f>
        <v>29779.903125000001</v>
      </c>
      <c r="U161" s="62">
        <f>'27-28'!U161*1.05</f>
        <v>4254.2718750000004</v>
      </c>
      <c r="V161" s="11">
        <v>0</v>
      </c>
      <c r="W161" s="11"/>
      <c r="X161" s="11">
        <f>(240*X65)</f>
        <v>0</v>
      </c>
      <c r="Y161" s="11">
        <f>(240*Y65)</f>
        <v>0</v>
      </c>
      <c r="Z161" s="11">
        <f>(240*Z65)</f>
        <v>0</v>
      </c>
      <c r="AA161" s="5">
        <f t="shared" si="463"/>
        <v>34034.175000000003</v>
      </c>
      <c r="AC161" s="62">
        <f>'27-28'!AC161*1.05</f>
        <v>60775.3125</v>
      </c>
      <c r="AD161" s="62">
        <f>'27-28'!AD161*1.05</f>
        <v>8508.5437500000007</v>
      </c>
      <c r="AE161" s="11"/>
      <c r="AF161" s="11"/>
      <c r="AG161" s="11">
        <f>(240*AG65)</f>
        <v>0</v>
      </c>
      <c r="AH161" s="11">
        <f>(240*AH65)</f>
        <v>0</v>
      </c>
      <c r="AI161" s="11">
        <f>(240*AI65)</f>
        <v>0</v>
      </c>
      <c r="AJ161" s="5">
        <f t="shared" si="464"/>
        <v>69283.856249999997</v>
      </c>
      <c r="AL161" s="62">
        <f>'27-28'!AL161*1.05</f>
        <v>46189.237500000003</v>
      </c>
      <c r="AM161" s="62">
        <f>'27-28'!AM161*1.05</f>
        <v>6685.2843750000002</v>
      </c>
      <c r="AN161" s="11">
        <v>0</v>
      </c>
      <c r="AO161" s="11"/>
      <c r="AP161" s="11">
        <f>(240*AP65)</f>
        <v>0</v>
      </c>
      <c r="AQ161" s="11">
        <f>(240*AQ65)</f>
        <v>0</v>
      </c>
      <c r="AR161" s="11">
        <f>(240*AR65)</f>
        <v>0</v>
      </c>
      <c r="AS161" s="5">
        <f t="shared" si="465"/>
        <v>52874.521875000006</v>
      </c>
      <c r="AU161" s="62">
        <f>'27-28'!AU161*1.05</f>
        <v>3472.875</v>
      </c>
      <c r="AV161" s="62">
        <f>'27-28'!AV161*1.05</f>
        <v>1273.3875</v>
      </c>
      <c r="AW161" s="11">
        <v>0</v>
      </c>
      <c r="AX161" s="11"/>
      <c r="AY161" s="11">
        <f>(240*AY65)</f>
        <v>0</v>
      </c>
      <c r="AZ161" s="11">
        <f>(240*AZ65)</f>
        <v>0</v>
      </c>
      <c r="BA161" s="11">
        <f>(240*BA65)</f>
        <v>0</v>
      </c>
      <c r="BB161" s="5">
        <f t="shared" si="466"/>
        <v>4746.2624999999998</v>
      </c>
      <c r="BD161" s="62">
        <f>'27-28'!BD161*1.05</f>
        <v>4254.2718750000004</v>
      </c>
      <c r="BE161" s="62">
        <f>'27-28'!BE161*1.05</f>
        <v>911.62968750000005</v>
      </c>
      <c r="BF161" s="11">
        <v>0</v>
      </c>
      <c r="BG161" s="11"/>
      <c r="BH161" s="11">
        <v>0</v>
      </c>
      <c r="BI161" s="11">
        <f>(240*BI65)</f>
        <v>0</v>
      </c>
      <c r="BJ161" s="11">
        <f>(240*BJ65)</f>
        <v>0</v>
      </c>
      <c r="BK161" s="5">
        <f t="shared" si="467"/>
        <v>5165.9015625000002</v>
      </c>
      <c r="BM161" s="62">
        <f>'27-28'!BM161*1.05</f>
        <v>2431.0125000000003</v>
      </c>
      <c r="BN161" s="11"/>
      <c r="BO161" s="11">
        <v>0</v>
      </c>
      <c r="BP161" s="11"/>
      <c r="BQ161" s="11">
        <f>(240*BQ65)</f>
        <v>0</v>
      </c>
      <c r="BR161" s="11">
        <f>(240*BR65)</f>
        <v>0</v>
      </c>
      <c r="BS161" s="11">
        <f>(240*BS65)</f>
        <v>0</v>
      </c>
      <c r="BT161" s="5">
        <f t="shared" si="468"/>
        <v>2431.0125000000003</v>
      </c>
      <c r="BV161" s="5">
        <f t="shared" si="469"/>
        <v>199169.38125000001</v>
      </c>
      <c r="BW161" s="5">
        <f t="shared" si="469"/>
        <v>28926.154687500002</v>
      </c>
      <c r="BX161" s="5">
        <f t="shared" si="469"/>
        <v>0</v>
      </c>
      <c r="BY161" s="5">
        <f t="shared" si="469"/>
        <v>0</v>
      </c>
      <c r="BZ161" s="5">
        <f t="shared" si="469"/>
        <v>0</v>
      </c>
      <c r="CA161" s="5">
        <f t="shared" si="469"/>
        <v>0</v>
      </c>
      <c r="CB161" s="11">
        <f>(240*CB65)</f>
        <v>0</v>
      </c>
      <c r="CC161" s="5">
        <f t="shared" si="470"/>
        <v>228095.53593750001</v>
      </c>
    </row>
    <row r="162" spans="1:81">
      <c r="A162" s="29" t="s">
        <v>142</v>
      </c>
      <c r="B162" s="62">
        <f>'27-28'!B162*1.05</f>
        <v>24917.878124999999</v>
      </c>
      <c r="C162" s="5"/>
      <c r="D162" s="5"/>
      <c r="E162" s="5"/>
      <c r="F162" s="5"/>
      <c r="G162" s="5"/>
      <c r="H162" s="5"/>
      <c r="I162" s="5">
        <f t="shared" si="461"/>
        <v>24917.878124999999</v>
      </c>
      <c r="K162" s="62">
        <f>'27-28'!K162*1.05</f>
        <v>24917.878124999999</v>
      </c>
      <c r="L162" s="5"/>
      <c r="M162" s="5"/>
      <c r="N162" s="5"/>
      <c r="O162" s="5"/>
      <c r="P162" s="5"/>
      <c r="Q162" s="5"/>
      <c r="R162" s="5">
        <f t="shared" si="462"/>
        <v>24917.878124999999</v>
      </c>
      <c r="T162" s="62">
        <f>'27-28'!T162*1.05</f>
        <v>24917.878124999999</v>
      </c>
      <c r="U162" s="5"/>
      <c r="V162" s="5"/>
      <c r="W162" s="5"/>
      <c r="X162" s="5"/>
      <c r="Y162" s="5"/>
      <c r="Z162" s="5"/>
      <c r="AA162" s="5">
        <f t="shared" si="463"/>
        <v>24917.878124999999</v>
      </c>
      <c r="AC162" s="62">
        <f>'27-28'!AC162*1.05</f>
        <v>24917.878124999999</v>
      </c>
      <c r="AD162" s="5"/>
      <c r="AE162" s="5"/>
      <c r="AF162" s="5"/>
      <c r="AG162" s="5"/>
      <c r="AH162" s="5"/>
      <c r="AI162" s="5"/>
      <c r="AJ162" s="5">
        <f t="shared" si="464"/>
        <v>24917.878124999999</v>
      </c>
      <c r="AL162" s="62">
        <f>'27-28'!AL162*1.05</f>
        <v>24917.878124999999</v>
      </c>
      <c r="AM162" s="5"/>
      <c r="AN162" s="5"/>
      <c r="AO162" s="5"/>
      <c r="AP162" s="5"/>
      <c r="AQ162" s="5"/>
      <c r="AR162" s="5"/>
      <c r="AS162" s="5">
        <f t="shared" si="465"/>
        <v>24917.878124999999</v>
      </c>
      <c r="AU162" s="62">
        <f>'27-28'!AU162*1.05</f>
        <v>23731.3125</v>
      </c>
      <c r="AV162" s="5"/>
      <c r="AW162" s="5"/>
      <c r="AX162" s="5"/>
      <c r="AY162" s="5"/>
      <c r="AZ162" s="5"/>
      <c r="BA162" s="5"/>
      <c r="BB162" s="5">
        <f t="shared" si="466"/>
        <v>23731.3125</v>
      </c>
      <c r="BD162" s="62">
        <f>'27-28'!BD162*1.05</f>
        <v>6077.53125</v>
      </c>
      <c r="BE162" s="5"/>
      <c r="BF162" s="5"/>
      <c r="BG162" s="5"/>
      <c r="BH162" s="5"/>
      <c r="BI162" s="5"/>
      <c r="BJ162" s="5"/>
      <c r="BK162" s="5">
        <f t="shared" si="467"/>
        <v>6077.53125</v>
      </c>
      <c r="BM162" s="11">
        <v>0</v>
      </c>
      <c r="BN162" s="5"/>
      <c r="BO162" s="5"/>
      <c r="BP162" s="5"/>
      <c r="BQ162" s="5"/>
      <c r="BR162" s="5"/>
      <c r="BS162" s="5"/>
      <c r="BT162" s="5">
        <f t="shared" si="468"/>
        <v>0</v>
      </c>
      <c r="BV162" s="5">
        <f t="shared" si="469"/>
        <v>154398.234375</v>
      </c>
      <c r="BW162" s="5">
        <f t="shared" si="469"/>
        <v>0</v>
      </c>
      <c r="BX162" s="5">
        <f t="shared" si="469"/>
        <v>0</v>
      </c>
      <c r="BY162" s="5">
        <f t="shared" si="469"/>
        <v>0</v>
      </c>
      <c r="BZ162" s="5">
        <f t="shared" si="469"/>
        <v>0</v>
      </c>
      <c r="CA162" s="5">
        <f t="shared" si="469"/>
        <v>0</v>
      </c>
      <c r="CB162" s="5"/>
      <c r="CC162" s="5">
        <f t="shared" si="470"/>
        <v>154398.234375</v>
      </c>
    </row>
    <row r="163" spans="1:81">
      <c r="A163" s="29" t="s">
        <v>143</v>
      </c>
      <c r="B163" s="11">
        <v>7500</v>
      </c>
      <c r="C163" s="5"/>
      <c r="D163" s="5"/>
      <c r="E163" s="5"/>
      <c r="F163" s="5"/>
      <c r="G163" s="5"/>
      <c r="H163" s="5"/>
      <c r="I163" s="5">
        <f t="shared" si="461"/>
        <v>7500</v>
      </c>
      <c r="K163" s="11">
        <v>8000</v>
      </c>
      <c r="L163" s="5"/>
      <c r="M163" s="5"/>
      <c r="N163" s="5"/>
      <c r="O163" s="5"/>
      <c r="P163" s="5"/>
      <c r="Q163" s="5"/>
      <c r="R163" s="5">
        <f t="shared" si="462"/>
        <v>8000</v>
      </c>
      <c r="T163" s="11">
        <v>8000</v>
      </c>
      <c r="U163" s="5"/>
      <c r="V163" s="5"/>
      <c r="W163" s="5"/>
      <c r="X163" s="5"/>
      <c r="Y163" s="5"/>
      <c r="Z163" s="5"/>
      <c r="AA163" s="5">
        <f t="shared" si="463"/>
        <v>8000</v>
      </c>
      <c r="AC163" s="11">
        <v>12000</v>
      </c>
      <c r="AD163" s="5"/>
      <c r="AE163" s="5"/>
      <c r="AF163" s="5"/>
      <c r="AG163" s="5"/>
      <c r="AH163" s="5"/>
      <c r="AI163" s="5"/>
      <c r="AJ163" s="5">
        <f t="shared" si="464"/>
        <v>12000</v>
      </c>
      <c r="AL163" s="11">
        <v>7500</v>
      </c>
      <c r="AM163" s="5"/>
      <c r="AN163" s="5"/>
      <c r="AO163" s="5"/>
      <c r="AP163" s="5"/>
      <c r="AQ163" s="5"/>
      <c r="AR163" s="5"/>
      <c r="AS163" s="5">
        <f t="shared" si="465"/>
        <v>7500</v>
      </c>
      <c r="AU163" s="11">
        <v>6000</v>
      </c>
      <c r="AV163" s="5"/>
      <c r="AW163" s="5"/>
      <c r="AX163" s="5"/>
      <c r="AY163" s="5"/>
      <c r="AZ163" s="5"/>
      <c r="BA163" s="5"/>
      <c r="BB163" s="5">
        <f t="shared" si="466"/>
        <v>6000</v>
      </c>
      <c r="BD163" s="11">
        <v>4500</v>
      </c>
      <c r="BE163" s="5"/>
      <c r="BF163" s="5"/>
      <c r="BG163" s="5"/>
      <c r="BH163" s="5"/>
      <c r="BI163" s="5"/>
      <c r="BJ163" s="5"/>
      <c r="BK163" s="5">
        <f t="shared" si="467"/>
        <v>4500</v>
      </c>
      <c r="BM163" s="11">
        <v>0</v>
      </c>
      <c r="BN163" s="5"/>
      <c r="BO163" s="5"/>
      <c r="BP163" s="5"/>
      <c r="BQ163" s="5"/>
      <c r="BR163" s="5"/>
      <c r="BS163" s="5"/>
      <c r="BT163" s="5">
        <f t="shared" si="468"/>
        <v>0</v>
      </c>
      <c r="BV163" s="5">
        <f t="shared" si="469"/>
        <v>53500</v>
      </c>
      <c r="BW163" s="5">
        <f t="shared" si="469"/>
        <v>0</v>
      </c>
      <c r="BX163" s="5">
        <f t="shared" si="469"/>
        <v>0</v>
      </c>
      <c r="BY163" s="5">
        <f t="shared" si="469"/>
        <v>0</v>
      </c>
      <c r="BZ163" s="5">
        <f t="shared" si="469"/>
        <v>0</v>
      </c>
      <c r="CA163" s="5">
        <f t="shared" si="469"/>
        <v>0</v>
      </c>
      <c r="CB163" s="5"/>
      <c r="CC163" s="5">
        <f t="shared" si="470"/>
        <v>53500</v>
      </c>
    </row>
    <row r="164" spans="1:81">
      <c r="A164" s="29" t="s">
        <v>144</v>
      </c>
      <c r="B164" s="11">
        <f>48*B17+(60*12)</f>
        <v>45360</v>
      </c>
      <c r="C164" s="5"/>
      <c r="D164" s="5"/>
      <c r="E164" s="5"/>
      <c r="F164" s="5"/>
      <c r="G164" s="5"/>
      <c r="H164" s="5"/>
      <c r="I164" s="5">
        <f t="shared" si="461"/>
        <v>45360</v>
      </c>
      <c r="K164" s="11">
        <f>48*K17+(60*12)</f>
        <v>50256</v>
      </c>
      <c r="L164" s="5"/>
      <c r="M164" s="5"/>
      <c r="N164" s="5"/>
      <c r="O164" s="5"/>
      <c r="P164" s="5"/>
      <c r="Q164" s="5"/>
      <c r="R164" s="5">
        <f t="shared" si="462"/>
        <v>50256</v>
      </c>
      <c r="T164" s="11">
        <f>48*T17+(60*12)</f>
        <v>60480</v>
      </c>
      <c r="U164" s="5"/>
      <c r="V164" s="5"/>
      <c r="W164" s="5"/>
      <c r="X164" s="5"/>
      <c r="Y164" s="5"/>
      <c r="Z164" s="5"/>
      <c r="AA164" s="5">
        <f t="shared" si="463"/>
        <v>60480</v>
      </c>
      <c r="AC164" s="11">
        <f>48*AC17+(60*12)</f>
        <v>122928</v>
      </c>
      <c r="AD164" s="5"/>
      <c r="AE164" s="5"/>
      <c r="AF164" s="5"/>
      <c r="AG164" s="5"/>
      <c r="AH164" s="5"/>
      <c r="AI164" s="5"/>
      <c r="AJ164" s="5">
        <f t="shared" si="464"/>
        <v>122928</v>
      </c>
      <c r="AL164" s="11">
        <f>48*AL17+(60*12)</f>
        <v>116016</v>
      </c>
      <c r="AM164" s="5"/>
      <c r="AN164" s="5"/>
      <c r="AO164" s="5"/>
      <c r="AP164" s="5"/>
      <c r="AQ164" s="5"/>
      <c r="AR164" s="5"/>
      <c r="AS164" s="5">
        <f t="shared" si="465"/>
        <v>116016</v>
      </c>
      <c r="AU164" s="11">
        <f>48*AU17+(60*12)</f>
        <v>7440</v>
      </c>
      <c r="AV164" s="5"/>
      <c r="AW164" s="5"/>
      <c r="AX164" s="5"/>
      <c r="AY164" s="5"/>
      <c r="AZ164" s="5"/>
      <c r="BA164" s="5"/>
      <c r="BB164" s="5">
        <f t="shared" si="466"/>
        <v>7440</v>
      </c>
      <c r="BD164" s="11">
        <f>48*BD17+(60*12)</f>
        <v>28128</v>
      </c>
      <c r="BE164" s="5"/>
      <c r="BF164" s="5"/>
      <c r="BG164" s="5"/>
      <c r="BH164" s="5"/>
      <c r="BI164" s="5"/>
      <c r="BJ164" s="5"/>
      <c r="BK164" s="5">
        <f t="shared" si="467"/>
        <v>28128</v>
      </c>
      <c r="BM164" s="11">
        <v>0</v>
      </c>
      <c r="BN164" s="5"/>
      <c r="BO164" s="5"/>
      <c r="BP164" s="5"/>
      <c r="BQ164" s="5"/>
      <c r="BR164" s="5"/>
      <c r="BS164" s="5"/>
      <c r="BT164" s="5">
        <f t="shared" si="468"/>
        <v>0</v>
      </c>
      <c r="BV164" s="5">
        <f t="shared" si="469"/>
        <v>430608</v>
      </c>
      <c r="BW164" s="5">
        <f t="shared" si="469"/>
        <v>0</v>
      </c>
      <c r="BX164" s="5">
        <f t="shared" si="469"/>
        <v>0</v>
      </c>
      <c r="BY164" s="5">
        <f t="shared" si="469"/>
        <v>0</v>
      </c>
      <c r="BZ164" s="5">
        <f t="shared" si="469"/>
        <v>0</v>
      </c>
      <c r="CA164" s="5">
        <f t="shared" si="469"/>
        <v>0</v>
      </c>
      <c r="CB164" s="5"/>
      <c r="CC164" s="5">
        <f t="shared" si="470"/>
        <v>430608</v>
      </c>
    </row>
    <row r="165" spans="1:81">
      <c r="A165" s="29" t="s">
        <v>145</v>
      </c>
      <c r="B165" s="11">
        <v>25000</v>
      </c>
      <c r="C165" s="5"/>
      <c r="D165" s="5"/>
      <c r="E165" s="5"/>
      <c r="F165" s="5"/>
      <c r="G165" s="5"/>
      <c r="H165" s="5"/>
      <c r="I165" s="5">
        <f t="shared" si="461"/>
        <v>25000</v>
      </c>
      <c r="K165" s="11">
        <v>27500</v>
      </c>
      <c r="L165" s="5"/>
      <c r="M165" s="5"/>
      <c r="N165" s="5"/>
      <c r="O165" s="5"/>
      <c r="P165" s="5"/>
      <c r="Q165" s="5"/>
      <c r="R165" s="5">
        <f t="shared" si="462"/>
        <v>27500</v>
      </c>
      <c r="T165" s="11">
        <v>30000</v>
      </c>
      <c r="U165" s="5"/>
      <c r="V165" s="5"/>
      <c r="W165" s="5"/>
      <c r="X165" s="5"/>
      <c r="Y165" s="5"/>
      <c r="Z165" s="5"/>
      <c r="AA165" s="5">
        <f t="shared" si="463"/>
        <v>30000</v>
      </c>
      <c r="AC165" s="11">
        <v>32500</v>
      </c>
      <c r="AD165" s="5"/>
      <c r="AE165" s="5"/>
      <c r="AF165" s="5"/>
      <c r="AG165" s="5"/>
      <c r="AH165" s="5"/>
      <c r="AI165" s="5"/>
      <c r="AJ165" s="5">
        <f t="shared" si="464"/>
        <v>32500</v>
      </c>
      <c r="AL165" s="11">
        <v>40000</v>
      </c>
      <c r="AM165" s="5"/>
      <c r="AN165" s="5"/>
      <c r="AO165" s="5"/>
      <c r="AP165" s="5"/>
      <c r="AQ165" s="5"/>
      <c r="AR165" s="5"/>
      <c r="AS165" s="5">
        <f t="shared" si="465"/>
        <v>40000</v>
      </c>
      <c r="AU165" s="11">
        <v>17000</v>
      </c>
      <c r="AV165" s="5"/>
      <c r="AW165" s="5"/>
      <c r="AX165" s="5"/>
      <c r="AY165" s="5"/>
      <c r="AZ165" s="5"/>
      <c r="BA165" s="5"/>
      <c r="BB165" s="5">
        <f t="shared" si="466"/>
        <v>17000</v>
      </c>
      <c r="BD165" s="11">
        <v>8500</v>
      </c>
      <c r="BE165" s="5"/>
      <c r="BF165" s="5"/>
      <c r="BG165" s="5"/>
      <c r="BH165" s="5"/>
      <c r="BI165" s="5"/>
      <c r="BJ165" s="5"/>
      <c r="BK165" s="5">
        <f t="shared" si="467"/>
        <v>8500</v>
      </c>
      <c r="BM165" s="11">
        <v>0</v>
      </c>
      <c r="BN165" s="5"/>
      <c r="BO165" s="5"/>
      <c r="BP165" s="5"/>
      <c r="BQ165" s="5"/>
      <c r="BR165" s="5"/>
      <c r="BS165" s="5"/>
      <c r="BT165" s="5">
        <f t="shared" si="468"/>
        <v>0</v>
      </c>
      <c r="BV165" s="5">
        <f t="shared" si="469"/>
        <v>180500</v>
      </c>
      <c r="BW165" s="5">
        <f t="shared" si="469"/>
        <v>0</v>
      </c>
      <c r="BX165" s="5">
        <f t="shared" si="469"/>
        <v>0</v>
      </c>
      <c r="BY165" s="5">
        <f t="shared" si="469"/>
        <v>0</v>
      </c>
      <c r="BZ165" s="5">
        <f t="shared" si="469"/>
        <v>0</v>
      </c>
      <c r="CA165" s="5">
        <f t="shared" si="469"/>
        <v>0</v>
      </c>
      <c r="CB165" s="5"/>
      <c r="CC165" s="5">
        <f t="shared" si="470"/>
        <v>180500</v>
      </c>
    </row>
    <row r="166" spans="1:81">
      <c r="A166" s="29" t="s">
        <v>146</v>
      </c>
      <c r="B166" s="11">
        <f>B74*0.0125</f>
        <v>116226.75</v>
      </c>
      <c r="C166" s="5"/>
      <c r="D166" s="5"/>
      <c r="E166" s="5"/>
      <c r="F166" s="5"/>
      <c r="G166" s="5"/>
      <c r="H166" s="5"/>
      <c r="I166" s="5">
        <f t="shared" si="461"/>
        <v>116226.75</v>
      </c>
      <c r="J166" s="80"/>
      <c r="K166" s="11">
        <f>K74*0.0125</f>
        <v>128974.20000000001</v>
      </c>
      <c r="L166" s="5"/>
      <c r="M166" s="5"/>
      <c r="N166" s="5"/>
      <c r="O166" s="5"/>
      <c r="P166" s="5"/>
      <c r="Q166" s="5"/>
      <c r="R166" s="5">
        <f t="shared" si="462"/>
        <v>128974.20000000001</v>
      </c>
      <c r="T166" s="11">
        <f>T74*0.0125</f>
        <v>155593.875</v>
      </c>
      <c r="U166" s="5"/>
      <c r="V166" s="5"/>
      <c r="W166" s="5"/>
      <c r="X166" s="5"/>
      <c r="Y166" s="5"/>
      <c r="Z166" s="5"/>
      <c r="AA166" s="5">
        <f t="shared" si="463"/>
        <v>155593.875</v>
      </c>
      <c r="AC166" s="11">
        <f>AC74*0.0125</f>
        <v>318186.35000000003</v>
      </c>
      <c r="AD166" s="5"/>
      <c r="AE166" s="5"/>
      <c r="AF166" s="5"/>
      <c r="AG166" s="5"/>
      <c r="AH166" s="5"/>
      <c r="AI166" s="5"/>
      <c r="AJ166" s="5">
        <f t="shared" si="464"/>
        <v>318186.35000000003</v>
      </c>
      <c r="AL166" s="11">
        <f>AL74*0.0125</f>
        <v>300189.95</v>
      </c>
      <c r="AM166" s="5"/>
      <c r="AN166" s="5"/>
      <c r="AO166" s="5"/>
      <c r="AP166" s="5"/>
      <c r="AQ166" s="5"/>
      <c r="AR166" s="5"/>
      <c r="AS166" s="5">
        <f t="shared" si="465"/>
        <v>300189.95</v>
      </c>
      <c r="AU166" s="11">
        <f>AU74*0.0125</f>
        <v>17496.5</v>
      </c>
      <c r="AV166" s="5"/>
      <c r="AW166" s="5"/>
      <c r="AX166" s="5"/>
      <c r="AY166" s="5"/>
      <c r="AZ166" s="5"/>
      <c r="BA166" s="5"/>
      <c r="BB166" s="5">
        <f t="shared" si="466"/>
        <v>17496.5</v>
      </c>
      <c r="BD166" s="11">
        <f>BD74*0.0125</f>
        <v>71360.725000000006</v>
      </c>
      <c r="BE166" s="5"/>
      <c r="BF166" s="5"/>
      <c r="BG166" s="5"/>
      <c r="BH166" s="5"/>
      <c r="BI166" s="5"/>
      <c r="BJ166" s="5"/>
      <c r="BK166" s="5">
        <f t="shared" si="467"/>
        <v>71360.725000000006</v>
      </c>
      <c r="BM166" s="11">
        <f>BM74*0.0125</f>
        <v>0</v>
      </c>
      <c r="BN166" s="5"/>
      <c r="BO166" s="5"/>
      <c r="BP166" s="5"/>
      <c r="BQ166" s="5"/>
      <c r="BR166" s="5"/>
      <c r="BS166" s="5"/>
      <c r="BT166" s="5">
        <f t="shared" si="468"/>
        <v>0</v>
      </c>
      <c r="BV166" s="5">
        <f t="shared" si="469"/>
        <v>1108028.3500000001</v>
      </c>
      <c r="BW166" s="5">
        <f t="shared" si="469"/>
        <v>0</v>
      </c>
      <c r="BX166" s="5">
        <f t="shared" si="469"/>
        <v>0</v>
      </c>
      <c r="BY166" s="5">
        <f t="shared" si="469"/>
        <v>0</v>
      </c>
      <c r="BZ166" s="5">
        <f t="shared" si="469"/>
        <v>0</v>
      </c>
      <c r="CA166" s="5">
        <f t="shared" si="469"/>
        <v>0</v>
      </c>
      <c r="CB166" s="5"/>
      <c r="CC166" s="5">
        <f t="shared" si="470"/>
        <v>1108028.3500000001</v>
      </c>
    </row>
    <row r="167" spans="1:81">
      <c r="A167" s="29" t="s">
        <v>147</v>
      </c>
      <c r="B167" s="11">
        <f>B74*0.005</f>
        <v>46490.700000000004</v>
      </c>
      <c r="C167" s="5"/>
      <c r="D167" s="5"/>
      <c r="E167" s="5"/>
      <c r="F167" s="5"/>
      <c r="G167" s="5"/>
      <c r="H167" s="5"/>
      <c r="I167" s="5">
        <f t="shared" si="461"/>
        <v>46490.700000000004</v>
      </c>
      <c r="J167" s="80"/>
      <c r="K167" s="11">
        <f>K74*0.005</f>
        <v>51589.68</v>
      </c>
      <c r="L167" s="5"/>
      <c r="M167" s="5"/>
      <c r="N167" s="5"/>
      <c r="O167" s="5"/>
      <c r="P167" s="5"/>
      <c r="Q167" s="5"/>
      <c r="R167" s="5">
        <f t="shared" si="462"/>
        <v>51589.68</v>
      </c>
      <c r="T167" s="11">
        <f>T74*0.005</f>
        <v>62237.55</v>
      </c>
      <c r="U167" s="5"/>
      <c r="V167" s="5"/>
      <c r="W167" s="5"/>
      <c r="X167" s="5"/>
      <c r="Y167" s="5"/>
      <c r="Z167" s="5"/>
      <c r="AA167" s="5">
        <f t="shared" si="463"/>
        <v>62237.55</v>
      </c>
      <c r="AC167" s="11">
        <f>AC74*0.005</f>
        <v>127274.54000000001</v>
      </c>
      <c r="AD167" s="5"/>
      <c r="AE167" s="5"/>
      <c r="AF167" s="5"/>
      <c r="AG167" s="5"/>
      <c r="AH167" s="5"/>
      <c r="AI167" s="5"/>
      <c r="AJ167" s="5">
        <f t="shared" si="464"/>
        <v>127274.54000000001</v>
      </c>
      <c r="AL167" s="11">
        <f>AL74*0.005</f>
        <v>120075.98</v>
      </c>
      <c r="AM167" s="5"/>
      <c r="AN167" s="5"/>
      <c r="AO167" s="5"/>
      <c r="AP167" s="5"/>
      <c r="AQ167" s="5"/>
      <c r="AR167" s="5"/>
      <c r="AS167" s="5">
        <f t="shared" si="465"/>
        <v>120075.98</v>
      </c>
      <c r="AU167" s="11">
        <f>AU74*0.005</f>
        <v>6998.6</v>
      </c>
      <c r="AV167" s="5"/>
      <c r="AW167" s="5"/>
      <c r="AX167" s="5"/>
      <c r="AY167" s="5"/>
      <c r="AZ167" s="5"/>
      <c r="BA167" s="5"/>
      <c r="BB167" s="5">
        <f t="shared" si="466"/>
        <v>6998.6</v>
      </c>
      <c r="BD167" s="11">
        <f>BD74*0.005</f>
        <v>28544.29</v>
      </c>
      <c r="BE167" s="5"/>
      <c r="BF167" s="5"/>
      <c r="BG167" s="5"/>
      <c r="BH167" s="5"/>
      <c r="BI167" s="5"/>
      <c r="BJ167" s="5"/>
      <c r="BK167" s="5">
        <f t="shared" si="467"/>
        <v>28544.29</v>
      </c>
      <c r="BM167" s="11">
        <f>BM74*0.005</f>
        <v>0</v>
      </c>
      <c r="BN167" s="5"/>
      <c r="BO167" s="5"/>
      <c r="BP167" s="5"/>
      <c r="BQ167" s="5"/>
      <c r="BR167" s="5"/>
      <c r="BS167" s="5"/>
      <c r="BT167" s="5">
        <f t="shared" si="468"/>
        <v>0</v>
      </c>
      <c r="BV167" s="5">
        <f t="shared" si="469"/>
        <v>443211.33999999991</v>
      </c>
      <c r="BW167" s="5">
        <f t="shared" si="469"/>
        <v>0</v>
      </c>
      <c r="BX167" s="5">
        <f t="shared" si="469"/>
        <v>0</v>
      </c>
      <c r="BY167" s="5">
        <f t="shared" si="469"/>
        <v>0</v>
      </c>
      <c r="BZ167" s="5">
        <f t="shared" si="469"/>
        <v>0</v>
      </c>
      <c r="CA167" s="5">
        <f t="shared" si="469"/>
        <v>0</v>
      </c>
      <c r="CB167" s="5"/>
      <c r="CC167" s="5">
        <f t="shared" si="470"/>
        <v>443211.33999999991</v>
      </c>
    </row>
    <row r="168" spans="1:81">
      <c r="A168" s="29" t="s">
        <v>148</v>
      </c>
      <c r="B168" s="11">
        <f>B74*0.005</f>
        <v>46490.700000000004</v>
      </c>
      <c r="C168" s="5"/>
      <c r="D168" s="5"/>
      <c r="E168" s="5"/>
      <c r="F168" s="5"/>
      <c r="G168" s="5"/>
      <c r="H168" s="5"/>
      <c r="I168" s="5">
        <f t="shared" si="461"/>
        <v>46490.700000000004</v>
      </c>
      <c r="J168" s="80"/>
      <c r="K168" s="11">
        <f>K74*0.005</f>
        <v>51589.68</v>
      </c>
      <c r="L168" s="5"/>
      <c r="M168" s="5"/>
      <c r="N168" s="5"/>
      <c r="O168" s="5"/>
      <c r="P168" s="5"/>
      <c r="Q168" s="5"/>
      <c r="R168" s="5">
        <f t="shared" si="462"/>
        <v>51589.68</v>
      </c>
      <c r="T168" s="11">
        <f>T74*0.005</f>
        <v>62237.55</v>
      </c>
      <c r="U168" s="5"/>
      <c r="V168" s="5"/>
      <c r="W168" s="5"/>
      <c r="X168" s="5"/>
      <c r="Y168" s="5"/>
      <c r="Z168" s="5"/>
      <c r="AA168" s="5">
        <f t="shared" si="463"/>
        <v>62237.55</v>
      </c>
      <c r="AC168" s="11">
        <f>AC74*0.005</f>
        <v>127274.54000000001</v>
      </c>
      <c r="AD168" s="5"/>
      <c r="AE168" s="5"/>
      <c r="AF168" s="5"/>
      <c r="AG168" s="5"/>
      <c r="AH168" s="5"/>
      <c r="AI168" s="5"/>
      <c r="AJ168" s="5">
        <f t="shared" si="464"/>
        <v>127274.54000000001</v>
      </c>
      <c r="AL168" s="11">
        <f>AL74*0.005</f>
        <v>120075.98</v>
      </c>
      <c r="AM168" s="5"/>
      <c r="AN168" s="5"/>
      <c r="AO168" s="5"/>
      <c r="AP168" s="5"/>
      <c r="AQ168" s="5"/>
      <c r="AR168" s="5"/>
      <c r="AS168" s="5">
        <f t="shared" si="465"/>
        <v>120075.98</v>
      </c>
      <c r="AU168" s="11">
        <f>AU74*0.005</f>
        <v>6998.6</v>
      </c>
      <c r="AV168" s="5"/>
      <c r="AW168" s="5"/>
      <c r="AX168" s="5"/>
      <c r="AY168" s="5"/>
      <c r="AZ168" s="5"/>
      <c r="BA168" s="5"/>
      <c r="BB168" s="5">
        <f t="shared" si="466"/>
        <v>6998.6</v>
      </c>
      <c r="BD168" s="11">
        <f>BD74*0.005</f>
        <v>28544.29</v>
      </c>
      <c r="BE168" s="5"/>
      <c r="BF168" s="5"/>
      <c r="BG168" s="5"/>
      <c r="BH168" s="5"/>
      <c r="BI168" s="5"/>
      <c r="BJ168" s="5"/>
      <c r="BK168" s="5">
        <f t="shared" si="467"/>
        <v>28544.29</v>
      </c>
      <c r="BM168" s="11">
        <f>BM74*0.005</f>
        <v>0</v>
      </c>
      <c r="BN168" s="5"/>
      <c r="BO168" s="5"/>
      <c r="BP168" s="5"/>
      <c r="BQ168" s="5"/>
      <c r="BR168" s="5"/>
      <c r="BS168" s="5"/>
      <c r="BT168" s="5">
        <f t="shared" si="468"/>
        <v>0</v>
      </c>
      <c r="BV168" s="5">
        <f t="shared" si="469"/>
        <v>443211.33999999991</v>
      </c>
      <c r="BW168" s="5">
        <f t="shared" si="469"/>
        <v>0</v>
      </c>
      <c r="BX168" s="5">
        <f t="shared" si="469"/>
        <v>0</v>
      </c>
      <c r="BY168" s="5">
        <f t="shared" si="469"/>
        <v>0</v>
      </c>
      <c r="BZ168" s="5">
        <f t="shared" si="469"/>
        <v>0</v>
      </c>
      <c r="CA168" s="5">
        <f t="shared" si="469"/>
        <v>0</v>
      </c>
      <c r="CB168" s="5"/>
      <c r="CC168" s="5">
        <f t="shared" si="470"/>
        <v>443211.33999999991</v>
      </c>
    </row>
    <row r="169" spans="1:81">
      <c r="A169" s="78" t="s">
        <v>149</v>
      </c>
      <c r="B169" s="11">
        <v>0</v>
      </c>
      <c r="C169" s="5"/>
      <c r="D169" s="5"/>
      <c r="E169" s="5"/>
      <c r="F169" s="5"/>
      <c r="G169" s="5"/>
      <c r="H169" s="5"/>
      <c r="I169" s="5">
        <f t="shared" si="461"/>
        <v>0</v>
      </c>
      <c r="J169" s="80"/>
      <c r="K169" s="11">
        <v>0</v>
      </c>
      <c r="L169" s="5"/>
      <c r="M169" s="5"/>
      <c r="N169" s="5"/>
      <c r="O169" s="5"/>
      <c r="P169" s="5"/>
      <c r="Q169" s="5"/>
      <c r="R169" s="5">
        <f t="shared" si="462"/>
        <v>0</v>
      </c>
      <c r="T169" s="11">
        <v>0</v>
      </c>
      <c r="U169" s="5"/>
      <c r="V169" s="5"/>
      <c r="W169" s="5"/>
      <c r="X169" s="5"/>
      <c r="Y169" s="5"/>
      <c r="Z169" s="5"/>
      <c r="AA169" s="5">
        <f t="shared" si="463"/>
        <v>0</v>
      </c>
      <c r="AC169" s="11">
        <v>0</v>
      </c>
      <c r="AD169" s="5"/>
      <c r="AE169" s="5"/>
      <c r="AF169" s="5"/>
      <c r="AG169" s="5"/>
      <c r="AH169" s="5"/>
      <c r="AI169" s="5"/>
      <c r="AJ169" s="5">
        <f t="shared" si="464"/>
        <v>0</v>
      </c>
      <c r="AL169" s="11">
        <v>0</v>
      </c>
      <c r="AM169" s="5"/>
      <c r="AN169" s="5"/>
      <c r="AO169" s="5"/>
      <c r="AP169" s="5"/>
      <c r="AQ169" s="5"/>
      <c r="AR169" s="5"/>
      <c r="AS169" s="5">
        <f t="shared" si="465"/>
        <v>0</v>
      </c>
      <c r="AU169" s="11">
        <v>0</v>
      </c>
      <c r="AV169" s="5"/>
      <c r="AW169" s="5"/>
      <c r="AX169" s="5"/>
      <c r="AY169" s="5"/>
      <c r="AZ169" s="5"/>
      <c r="BA169" s="5"/>
      <c r="BB169" s="5">
        <f t="shared" si="466"/>
        <v>0</v>
      </c>
      <c r="BD169" s="11">
        <v>0</v>
      </c>
      <c r="BE169" s="5"/>
      <c r="BF169" s="5"/>
      <c r="BG169" s="5"/>
      <c r="BH169" s="5"/>
      <c r="BI169" s="5"/>
      <c r="BJ169" s="5"/>
      <c r="BK169" s="5">
        <f t="shared" si="467"/>
        <v>0</v>
      </c>
      <c r="BM169" s="11">
        <v>0</v>
      </c>
      <c r="BN169" s="5"/>
      <c r="BO169" s="5"/>
      <c r="BP169" s="5"/>
      <c r="BQ169" s="5"/>
      <c r="BR169" s="5"/>
      <c r="BS169" s="5"/>
      <c r="BT169" s="5">
        <f t="shared" si="468"/>
        <v>0</v>
      </c>
      <c r="BV169" s="5">
        <f t="shared" si="469"/>
        <v>0</v>
      </c>
      <c r="BW169" s="5">
        <f t="shared" si="469"/>
        <v>0</v>
      </c>
      <c r="BX169" s="5">
        <f t="shared" si="469"/>
        <v>0</v>
      </c>
      <c r="BY169" s="5">
        <f t="shared" si="469"/>
        <v>0</v>
      </c>
      <c r="BZ169" s="5">
        <f t="shared" si="469"/>
        <v>0</v>
      </c>
      <c r="CA169" s="5">
        <f t="shared" si="469"/>
        <v>0</v>
      </c>
      <c r="CB169" s="5"/>
      <c r="CC169" s="5">
        <f t="shared" si="470"/>
        <v>0</v>
      </c>
    </row>
    <row r="170" spans="1:81" ht="15">
      <c r="A170" s="70" t="s">
        <v>150</v>
      </c>
      <c r="B170" s="71">
        <f>SUM(B156:B169)</f>
        <v>815121.8481249999</v>
      </c>
      <c r="C170" s="71">
        <f t="shared" ref="C170:H170" si="471">SUM(C156:C169)</f>
        <v>538396.51875000005</v>
      </c>
      <c r="D170" s="71">
        <f t="shared" si="471"/>
        <v>0</v>
      </c>
      <c r="E170" s="71">
        <f t="shared" si="471"/>
        <v>0</v>
      </c>
      <c r="F170" s="71">
        <f t="shared" si="471"/>
        <v>0</v>
      </c>
      <c r="G170" s="71">
        <f t="shared" si="471"/>
        <v>0</v>
      </c>
      <c r="H170" s="71">
        <f t="shared" si="471"/>
        <v>0</v>
      </c>
      <c r="I170" s="71">
        <f>SUM(I156:I169)</f>
        <v>1353518.3668749998</v>
      </c>
      <c r="J170" s="7"/>
      <c r="K170" s="71">
        <f>SUM(K156:K169)</f>
        <v>939681.57562500006</v>
      </c>
      <c r="L170" s="71">
        <f t="shared" ref="L170:Q170" si="472">SUM(L156:L169)</f>
        <v>168766.51874999999</v>
      </c>
      <c r="M170" s="71">
        <f t="shared" si="472"/>
        <v>0</v>
      </c>
      <c r="N170" s="71">
        <f t="shared" si="472"/>
        <v>0</v>
      </c>
      <c r="O170" s="71">
        <f t="shared" si="472"/>
        <v>0</v>
      </c>
      <c r="P170" s="71">
        <f t="shared" si="472"/>
        <v>0</v>
      </c>
      <c r="Q170" s="71">
        <f t="shared" si="472"/>
        <v>0</v>
      </c>
      <c r="R170" s="71">
        <f>SUM(R156:R169)</f>
        <v>1108448.0943749999</v>
      </c>
      <c r="T170" s="71">
        <f>SUM(T156:T169)</f>
        <v>1071400.8687500001</v>
      </c>
      <c r="U170" s="71">
        <f t="shared" ref="U170:Z170" si="473">SUM(U156:U169)</f>
        <v>103854.27187500001</v>
      </c>
      <c r="V170" s="71">
        <f t="shared" si="473"/>
        <v>0</v>
      </c>
      <c r="W170" s="71">
        <f t="shared" si="473"/>
        <v>0</v>
      </c>
      <c r="X170" s="71">
        <f t="shared" si="473"/>
        <v>0</v>
      </c>
      <c r="Y170" s="71">
        <f t="shared" si="473"/>
        <v>0</v>
      </c>
      <c r="Z170" s="71">
        <f t="shared" si="473"/>
        <v>0</v>
      </c>
      <c r="AA170" s="71">
        <f>SUM(AA156:AA169)</f>
        <v>1175255.1406250002</v>
      </c>
      <c r="AC170" s="71">
        <f>SUM(AC156:AC169)</f>
        <v>2128669.339375</v>
      </c>
      <c r="AD170" s="71">
        <f t="shared" ref="AD170:AI170" si="474">SUM(AD156:AD169)</f>
        <v>364948.54375000001</v>
      </c>
      <c r="AE170" s="71">
        <f t="shared" si="474"/>
        <v>0</v>
      </c>
      <c r="AF170" s="71">
        <f t="shared" si="474"/>
        <v>0</v>
      </c>
      <c r="AG170" s="71">
        <f t="shared" si="474"/>
        <v>0</v>
      </c>
      <c r="AH170" s="71">
        <f t="shared" si="474"/>
        <v>0</v>
      </c>
      <c r="AI170" s="71">
        <f t="shared" si="474"/>
        <v>0</v>
      </c>
      <c r="AJ170" s="71">
        <f>SUM(AJ156:AJ169)</f>
        <v>2493617.8831250002</v>
      </c>
      <c r="AL170" s="71">
        <f>SUM(AL156:AL169)</f>
        <v>2000420.213125</v>
      </c>
      <c r="AM170" s="71">
        <f t="shared" ref="AM170:AR170" si="475">SUM(AM156:AM169)</f>
        <v>547135.28437500005</v>
      </c>
      <c r="AN170" s="71">
        <f t="shared" si="475"/>
        <v>0</v>
      </c>
      <c r="AO170" s="71">
        <f t="shared" si="475"/>
        <v>0</v>
      </c>
      <c r="AP170" s="71">
        <f t="shared" si="475"/>
        <v>0</v>
      </c>
      <c r="AQ170" s="71">
        <f t="shared" si="475"/>
        <v>0</v>
      </c>
      <c r="AR170" s="71">
        <f t="shared" si="475"/>
        <v>0</v>
      </c>
      <c r="AS170" s="71">
        <f>SUM(AS156:AS169)</f>
        <v>2547555.4975000001</v>
      </c>
      <c r="AU170" s="71">
        <f>SUM(AU156:AU169)</f>
        <v>449985.19687499997</v>
      </c>
      <c r="AV170" s="71">
        <f t="shared" ref="AV170:BA170" si="476">SUM(AV156:AV169)</f>
        <v>29273.387500000001</v>
      </c>
      <c r="AW170" s="71">
        <f t="shared" si="476"/>
        <v>0</v>
      </c>
      <c r="AX170" s="71">
        <f t="shared" si="476"/>
        <v>0</v>
      </c>
      <c r="AY170" s="71">
        <f t="shared" si="476"/>
        <v>0</v>
      </c>
      <c r="AZ170" s="71">
        <f t="shared" si="476"/>
        <v>0</v>
      </c>
      <c r="BA170" s="71">
        <f t="shared" si="476"/>
        <v>0</v>
      </c>
      <c r="BB170" s="71">
        <f>SUM(BB156:BB169)</f>
        <v>479258.58437499998</v>
      </c>
      <c r="BD170" s="71">
        <f>SUM(BD156:BD169)</f>
        <v>466200.62687499996</v>
      </c>
      <c r="BE170" s="71">
        <f t="shared" ref="BE170:BJ170" si="477">SUM(BE156:BE169)</f>
        <v>489161.62968750001</v>
      </c>
      <c r="BF170" s="71">
        <f t="shared" si="477"/>
        <v>0</v>
      </c>
      <c r="BG170" s="71">
        <f t="shared" si="477"/>
        <v>0</v>
      </c>
      <c r="BH170" s="71">
        <f t="shared" si="477"/>
        <v>0</v>
      </c>
      <c r="BI170" s="71">
        <f t="shared" si="477"/>
        <v>0</v>
      </c>
      <c r="BJ170" s="71">
        <f t="shared" si="477"/>
        <v>0</v>
      </c>
      <c r="BK170" s="71">
        <f>SUM(BK156:BK169)</f>
        <v>955362.25656250014</v>
      </c>
      <c r="BM170" s="71">
        <f>SUM(BM156:BM169)</f>
        <v>2431.0125000000003</v>
      </c>
      <c r="BN170" s="71">
        <f t="shared" ref="BN170:BS170" si="478">SUM(BN156:BN169)</f>
        <v>0</v>
      </c>
      <c r="BO170" s="71">
        <f t="shared" si="478"/>
        <v>0</v>
      </c>
      <c r="BP170" s="71">
        <f t="shared" si="478"/>
        <v>0</v>
      </c>
      <c r="BQ170" s="71">
        <f t="shared" si="478"/>
        <v>0</v>
      </c>
      <c r="BR170" s="71">
        <f t="shared" si="478"/>
        <v>0</v>
      </c>
      <c r="BS170" s="71">
        <f t="shared" si="478"/>
        <v>0</v>
      </c>
      <c r="BT170" s="71">
        <f>SUM(BT156:BT169)</f>
        <v>2431.0125000000003</v>
      </c>
      <c r="BV170" s="71">
        <f>SUM(BV156:BV169)</f>
        <v>7873910.6812499985</v>
      </c>
      <c r="BW170" s="71">
        <f t="shared" ref="BW170:CB170" si="479">SUM(BW156:BW169)</f>
        <v>2241536.1546875001</v>
      </c>
      <c r="BX170" s="71">
        <f t="shared" si="479"/>
        <v>0</v>
      </c>
      <c r="BY170" s="71">
        <f t="shared" si="479"/>
        <v>0</v>
      </c>
      <c r="BZ170" s="71">
        <f t="shared" si="479"/>
        <v>0</v>
      </c>
      <c r="CA170" s="71">
        <f t="shared" si="479"/>
        <v>0</v>
      </c>
      <c r="CB170" s="71">
        <f t="shared" si="479"/>
        <v>0</v>
      </c>
      <c r="CC170" s="71">
        <f>SUM(CC156:CC169)</f>
        <v>10115446.8359375</v>
      </c>
    </row>
    <row r="171" spans="1:81" ht="15">
      <c r="A171" s="75" t="s">
        <v>151</v>
      </c>
      <c r="B171" s="18" t="str">
        <f t="shared" ref="B171:I171" si="480">B1</f>
        <v>Operating</v>
      </c>
      <c r="C171" s="18" t="str">
        <f t="shared" si="480"/>
        <v>SPED</v>
      </c>
      <c r="D171" s="18" t="str">
        <f t="shared" si="480"/>
        <v>NSLP</v>
      </c>
      <c r="E171" s="18" t="str">
        <f t="shared" si="480"/>
        <v>Other</v>
      </c>
      <c r="F171" s="18" t="str">
        <f t="shared" si="480"/>
        <v>Title I</v>
      </c>
      <c r="G171" s="18" t="str">
        <f t="shared" si="480"/>
        <v>SGF</v>
      </c>
      <c r="H171" s="18" t="str">
        <f t="shared" si="480"/>
        <v>Title III</v>
      </c>
      <c r="I171" s="18" t="str">
        <f t="shared" si="480"/>
        <v>Horizon</v>
      </c>
      <c r="J171" s="7"/>
      <c r="K171" s="18" t="str">
        <f t="shared" ref="K171:R171" si="481">K1</f>
        <v>Operating</v>
      </c>
      <c r="L171" s="18" t="str">
        <f t="shared" si="481"/>
        <v>SPED</v>
      </c>
      <c r="M171" s="18" t="str">
        <f t="shared" si="481"/>
        <v>NSLP</v>
      </c>
      <c r="N171" s="18" t="str">
        <f t="shared" si="481"/>
        <v>Other</v>
      </c>
      <c r="O171" s="18" t="str">
        <f t="shared" si="481"/>
        <v>Title I</v>
      </c>
      <c r="P171" s="18" t="str">
        <f t="shared" si="481"/>
        <v>SGF</v>
      </c>
      <c r="Q171" s="18" t="str">
        <f t="shared" si="481"/>
        <v>Title III</v>
      </c>
      <c r="R171" s="18" t="str">
        <f t="shared" si="481"/>
        <v>St. Rose</v>
      </c>
      <c r="T171" s="18" t="str">
        <f t="shared" ref="T171:AA171" si="482">T1</f>
        <v>Operating</v>
      </c>
      <c r="U171" s="18" t="str">
        <f t="shared" si="482"/>
        <v>SPED</v>
      </c>
      <c r="V171" s="18" t="str">
        <f t="shared" si="482"/>
        <v>NSLP</v>
      </c>
      <c r="W171" s="18" t="str">
        <f t="shared" si="482"/>
        <v>Other</v>
      </c>
      <c r="X171" s="18" t="str">
        <f t="shared" si="482"/>
        <v>Title I</v>
      </c>
      <c r="Y171" s="18" t="str">
        <f t="shared" si="482"/>
        <v>SGF</v>
      </c>
      <c r="Z171" s="18" t="str">
        <f t="shared" si="482"/>
        <v>Title III</v>
      </c>
      <c r="AA171" s="18" t="str">
        <f t="shared" si="482"/>
        <v>Inspirada</v>
      </c>
      <c r="AC171" s="18" t="str">
        <f t="shared" ref="AC171:AJ171" si="483">AC1</f>
        <v>Operating</v>
      </c>
      <c r="AD171" s="18" t="str">
        <f t="shared" si="483"/>
        <v>SPED</v>
      </c>
      <c r="AE171" s="18" t="str">
        <f t="shared" si="483"/>
        <v>NSLP</v>
      </c>
      <c r="AF171" s="18" t="str">
        <f t="shared" si="483"/>
        <v>Other</v>
      </c>
      <c r="AG171" s="18" t="str">
        <f t="shared" si="483"/>
        <v>Title I</v>
      </c>
      <c r="AH171" s="18" t="str">
        <f t="shared" si="483"/>
        <v>SGF</v>
      </c>
      <c r="AI171" s="18" t="str">
        <f t="shared" si="483"/>
        <v>Title III</v>
      </c>
      <c r="AJ171" s="18" t="str">
        <f t="shared" si="483"/>
        <v>Cadence</v>
      </c>
      <c r="AL171" s="18" t="str">
        <f t="shared" ref="AL171:AS171" si="484">AL1</f>
        <v>Operating</v>
      </c>
      <c r="AM171" s="18" t="str">
        <f t="shared" si="484"/>
        <v>SPED</v>
      </c>
      <c r="AN171" s="18" t="str">
        <f t="shared" si="484"/>
        <v>NSLP</v>
      </c>
      <c r="AO171" s="18" t="str">
        <f t="shared" si="484"/>
        <v>Other</v>
      </c>
      <c r="AP171" s="18" t="str">
        <f t="shared" si="484"/>
        <v>Title I</v>
      </c>
      <c r="AQ171" s="18" t="str">
        <f t="shared" si="484"/>
        <v>SGF</v>
      </c>
      <c r="AR171" s="18" t="str">
        <f t="shared" si="484"/>
        <v>Title III</v>
      </c>
      <c r="AS171" s="18" t="str">
        <f t="shared" si="484"/>
        <v>Sloan</v>
      </c>
      <c r="AU171" s="18" t="str">
        <f t="shared" ref="AU171:BB171" si="485">AU1</f>
        <v>Operating</v>
      </c>
      <c r="AV171" s="18" t="str">
        <f t="shared" si="485"/>
        <v>SPED</v>
      </c>
      <c r="AW171" s="18" t="str">
        <f t="shared" si="485"/>
        <v>NSLP</v>
      </c>
      <c r="AX171" s="18" t="str">
        <f t="shared" si="485"/>
        <v>Other</v>
      </c>
      <c r="AY171" s="18" t="str">
        <f t="shared" si="485"/>
        <v>Title I</v>
      </c>
      <c r="AZ171" s="18" t="str">
        <f t="shared" si="485"/>
        <v>SGF</v>
      </c>
      <c r="BA171" s="18" t="str">
        <f t="shared" si="485"/>
        <v>Title III</v>
      </c>
      <c r="BB171" s="18" t="str">
        <f t="shared" si="485"/>
        <v>Virtual</v>
      </c>
      <c r="BD171" s="18" t="str">
        <f t="shared" ref="BD171:BK171" si="486">BD1</f>
        <v>Operating</v>
      </c>
      <c r="BE171" s="18" t="str">
        <f t="shared" si="486"/>
        <v>SPED</v>
      </c>
      <c r="BF171" s="18" t="str">
        <f t="shared" si="486"/>
        <v>NSLP</v>
      </c>
      <c r="BG171" s="18" t="str">
        <f t="shared" si="486"/>
        <v>Other</v>
      </c>
      <c r="BH171" s="18" t="str">
        <f t="shared" si="486"/>
        <v>Title I</v>
      </c>
      <c r="BI171" s="18" t="str">
        <f t="shared" si="486"/>
        <v>SGF</v>
      </c>
      <c r="BJ171" s="18" t="str">
        <f t="shared" si="486"/>
        <v>Title III</v>
      </c>
      <c r="BK171" s="18" t="str">
        <f t="shared" si="486"/>
        <v>Springs</v>
      </c>
      <c r="BM171" s="18" t="str">
        <f t="shared" ref="BM171:BT171" si="487">BM1</f>
        <v>Operating</v>
      </c>
      <c r="BN171" s="18" t="str">
        <f t="shared" si="487"/>
        <v>SPED</v>
      </c>
      <c r="BO171" s="18" t="str">
        <f t="shared" si="487"/>
        <v>NSLP</v>
      </c>
      <c r="BP171" s="18" t="str">
        <f t="shared" si="487"/>
        <v>Other</v>
      </c>
      <c r="BQ171" s="18" t="str">
        <f t="shared" si="487"/>
        <v>Title I</v>
      </c>
      <c r="BR171" s="18" t="str">
        <f t="shared" si="487"/>
        <v>SGF</v>
      </c>
      <c r="BS171" s="18" t="str">
        <f t="shared" si="487"/>
        <v>Title III</v>
      </c>
      <c r="BT171" s="18" t="str">
        <f t="shared" si="487"/>
        <v>Exec. Office</v>
      </c>
      <c r="BV171" s="18" t="str">
        <f t="shared" ref="BV171:CC171" si="488">BV1</f>
        <v>Operating</v>
      </c>
      <c r="BW171" s="18" t="str">
        <f t="shared" si="488"/>
        <v>SPED</v>
      </c>
      <c r="BX171" s="18" t="str">
        <f t="shared" si="488"/>
        <v>NSLP</v>
      </c>
      <c r="BY171" s="18" t="str">
        <f t="shared" si="488"/>
        <v>Other</v>
      </c>
      <c r="BZ171" s="18" t="str">
        <f t="shared" si="488"/>
        <v>Title I</v>
      </c>
      <c r="CA171" s="18" t="str">
        <f t="shared" si="488"/>
        <v>SGF</v>
      </c>
      <c r="CB171" s="18" t="str">
        <f t="shared" si="488"/>
        <v>Title III</v>
      </c>
      <c r="CC171" s="18" t="str">
        <f t="shared" si="488"/>
        <v>Systemwide</v>
      </c>
    </row>
    <row r="172" spans="1:81">
      <c r="A172" s="81" t="s">
        <v>152</v>
      </c>
      <c r="B172" s="62">
        <f>'27-28'!B172*1.05</f>
        <v>3418.611328125</v>
      </c>
      <c r="C172" s="5"/>
      <c r="D172" s="5"/>
      <c r="E172" s="5"/>
      <c r="F172" s="5"/>
      <c r="G172" s="5"/>
      <c r="H172" s="5"/>
      <c r="I172" s="5">
        <f t="shared" ref="I172:I178" si="489">SUM(B172:H172)</f>
        <v>3418.611328125</v>
      </c>
      <c r="K172" s="62">
        <f>'27-28'!K172*1.05</f>
        <v>4375.8225000000002</v>
      </c>
      <c r="L172" s="5"/>
      <c r="M172" s="5"/>
      <c r="N172" s="5"/>
      <c r="O172" s="5"/>
      <c r="P172" s="5"/>
      <c r="Q172" s="5"/>
      <c r="R172" s="5">
        <f t="shared" ref="R172:R178" si="490">SUM(K172:Q172)</f>
        <v>4375.8225000000002</v>
      </c>
      <c r="T172" s="62">
        <f>'27-28'!T172*1.05</f>
        <v>3281.8668750000002</v>
      </c>
      <c r="U172" s="5"/>
      <c r="V172" s="5"/>
      <c r="W172" s="5"/>
      <c r="X172" s="5"/>
      <c r="Y172" s="5"/>
      <c r="Z172" s="5"/>
      <c r="AA172" s="5">
        <f t="shared" ref="AA172:AA178" si="491">SUM(T172:Z172)</f>
        <v>3281.8668750000002</v>
      </c>
      <c r="AC172" s="62">
        <f>'27-28'!AC172*1.05</f>
        <v>8022.3412500000013</v>
      </c>
      <c r="AD172" s="5"/>
      <c r="AE172" s="5"/>
      <c r="AF172" s="5"/>
      <c r="AG172" s="5"/>
      <c r="AH172" s="5"/>
      <c r="AI172" s="5"/>
      <c r="AJ172" s="5">
        <f t="shared" ref="AJ172:AJ178" si="492">SUM(AC172:AI172)</f>
        <v>8022.3412500000013</v>
      </c>
      <c r="AL172" s="62">
        <f>'27-28'!AL172*1.05</f>
        <v>8022.3412500000013</v>
      </c>
      <c r="AM172" s="5"/>
      <c r="AN172" s="5"/>
      <c r="AO172" s="5"/>
      <c r="AP172" s="5"/>
      <c r="AQ172" s="5"/>
      <c r="AR172" s="5"/>
      <c r="AS172" s="5">
        <f t="shared" ref="AS172:AS178" si="493">SUM(AL172:AR172)</f>
        <v>8022.3412500000013</v>
      </c>
      <c r="AU172" s="79"/>
      <c r="AV172" s="5"/>
      <c r="AW172" s="5"/>
      <c r="AX172" s="5"/>
      <c r="AY172" s="5"/>
      <c r="AZ172" s="5"/>
      <c r="BA172" s="5"/>
      <c r="BB172" s="5">
        <f t="shared" ref="BB172:BB178" si="494">SUM(AU172:BA172)</f>
        <v>0</v>
      </c>
      <c r="BD172" s="62">
        <f>'27-28'!BD172*1.05</f>
        <v>2917.2150000000001</v>
      </c>
      <c r="BE172" s="5"/>
      <c r="BF172" s="5"/>
      <c r="BG172" s="5"/>
      <c r="BH172" s="5"/>
      <c r="BI172" s="5"/>
      <c r="BJ172" s="5"/>
      <c r="BK172" s="5">
        <f t="shared" ref="BK172:BK178" si="495">SUM(BD172:BJ172)</f>
        <v>2917.2150000000001</v>
      </c>
      <c r="BM172" s="79"/>
      <c r="BN172" s="5"/>
      <c r="BO172" s="5"/>
      <c r="BP172" s="5"/>
      <c r="BQ172" s="5"/>
      <c r="BR172" s="5"/>
      <c r="BS172" s="5"/>
      <c r="BT172" s="5">
        <f t="shared" ref="BT172:BT178" si="496">SUM(BM172:BS172)</f>
        <v>0</v>
      </c>
      <c r="BV172" s="5">
        <f t="shared" ref="BV172:CA187" si="497">B172+K172+T172+AC172+AL172+AU172+BD172+BM172</f>
        <v>30038.198203125001</v>
      </c>
      <c r="BW172" s="5">
        <f t="shared" si="497"/>
        <v>0</v>
      </c>
      <c r="BX172" s="5">
        <f t="shared" si="497"/>
        <v>0</v>
      </c>
      <c r="BY172" s="5">
        <f t="shared" si="497"/>
        <v>0</v>
      </c>
      <c r="BZ172" s="5">
        <f t="shared" si="497"/>
        <v>0</v>
      </c>
      <c r="CA172" s="5">
        <f t="shared" si="497"/>
        <v>0</v>
      </c>
      <c r="CB172" s="5"/>
      <c r="CC172" s="5">
        <f t="shared" ref="CC172:CC178" si="498">SUM(BV172:CB172)</f>
        <v>30038.198203125001</v>
      </c>
    </row>
    <row r="173" spans="1:81">
      <c r="A173" s="29" t="s">
        <v>153</v>
      </c>
      <c r="B173" s="62">
        <f>'27-28'!B173*1.05</f>
        <v>22790.7421875</v>
      </c>
      <c r="C173" s="5"/>
      <c r="D173" s="5"/>
      <c r="E173" s="5"/>
      <c r="F173" s="5"/>
      <c r="G173" s="5"/>
      <c r="H173" s="5"/>
      <c r="I173" s="5">
        <f t="shared" si="489"/>
        <v>22790.7421875</v>
      </c>
      <c r="K173" s="62">
        <f>'27-28'!K173*1.05</f>
        <v>21332.134687500002</v>
      </c>
      <c r="L173" s="5"/>
      <c r="M173" s="5"/>
      <c r="N173" s="5"/>
      <c r="O173" s="5"/>
      <c r="P173" s="5"/>
      <c r="Q173" s="5"/>
      <c r="R173" s="5">
        <f t="shared" si="490"/>
        <v>21332.134687500002</v>
      </c>
      <c r="T173" s="62">
        <f>'27-28'!T173*1.05</f>
        <v>32089.365000000005</v>
      </c>
      <c r="U173" s="5"/>
      <c r="V173" s="5"/>
      <c r="W173" s="5"/>
      <c r="X173" s="5"/>
      <c r="Y173" s="5"/>
      <c r="Z173" s="5"/>
      <c r="AA173" s="5">
        <f t="shared" si="491"/>
        <v>32089.365000000005</v>
      </c>
      <c r="AC173" s="62">
        <f>'27-28'!AC173*1.05</f>
        <v>18961.897500000003</v>
      </c>
      <c r="AD173" s="5"/>
      <c r="AE173" s="5"/>
      <c r="AF173" s="5"/>
      <c r="AG173" s="5"/>
      <c r="AH173" s="5"/>
      <c r="AI173" s="5"/>
      <c r="AJ173" s="5">
        <f t="shared" si="492"/>
        <v>18961.897500000003</v>
      </c>
      <c r="AL173" s="62">
        <f>'27-28'!AL173*1.05</f>
        <v>18232.59375</v>
      </c>
      <c r="AM173" s="5"/>
      <c r="AN173" s="5"/>
      <c r="AO173" s="5"/>
      <c r="AP173" s="5"/>
      <c r="AQ173" s="5"/>
      <c r="AR173" s="5"/>
      <c r="AS173" s="5">
        <f t="shared" si="493"/>
        <v>18232.59375</v>
      </c>
      <c r="AU173" s="62"/>
      <c r="AV173" s="5"/>
      <c r="AW173" s="5"/>
      <c r="AX173" s="5"/>
      <c r="AY173" s="5"/>
      <c r="AZ173" s="5"/>
      <c r="BA173" s="5"/>
      <c r="BB173" s="5">
        <f t="shared" si="494"/>
        <v>0</v>
      </c>
      <c r="BD173" s="62">
        <f>'27-28'!BD173*1.05</f>
        <v>10429.043625</v>
      </c>
      <c r="BE173" s="5"/>
      <c r="BF173" s="5"/>
      <c r="BG173" s="5"/>
      <c r="BH173" s="5"/>
      <c r="BI173" s="5"/>
      <c r="BJ173" s="5"/>
      <c r="BK173" s="5">
        <f t="shared" si="495"/>
        <v>10429.043625</v>
      </c>
      <c r="BM173" s="62"/>
      <c r="BN173" s="5"/>
      <c r="BO173" s="5"/>
      <c r="BP173" s="5"/>
      <c r="BQ173" s="5"/>
      <c r="BR173" s="5"/>
      <c r="BS173" s="5"/>
      <c r="BT173" s="5">
        <f t="shared" si="496"/>
        <v>0</v>
      </c>
      <c r="BV173" s="5">
        <f t="shared" si="497"/>
        <v>123835.77675000002</v>
      </c>
      <c r="BW173" s="5">
        <f t="shared" si="497"/>
        <v>0</v>
      </c>
      <c r="BX173" s="5">
        <f t="shared" si="497"/>
        <v>0</v>
      </c>
      <c r="BY173" s="5">
        <f t="shared" si="497"/>
        <v>0</v>
      </c>
      <c r="BZ173" s="5">
        <f t="shared" si="497"/>
        <v>0</v>
      </c>
      <c r="CA173" s="5">
        <f t="shared" si="497"/>
        <v>0</v>
      </c>
      <c r="CB173" s="5"/>
      <c r="CC173" s="5">
        <f t="shared" si="498"/>
        <v>123835.77675000002</v>
      </c>
    </row>
    <row r="174" spans="1:81">
      <c r="A174" s="29" t="s">
        <v>154</v>
      </c>
      <c r="B174" s="79"/>
      <c r="C174" s="5"/>
      <c r="D174" s="5"/>
      <c r="E174" s="5"/>
      <c r="F174" s="5"/>
      <c r="G174" s="5"/>
      <c r="H174" s="5"/>
      <c r="I174" s="5">
        <f t="shared" si="489"/>
        <v>0</v>
      </c>
      <c r="K174" s="79"/>
      <c r="L174" s="5"/>
      <c r="M174" s="5"/>
      <c r="N174" s="5"/>
      <c r="O174" s="5"/>
      <c r="P174" s="5"/>
      <c r="Q174" s="5"/>
      <c r="R174" s="5">
        <f t="shared" si="490"/>
        <v>0</v>
      </c>
      <c r="T174" s="79"/>
      <c r="U174" s="5"/>
      <c r="V174" s="5"/>
      <c r="W174" s="5"/>
      <c r="X174" s="5"/>
      <c r="Y174" s="5"/>
      <c r="Z174" s="5"/>
      <c r="AA174" s="5">
        <f t="shared" si="491"/>
        <v>0</v>
      </c>
      <c r="AC174" s="79"/>
      <c r="AD174" s="5"/>
      <c r="AE174" s="5"/>
      <c r="AF174" s="5"/>
      <c r="AG174" s="5"/>
      <c r="AH174" s="5"/>
      <c r="AI174" s="5"/>
      <c r="AJ174" s="5">
        <f t="shared" si="492"/>
        <v>0</v>
      </c>
      <c r="AL174" s="79"/>
      <c r="AM174" s="5"/>
      <c r="AN174" s="5"/>
      <c r="AO174" s="5"/>
      <c r="AP174" s="5"/>
      <c r="AQ174" s="5"/>
      <c r="AR174" s="5"/>
      <c r="AS174" s="5">
        <f t="shared" si="493"/>
        <v>0</v>
      </c>
      <c r="AU174" s="79"/>
      <c r="AV174" s="5"/>
      <c r="AW174" s="5"/>
      <c r="AX174" s="5"/>
      <c r="AY174" s="5"/>
      <c r="AZ174" s="5"/>
      <c r="BA174" s="5"/>
      <c r="BB174" s="5">
        <f t="shared" si="494"/>
        <v>0</v>
      </c>
      <c r="BD174" s="79"/>
      <c r="BE174" s="5"/>
      <c r="BF174" s="5"/>
      <c r="BG174" s="5"/>
      <c r="BH174" s="5"/>
      <c r="BI174" s="5"/>
      <c r="BJ174" s="5"/>
      <c r="BK174" s="5">
        <f t="shared" si="495"/>
        <v>0</v>
      </c>
      <c r="BM174" s="79"/>
      <c r="BN174" s="5"/>
      <c r="BO174" s="5"/>
      <c r="BP174" s="5"/>
      <c r="BQ174" s="5"/>
      <c r="BR174" s="5"/>
      <c r="BS174" s="5"/>
      <c r="BT174" s="5">
        <f t="shared" si="496"/>
        <v>0</v>
      </c>
      <c r="BV174" s="5">
        <f t="shared" si="497"/>
        <v>0</v>
      </c>
      <c r="BW174" s="5">
        <f t="shared" si="497"/>
        <v>0</v>
      </c>
      <c r="BX174" s="5">
        <f t="shared" si="497"/>
        <v>0</v>
      </c>
      <c r="BY174" s="5">
        <f t="shared" si="497"/>
        <v>0</v>
      </c>
      <c r="BZ174" s="5">
        <f t="shared" si="497"/>
        <v>0</v>
      </c>
      <c r="CA174" s="5">
        <f t="shared" si="497"/>
        <v>0</v>
      </c>
      <c r="CB174" s="5"/>
      <c r="CC174" s="5">
        <f t="shared" si="498"/>
        <v>0</v>
      </c>
    </row>
    <row r="175" spans="1:81">
      <c r="A175" s="29" t="s">
        <v>155</v>
      </c>
      <c r="B175" s="79">
        <v>1100</v>
      </c>
      <c r="C175" s="5"/>
      <c r="D175" s="5"/>
      <c r="E175" s="5"/>
      <c r="F175" s="5"/>
      <c r="G175" s="5"/>
      <c r="H175" s="5"/>
      <c r="I175" s="5">
        <f t="shared" si="489"/>
        <v>1100</v>
      </c>
      <c r="K175" s="79">
        <v>1250</v>
      </c>
      <c r="L175" s="5"/>
      <c r="M175" s="5"/>
      <c r="N175" s="5"/>
      <c r="O175" s="5"/>
      <c r="P175" s="5"/>
      <c r="Q175" s="5"/>
      <c r="R175" s="5">
        <f t="shared" si="490"/>
        <v>1250</v>
      </c>
      <c r="T175" s="79">
        <v>1250</v>
      </c>
      <c r="U175" s="5"/>
      <c r="V175" s="5"/>
      <c r="W175" s="5"/>
      <c r="X175" s="5"/>
      <c r="Y175" s="5"/>
      <c r="Z175" s="5"/>
      <c r="AA175" s="5">
        <f t="shared" si="491"/>
        <v>1250</v>
      </c>
      <c r="AC175" s="79">
        <v>2000</v>
      </c>
      <c r="AD175" s="5"/>
      <c r="AE175" s="5"/>
      <c r="AF175" s="5"/>
      <c r="AG175" s="5"/>
      <c r="AH175" s="5"/>
      <c r="AI175" s="5"/>
      <c r="AJ175" s="5">
        <f t="shared" si="492"/>
        <v>2000</v>
      </c>
      <c r="AL175" s="79">
        <v>1250</v>
      </c>
      <c r="AM175" s="5"/>
      <c r="AN175" s="5"/>
      <c r="AO175" s="5"/>
      <c r="AP175" s="5"/>
      <c r="AQ175" s="5"/>
      <c r="AR175" s="5"/>
      <c r="AS175" s="5">
        <f t="shared" si="493"/>
        <v>1250</v>
      </c>
      <c r="AU175" s="79"/>
      <c r="AV175" s="5"/>
      <c r="AW175" s="5"/>
      <c r="AX175" s="5"/>
      <c r="AY175" s="5"/>
      <c r="AZ175" s="5"/>
      <c r="BA175" s="5"/>
      <c r="BB175" s="5">
        <f t="shared" si="494"/>
        <v>0</v>
      </c>
      <c r="BD175" s="79">
        <v>1000</v>
      </c>
      <c r="BE175" s="5"/>
      <c r="BF175" s="5"/>
      <c r="BG175" s="5"/>
      <c r="BH175" s="5"/>
      <c r="BI175" s="5"/>
      <c r="BJ175" s="5"/>
      <c r="BK175" s="5">
        <f t="shared" si="495"/>
        <v>1000</v>
      </c>
      <c r="BM175" s="79"/>
      <c r="BN175" s="5"/>
      <c r="BO175" s="5"/>
      <c r="BP175" s="5"/>
      <c r="BQ175" s="5"/>
      <c r="BR175" s="5"/>
      <c r="BS175" s="5"/>
      <c r="BT175" s="5">
        <f t="shared" si="496"/>
        <v>0</v>
      </c>
      <c r="BV175" s="5">
        <f t="shared" si="497"/>
        <v>7850</v>
      </c>
      <c r="BW175" s="5">
        <f t="shared" si="497"/>
        <v>0</v>
      </c>
      <c r="BX175" s="5">
        <f t="shared" si="497"/>
        <v>0</v>
      </c>
      <c r="BY175" s="5">
        <f t="shared" si="497"/>
        <v>0</v>
      </c>
      <c r="BZ175" s="5">
        <f t="shared" si="497"/>
        <v>0</v>
      </c>
      <c r="CA175" s="5">
        <f t="shared" si="497"/>
        <v>0</v>
      </c>
      <c r="CB175" s="5"/>
      <c r="CC175" s="5">
        <f t="shared" si="498"/>
        <v>7850</v>
      </c>
    </row>
    <row r="176" spans="1:81">
      <c r="A176" s="29" t="s">
        <v>156</v>
      </c>
      <c r="B176" s="62">
        <f>'27-28'!B176*1.05</f>
        <v>7900.7906250000005</v>
      </c>
      <c r="C176" s="5"/>
      <c r="D176" s="5"/>
      <c r="E176" s="5"/>
      <c r="F176" s="5"/>
      <c r="G176" s="5"/>
      <c r="H176" s="5"/>
      <c r="I176" s="5">
        <f t="shared" si="489"/>
        <v>7900.7906250000005</v>
      </c>
      <c r="K176" s="62">
        <f>'27-28'!K176*1.05</f>
        <v>7900.7906250000005</v>
      </c>
      <c r="L176" s="5"/>
      <c r="M176" s="5"/>
      <c r="N176" s="5"/>
      <c r="O176" s="5"/>
      <c r="P176" s="5"/>
      <c r="Q176" s="5"/>
      <c r="R176" s="5">
        <f t="shared" si="490"/>
        <v>7900.7906250000005</v>
      </c>
      <c r="T176" s="62">
        <f>'27-28'!T176*1.05</f>
        <v>7900.7906250000005</v>
      </c>
      <c r="U176" s="5"/>
      <c r="V176" s="5"/>
      <c r="W176" s="5"/>
      <c r="X176" s="5"/>
      <c r="Y176" s="5"/>
      <c r="Z176" s="5"/>
      <c r="AA176" s="5">
        <f t="shared" si="491"/>
        <v>7900.7906250000005</v>
      </c>
      <c r="AC176" s="62">
        <f>'27-28'!AC176*1.05</f>
        <v>7900.7906250000005</v>
      </c>
      <c r="AD176" s="5"/>
      <c r="AE176" s="5"/>
      <c r="AF176" s="5"/>
      <c r="AG176" s="5"/>
      <c r="AH176" s="5"/>
      <c r="AI176" s="5"/>
      <c r="AJ176" s="5">
        <f t="shared" si="492"/>
        <v>7900.7906250000005</v>
      </c>
      <c r="AL176" s="62">
        <f>'27-28'!AL176*1.05</f>
        <v>6685.2843750000002</v>
      </c>
      <c r="AM176" s="5"/>
      <c r="AN176" s="5"/>
      <c r="AO176" s="5"/>
      <c r="AP176" s="5"/>
      <c r="AQ176" s="5"/>
      <c r="AR176" s="5"/>
      <c r="AS176" s="5">
        <f t="shared" si="493"/>
        <v>6685.2843750000002</v>
      </c>
      <c r="AU176" s="62">
        <f>'27-28'!AU176*1.05</f>
        <v>7900.7906250000005</v>
      </c>
      <c r="AV176" s="5"/>
      <c r="AW176" s="5"/>
      <c r="AX176" s="5"/>
      <c r="AY176" s="5"/>
      <c r="AZ176" s="5"/>
      <c r="BA176" s="5"/>
      <c r="BB176" s="5">
        <f t="shared" si="494"/>
        <v>7900.7906250000005</v>
      </c>
      <c r="BD176" s="62">
        <f>'27-28'!BD176*1.05</f>
        <v>7900.7906250000005</v>
      </c>
      <c r="BE176" s="5"/>
      <c r="BF176" s="5"/>
      <c r="BG176" s="5"/>
      <c r="BH176" s="5"/>
      <c r="BI176" s="5"/>
      <c r="BJ176" s="5"/>
      <c r="BK176" s="5">
        <f t="shared" si="495"/>
        <v>7900.7906250000005</v>
      </c>
      <c r="BM176" s="79"/>
      <c r="BN176" s="5"/>
      <c r="BO176" s="5"/>
      <c r="BP176" s="5"/>
      <c r="BQ176" s="5"/>
      <c r="BR176" s="5"/>
      <c r="BS176" s="5"/>
      <c r="BT176" s="5">
        <f t="shared" si="496"/>
        <v>0</v>
      </c>
      <c r="BV176" s="5">
        <f t="shared" si="497"/>
        <v>54090.028125000004</v>
      </c>
      <c r="BW176" s="5">
        <f t="shared" si="497"/>
        <v>0</v>
      </c>
      <c r="BX176" s="5">
        <f t="shared" si="497"/>
        <v>0</v>
      </c>
      <c r="BY176" s="5">
        <f t="shared" si="497"/>
        <v>0</v>
      </c>
      <c r="BZ176" s="5">
        <f t="shared" si="497"/>
        <v>0</v>
      </c>
      <c r="CA176" s="5">
        <f t="shared" si="497"/>
        <v>0</v>
      </c>
      <c r="CB176" s="5"/>
      <c r="CC176" s="5">
        <f t="shared" si="498"/>
        <v>54090.028125000004</v>
      </c>
    </row>
    <row r="177" spans="1:81">
      <c r="A177" s="29" t="s">
        <v>157</v>
      </c>
      <c r="B177" s="62">
        <f>'27-28'!B177*1.05</f>
        <v>54697.78125</v>
      </c>
      <c r="C177" s="5"/>
      <c r="D177" s="5"/>
      <c r="E177" s="5"/>
      <c r="F177" s="5"/>
      <c r="G177" s="5"/>
      <c r="H177" s="5"/>
      <c r="I177" s="5">
        <f t="shared" si="489"/>
        <v>54697.78125</v>
      </c>
      <c r="K177" s="62">
        <f>'27-28'!K177*1.05</f>
        <v>60775.3125</v>
      </c>
      <c r="L177" s="5"/>
      <c r="M177" s="5"/>
      <c r="N177" s="5"/>
      <c r="O177" s="5"/>
      <c r="P177" s="5"/>
      <c r="Q177" s="5"/>
      <c r="R177" s="5">
        <f t="shared" si="490"/>
        <v>60775.3125</v>
      </c>
      <c r="T177" s="62">
        <f>'27-28'!T177*1.05</f>
        <v>72930.375</v>
      </c>
      <c r="U177" s="5"/>
      <c r="V177" s="5"/>
      <c r="W177" s="5"/>
      <c r="X177" s="5"/>
      <c r="Y177" s="5"/>
      <c r="Z177" s="5"/>
      <c r="AA177" s="5">
        <f t="shared" si="491"/>
        <v>72930.375</v>
      </c>
      <c r="AC177" s="62">
        <f>'27-28'!AC177*1.05</f>
        <v>121550.625</v>
      </c>
      <c r="AD177" s="5"/>
      <c r="AE177" s="5"/>
      <c r="AF177" s="5"/>
      <c r="AG177" s="5"/>
      <c r="AH177" s="5"/>
      <c r="AI177" s="5"/>
      <c r="AJ177" s="5">
        <f t="shared" si="492"/>
        <v>121550.625</v>
      </c>
      <c r="AL177" s="62">
        <f>'27-28'!AL177*1.05</f>
        <v>121550.625</v>
      </c>
      <c r="AM177" s="5"/>
      <c r="AN177" s="5"/>
      <c r="AO177" s="5"/>
      <c r="AP177" s="5"/>
      <c r="AQ177" s="5"/>
      <c r="AR177" s="5"/>
      <c r="AS177" s="5">
        <f t="shared" si="493"/>
        <v>121550.625</v>
      </c>
      <c r="AU177" s="62"/>
      <c r="AV177" s="5"/>
      <c r="AW177" s="5"/>
      <c r="AX177" s="5"/>
      <c r="AY177" s="5"/>
      <c r="AZ177" s="5"/>
      <c r="BA177" s="5"/>
      <c r="BB177" s="5">
        <f t="shared" si="494"/>
        <v>0</v>
      </c>
      <c r="BD177" s="62">
        <f>'27-28'!BD177*1.05</f>
        <v>9116.296875</v>
      </c>
      <c r="BE177" s="5"/>
      <c r="BF177" s="5"/>
      <c r="BG177" s="5"/>
      <c r="BH177" s="5"/>
      <c r="BI177" s="5"/>
      <c r="BJ177" s="5"/>
      <c r="BK177" s="5">
        <f t="shared" si="495"/>
        <v>9116.296875</v>
      </c>
      <c r="BM177" s="62"/>
      <c r="BN177" s="5"/>
      <c r="BO177" s="5"/>
      <c r="BP177" s="5"/>
      <c r="BQ177" s="5"/>
      <c r="BR177" s="5"/>
      <c r="BS177" s="5"/>
      <c r="BT177" s="5">
        <f t="shared" si="496"/>
        <v>0</v>
      </c>
      <c r="BV177" s="5">
        <f t="shared" si="497"/>
        <v>440621.015625</v>
      </c>
      <c r="BW177" s="5">
        <f t="shared" si="497"/>
        <v>0</v>
      </c>
      <c r="BX177" s="5">
        <f t="shared" si="497"/>
        <v>0</v>
      </c>
      <c r="BY177" s="5">
        <f t="shared" si="497"/>
        <v>0</v>
      </c>
      <c r="BZ177" s="5">
        <f t="shared" si="497"/>
        <v>0</v>
      </c>
      <c r="CA177" s="5">
        <f t="shared" si="497"/>
        <v>0</v>
      </c>
      <c r="CB177" s="5"/>
      <c r="CC177" s="5">
        <f t="shared" si="498"/>
        <v>440621.015625</v>
      </c>
    </row>
    <row r="178" spans="1:81">
      <c r="A178" s="29" t="s">
        <v>158</v>
      </c>
      <c r="B178" s="62">
        <f>'27-28'!B178*1.05</f>
        <v>6363.1752187500015</v>
      </c>
      <c r="C178" s="5"/>
      <c r="D178" s="5"/>
      <c r="E178" s="5"/>
      <c r="F178" s="5"/>
      <c r="G178" s="5"/>
      <c r="H178" s="5"/>
      <c r="I178" s="5">
        <f t="shared" si="489"/>
        <v>6363.1752187500015</v>
      </c>
      <c r="K178" s="62">
        <f>'27-28'!K178*1.05</f>
        <v>7183.6419375000014</v>
      </c>
      <c r="L178" s="5"/>
      <c r="M178" s="5"/>
      <c r="N178" s="5"/>
      <c r="O178" s="5"/>
      <c r="P178" s="5"/>
      <c r="Q178" s="5"/>
      <c r="R178" s="5">
        <f t="shared" si="490"/>
        <v>7183.6419375000014</v>
      </c>
      <c r="T178" s="62">
        <f>'27-28'!T178*1.05</f>
        <v>8380.91559375</v>
      </c>
      <c r="U178" s="5"/>
      <c r="V178" s="5"/>
      <c r="W178" s="5"/>
      <c r="X178" s="5"/>
      <c r="Y178" s="5"/>
      <c r="Z178" s="5"/>
      <c r="AA178" s="5">
        <f t="shared" si="491"/>
        <v>8380.91559375</v>
      </c>
      <c r="AC178" s="62">
        <f>'27-28'!AC178*1.05</f>
        <v>16427.566968750001</v>
      </c>
      <c r="AD178" s="5"/>
      <c r="AE178" s="5"/>
      <c r="AF178" s="5"/>
      <c r="AG178" s="5"/>
      <c r="AH178" s="5"/>
      <c r="AI178" s="5"/>
      <c r="AJ178" s="5">
        <f t="shared" si="492"/>
        <v>16427.566968750001</v>
      </c>
      <c r="AL178" s="62">
        <f>'27-28'!AL178*1.05</f>
        <v>15929.209406250002</v>
      </c>
      <c r="AM178" s="5"/>
      <c r="AN178" s="5"/>
      <c r="AO178" s="5"/>
      <c r="AP178" s="5"/>
      <c r="AQ178" s="5"/>
      <c r="AR178" s="5"/>
      <c r="AS178" s="5">
        <f t="shared" si="493"/>
        <v>15929.209406250002</v>
      </c>
      <c r="AU178" s="62">
        <v>800</v>
      </c>
      <c r="AV178" s="5"/>
      <c r="AW178" s="5"/>
      <c r="AX178" s="5"/>
      <c r="AY178" s="5"/>
      <c r="AZ178" s="5"/>
      <c r="BA178" s="5"/>
      <c r="BB178" s="5">
        <f t="shared" si="494"/>
        <v>800</v>
      </c>
      <c r="BD178" s="62">
        <f>'27-28'!BD178*1.05</f>
        <v>1871.8796250000005</v>
      </c>
      <c r="BE178" s="5"/>
      <c r="BF178" s="5"/>
      <c r="BG178" s="5"/>
      <c r="BH178" s="5"/>
      <c r="BI178" s="5"/>
      <c r="BJ178" s="5"/>
      <c r="BK178" s="5">
        <f t="shared" si="495"/>
        <v>1871.8796250000005</v>
      </c>
      <c r="BM178" s="62"/>
      <c r="BN178" s="5"/>
      <c r="BO178" s="5"/>
      <c r="BP178" s="5"/>
      <c r="BQ178" s="5"/>
      <c r="BR178" s="5"/>
      <c r="BS178" s="5"/>
      <c r="BT178" s="5">
        <f t="shared" si="496"/>
        <v>0</v>
      </c>
      <c r="BV178" s="5">
        <f t="shared" si="497"/>
        <v>56956.388750000006</v>
      </c>
      <c r="BW178" s="5">
        <f t="shared" si="497"/>
        <v>0</v>
      </c>
      <c r="BX178" s="5">
        <f t="shared" si="497"/>
        <v>0</v>
      </c>
      <c r="BY178" s="5">
        <f t="shared" si="497"/>
        <v>0</v>
      </c>
      <c r="BZ178" s="5">
        <f t="shared" si="497"/>
        <v>0</v>
      </c>
      <c r="CA178" s="5">
        <f t="shared" si="497"/>
        <v>0</v>
      </c>
      <c r="CB178" s="5"/>
      <c r="CC178" s="5">
        <f t="shared" si="498"/>
        <v>56956.388750000006</v>
      </c>
    </row>
    <row r="179" spans="1:81">
      <c r="A179" s="29" t="s">
        <v>159</v>
      </c>
      <c r="B179" s="62"/>
      <c r="C179" s="5"/>
      <c r="D179" s="5"/>
      <c r="E179" s="5"/>
      <c r="F179" s="5"/>
      <c r="G179" s="5"/>
      <c r="H179" s="5"/>
      <c r="I179" s="5">
        <f>SUM(B179:H179)</f>
        <v>0</v>
      </c>
      <c r="K179" s="62"/>
      <c r="L179" s="5"/>
      <c r="M179" s="5"/>
      <c r="N179" s="5"/>
      <c r="O179" s="5"/>
      <c r="P179" s="5"/>
      <c r="Q179" s="5"/>
      <c r="R179" s="5">
        <f>SUM(K179:Q179)</f>
        <v>0</v>
      </c>
      <c r="T179" s="62"/>
      <c r="U179" s="5"/>
      <c r="V179" s="5"/>
      <c r="W179" s="5"/>
      <c r="X179" s="5"/>
      <c r="Y179" s="5"/>
      <c r="Z179" s="5"/>
      <c r="AA179" s="5">
        <f>SUM(T179:Z179)</f>
        <v>0</v>
      </c>
      <c r="AC179" s="62"/>
      <c r="AD179" s="5"/>
      <c r="AE179" s="5"/>
      <c r="AF179" s="5"/>
      <c r="AG179" s="5"/>
      <c r="AH179" s="5"/>
      <c r="AI179" s="5"/>
      <c r="AJ179" s="5">
        <f>SUM(AC179:AI179)</f>
        <v>0</v>
      </c>
      <c r="AL179" s="62"/>
      <c r="AM179" s="5"/>
      <c r="AN179" s="5"/>
      <c r="AO179" s="5"/>
      <c r="AP179" s="5"/>
      <c r="AQ179" s="5"/>
      <c r="AR179" s="5"/>
      <c r="AS179" s="5">
        <f>SUM(AL179:AR179)</f>
        <v>0</v>
      </c>
      <c r="AU179" s="62"/>
      <c r="AV179" s="5"/>
      <c r="AW179" s="5"/>
      <c r="AX179" s="5"/>
      <c r="AY179" s="5"/>
      <c r="AZ179" s="5"/>
      <c r="BA179" s="5"/>
      <c r="BB179" s="5">
        <f>SUM(AU179:BA179)</f>
        <v>0</v>
      </c>
      <c r="BD179" s="62"/>
      <c r="BE179" s="5"/>
      <c r="BF179" s="5"/>
      <c r="BG179" s="5"/>
      <c r="BH179" s="5"/>
      <c r="BI179" s="5"/>
      <c r="BJ179" s="5"/>
      <c r="BK179" s="5">
        <f>SUM(BD179:BJ179)</f>
        <v>0</v>
      </c>
      <c r="BM179" s="62"/>
      <c r="BN179" s="5"/>
      <c r="BO179" s="5"/>
      <c r="BP179" s="5"/>
      <c r="BQ179" s="5"/>
      <c r="BR179" s="5"/>
      <c r="BS179" s="5"/>
      <c r="BT179" s="5">
        <f>SUM(BM179:BS179)</f>
        <v>0</v>
      </c>
      <c r="BV179" s="5">
        <f t="shared" si="497"/>
        <v>0</v>
      </c>
      <c r="BW179" s="5">
        <f t="shared" si="497"/>
        <v>0</v>
      </c>
      <c r="BX179" s="5">
        <f t="shared" si="497"/>
        <v>0</v>
      </c>
      <c r="BY179" s="5">
        <f t="shared" si="497"/>
        <v>0</v>
      </c>
      <c r="BZ179" s="5">
        <f t="shared" si="497"/>
        <v>0</v>
      </c>
      <c r="CA179" s="5">
        <f t="shared" si="497"/>
        <v>0</v>
      </c>
      <c r="CB179" s="5"/>
      <c r="CC179" s="5">
        <f>SUM(BV179:CB179)</f>
        <v>0</v>
      </c>
    </row>
    <row r="180" spans="1:81">
      <c r="A180" s="29" t="s">
        <v>160</v>
      </c>
      <c r="B180" s="79"/>
      <c r="C180" s="5"/>
      <c r="D180" s="5"/>
      <c r="E180" s="5"/>
      <c r="F180" s="5"/>
      <c r="G180" s="5"/>
      <c r="H180" s="5"/>
      <c r="I180" s="5">
        <f>SUM(B180:H180)</f>
        <v>0</v>
      </c>
      <c r="K180" s="79"/>
      <c r="L180" s="5"/>
      <c r="M180" s="5"/>
      <c r="N180" s="5"/>
      <c r="O180" s="5"/>
      <c r="P180" s="5"/>
      <c r="Q180" s="5"/>
      <c r="R180" s="5">
        <f>SUM(K180:Q180)</f>
        <v>0</v>
      </c>
      <c r="T180" s="79"/>
      <c r="U180" s="5"/>
      <c r="V180" s="5"/>
      <c r="W180" s="5"/>
      <c r="X180" s="5"/>
      <c r="Y180" s="5"/>
      <c r="Z180" s="5"/>
      <c r="AA180" s="5">
        <f>SUM(T180:Z180)</f>
        <v>0</v>
      </c>
      <c r="AC180" s="79"/>
      <c r="AD180" s="5"/>
      <c r="AE180" s="5"/>
      <c r="AF180" s="5"/>
      <c r="AG180" s="5"/>
      <c r="AH180" s="5"/>
      <c r="AI180" s="5"/>
      <c r="AJ180" s="5">
        <f>SUM(AC180:AI180)</f>
        <v>0</v>
      </c>
      <c r="AL180" s="79"/>
      <c r="AM180" s="5"/>
      <c r="AN180" s="5"/>
      <c r="AO180" s="5"/>
      <c r="AP180" s="5"/>
      <c r="AQ180" s="5"/>
      <c r="AR180" s="5"/>
      <c r="AS180" s="5">
        <f>SUM(AL180:AR180)</f>
        <v>0</v>
      </c>
      <c r="AU180" s="79"/>
      <c r="AV180" s="5"/>
      <c r="AW180" s="5"/>
      <c r="AX180" s="5"/>
      <c r="AY180" s="5"/>
      <c r="AZ180" s="5"/>
      <c r="BA180" s="5"/>
      <c r="BB180" s="5">
        <f>SUM(AU180:BA180)</f>
        <v>0</v>
      </c>
      <c r="BD180" s="62"/>
      <c r="BE180" s="5"/>
      <c r="BF180" s="5"/>
      <c r="BG180" s="5"/>
      <c r="BH180" s="5"/>
      <c r="BI180" s="5"/>
      <c r="BJ180" s="5"/>
      <c r="BK180" s="5">
        <f>SUM(BD180:BJ180)</f>
        <v>0</v>
      </c>
      <c r="BM180" s="79"/>
      <c r="BN180" s="5"/>
      <c r="BO180" s="5"/>
      <c r="BP180" s="5"/>
      <c r="BQ180" s="5"/>
      <c r="BR180" s="5"/>
      <c r="BS180" s="5"/>
      <c r="BT180" s="5">
        <f>SUM(BM180:BS180)</f>
        <v>0</v>
      </c>
      <c r="BV180" s="5">
        <f t="shared" si="497"/>
        <v>0</v>
      </c>
      <c r="BW180" s="5">
        <f t="shared" si="497"/>
        <v>0</v>
      </c>
      <c r="BX180" s="5">
        <f t="shared" si="497"/>
        <v>0</v>
      </c>
      <c r="BY180" s="5">
        <f t="shared" si="497"/>
        <v>0</v>
      </c>
      <c r="BZ180" s="5">
        <f t="shared" si="497"/>
        <v>0</v>
      </c>
      <c r="CA180" s="5">
        <f t="shared" si="497"/>
        <v>0</v>
      </c>
      <c r="CB180" s="5"/>
      <c r="CC180" s="5">
        <f>SUM(BV180:CB180)</f>
        <v>0</v>
      </c>
    </row>
    <row r="181" spans="1:81">
      <c r="A181" s="29" t="s">
        <v>161</v>
      </c>
      <c r="B181" s="62">
        <f>'27-28'!B181*1.05</f>
        <v>64421.831250000003</v>
      </c>
      <c r="C181" s="5"/>
      <c r="D181" s="5"/>
      <c r="E181" s="5"/>
      <c r="F181" s="5"/>
      <c r="G181" s="5"/>
      <c r="H181" s="5"/>
      <c r="I181" s="5">
        <f>SUM(B181:H181)</f>
        <v>64421.831250000003</v>
      </c>
      <c r="K181" s="62">
        <f>'27-28'!K181*1.05</f>
        <v>73051.925625000003</v>
      </c>
      <c r="L181" s="5"/>
      <c r="M181" s="5"/>
      <c r="N181" s="5"/>
      <c r="O181" s="5"/>
      <c r="P181" s="5"/>
      <c r="Q181" s="5"/>
      <c r="R181" s="5">
        <f>SUM(K181:Q181)</f>
        <v>73051.925625000003</v>
      </c>
      <c r="T181" s="62">
        <f>'27-28'!T181*1.05</f>
        <v>85085.4375</v>
      </c>
      <c r="U181" s="5"/>
      <c r="V181" s="5"/>
      <c r="W181" s="5"/>
      <c r="X181" s="5"/>
      <c r="Y181" s="5"/>
      <c r="Z181" s="5"/>
      <c r="AA181" s="5">
        <f>SUM(T181:Z181)</f>
        <v>85085.4375</v>
      </c>
      <c r="AC181" s="62">
        <f>'27-28'!AC181*1.05</f>
        <v>164093.34375</v>
      </c>
      <c r="AD181" s="5"/>
      <c r="AE181" s="5"/>
      <c r="AF181" s="5"/>
      <c r="AG181" s="5"/>
      <c r="AH181" s="5"/>
      <c r="AI181" s="5"/>
      <c r="AJ181" s="5">
        <f>SUM(AC181:AI181)</f>
        <v>164093.34375</v>
      </c>
      <c r="AL181" s="62">
        <f>'27-28'!AL181*1.05</f>
        <v>140542.91015625</v>
      </c>
      <c r="AM181" s="5"/>
      <c r="AN181" s="5"/>
      <c r="AO181" s="5"/>
      <c r="AP181" s="5"/>
      <c r="AQ181" s="5"/>
      <c r="AR181" s="5"/>
      <c r="AS181" s="5">
        <f>SUM(AL181:AR181)</f>
        <v>140542.91015625</v>
      </c>
      <c r="AU181" s="62">
        <f>'27-28'!AU181*1.05</f>
        <v>10939.55625</v>
      </c>
      <c r="AV181" s="5"/>
      <c r="AW181" s="5"/>
      <c r="AX181" s="5"/>
      <c r="AY181" s="5"/>
      <c r="AZ181" s="5"/>
      <c r="BA181" s="5"/>
      <c r="BB181" s="5">
        <f>SUM(AU181:BA181)</f>
        <v>10939.55625</v>
      </c>
      <c r="BD181" s="62">
        <f>'27-28'!BD181*1.05</f>
        <v>13370.56875</v>
      </c>
      <c r="BE181" s="5"/>
      <c r="BF181" s="5"/>
      <c r="BG181" s="5"/>
      <c r="BH181" s="5"/>
      <c r="BI181" s="5"/>
      <c r="BJ181" s="5"/>
      <c r="BK181" s="5">
        <f>SUM(BD181:BJ181)</f>
        <v>13370.56875</v>
      </c>
      <c r="BM181" s="79"/>
      <c r="BN181" s="5"/>
      <c r="BO181" s="5"/>
      <c r="BP181" s="5"/>
      <c r="BQ181" s="5"/>
      <c r="BR181" s="5"/>
      <c r="BS181" s="5"/>
      <c r="BT181" s="5">
        <f>SUM(BM181:BS181)</f>
        <v>0</v>
      </c>
      <c r="BV181" s="5">
        <f t="shared" si="497"/>
        <v>551505.57328124996</v>
      </c>
      <c r="BW181" s="5">
        <f t="shared" si="497"/>
        <v>0</v>
      </c>
      <c r="BX181" s="5">
        <f t="shared" si="497"/>
        <v>0</v>
      </c>
      <c r="BY181" s="5">
        <f t="shared" si="497"/>
        <v>0</v>
      </c>
      <c r="BZ181" s="5">
        <f t="shared" si="497"/>
        <v>0</v>
      </c>
      <c r="CA181" s="5">
        <f t="shared" si="497"/>
        <v>0</v>
      </c>
      <c r="CB181" s="5"/>
      <c r="CC181" s="5">
        <f>SUM(BV181:CB181)</f>
        <v>551505.57328124996</v>
      </c>
    </row>
    <row r="182" spans="1:81">
      <c r="A182" s="29" t="s">
        <v>162</v>
      </c>
      <c r="B182" s="5"/>
      <c r="C182" s="5"/>
      <c r="D182" s="5"/>
      <c r="E182" s="5"/>
      <c r="F182" s="5"/>
      <c r="G182" s="5"/>
      <c r="H182" s="5"/>
      <c r="I182" s="5">
        <f t="shared" ref="I182:I190" si="499">SUM(B182:H182)</f>
        <v>0</v>
      </c>
      <c r="J182" s="82"/>
      <c r="K182" s="5"/>
      <c r="L182" s="5"/>
      <c r="M182" s="5">
        <v>0</v>
      </c>
      <c r="N182" s="5"/>
      <c r="O182" s="5"/>
      <c r="P182" s="5"/>
      <c r="Q182" s="5"/>
      <c r="R182" s="5">
        <f t="shared" ref="R182:R190" si="500">SUM(K182:Q182)</f>
        <v>0</v>
      </c>
      <c r="T182" s="5"/>
      <c r="U182" s="5"/>
      <c r="V182" s="5"/>
      <c r="W182" s="5"/>
      <c r="X182" s="5"/>
      <c r="Y182" s="5"/>
      <c r="Z182" s="5"/>
      <c r="AA182" s="5">
        <f t="shared" ref="AA182:AA190" si="501">SUM(T182:Z182)</f>
        <v>0</v>
      </c>
      <c r="AC182" s="5"/>
      <c r="AD182" s="5"/>
      <c r="AE182" s="5"/>
      <c r="AF182" s="5"/>
      <c r="AG182" s="5"/>
      <c r="AH182" s="5"/>
      <c r="AI182" s="5"/>
      <c r="AJ182" s="5">
        <f t="shared" ref="AJ182:AJ190" si="502">SUM(AC182:AI182)</f>
        <v>0</v>
      </c>
      <c r="AL182" s="5"/>
      <c r="AM182" s="5"/>
      <c r="AN182" s="5"/>
      <c r="AO182" s="5"/>
      <c r="AP182" s="5"/>
      <c r="AQ182" s="5"/>
      <c r="AR182" s="5"/>
      <c r="AS182" s="5">
        <f t="shared" ref="AS182:AS190" si="503">SUM(AL182:AR182)</f>
        <v>0</v>
      </c>
      <c r="AU182" s="5"/>
      <c r="AV182" s="5"/>
      <c r="AW182" s="5"/>
      <c r="AX182" s="5"/>
      <c r="AY182" s="5"/>
      <c r="AZ182" s="5"/>
      <c r="BA182" s="5"/>
      <c r="BB182" s="5">
        <f t="shared" ref="BB182:BB190" si="504">SUM(AU182:BA182)</f>
        <v>0</v>
      </c>
      <c r="BD182" s="5"/>
      <c r="BE182" s="5"/>
      <c r="BF182" s="11">
        <f>((BD17*0.93)*2.3*180)</f>
        <v>219846.41999999998</v>
      </c>
      <c r="BG182" s="5"/>
      <c r="BH182" s="5"/>
      <c r="BI182" s="5"/>
      <c r="BJ182" s="5"/>
      <c r="BK182" s="5">
        <f t="shared" ref="BK182:BK190" si="505">SUM(BD182:BJ182)</f>
        <v>219846.41999999998</v>
      </c>
      <c r="BM182" s="5"/>
      <c r="BN182" s="5"/>
      <c r="BO182" s="5"/>
      <c r="BP182" s="5"/>
      <c r="BQ182" s="5"/>
      <c r="BR182" s="5"/>
      <c r="BS182" s="5"/>
      <c r="BT182" s="5">
        <f t="shared" ref="BT182:BT190" si="506">SUM(BM182:BS182)</f>
        <v>0</v>
      </c>
      <c r="BV182" s="5">
        <f t="shared" si="497"/>
        <v>0</v>
      </c>
      <c r="BW182" s="5">
        <f t="shared" si="497"/>
        <v>0</v>
      </c>
      <c r="BX182" s="5">
        <f t="shared" si="497"/>
        <v>219846.41999999998</v>
      </c>
      <c r="BY182" s="5">
        <f t="shared" si="497"/>
        <v>0</v>
      </c>
      <c r="BZ182" s="5">
        <f t="shared" si="497"/>
        <v>0</v>
      </c>
      <c r="CA182" s="5">
        <f t="shared" si="497"/>
        <v>0</v>
      </c>
      <c r="CB182" s="5"/>
      <c r="CC182" s="5">
        <f t="shared" ref="CC182:CC190" si="507">SUM(BV182:CB182)</f>
        <v>219846.41999999998</v>
      </c>
    </row>
    <row r="183" spans="1:81">
      <c r="A183" s="29" t="s">
        <v>163</v>
      </c>
      <c r="B183" s="5"/>
      <c r="C183" s="5"/>
      <c r="D183" s="5">
        <f>((B17*0.5)*3.75*180)</f>
        <v>313875</v>
      </c>
      <c r="E183" s="5"/>
      <c r="F183" s="5"/>
      <c r="G183" s="5"/>
      <c r="H183" s="5"/>
      <c r="I183" s="5">
        <f t="shared" si="499"/>
        <v>313875</v>
      </c>
      <c r="J183" s="82"/>
      <c r="K183" s="5"/>
      <c r="L183" s="5"/>
      <c r="M183" s="11">
        <f>((K17*0.34)*3.75*180)</f>
        <v>236844.00000000003</v>
      </c>
      <c r="N183" s="5"/>
      <c r="O183" s="5"/>
      <c r="P183" s="5"/>
      <c r="Q183" s="5"/>
      <c r="R183" s="5">
        <f t="shared" si="500"/>
        <v>236844.00000000003</v>
      </c>
      <c r="T183" s="5"/>
      <c r="U183" s="5"/>
      <c r="V183" s="11">
        <f>((T17*0.165)*3.75*180)</f>
        <v>138661.875</v>
      </c>
      <c r="W183" s="5"/>
      <c r="X183" s="5"/>
      <c r="Y183" s="5"/>
      <c r="Z183" s="5"/>
      <c r="AA183" s="5">
        <f t="shared" si="501"/>
        <v>138661.875</v>
      </c>
      <c r="AC183" s="5"/>
      <c r="AD183" s="5"/>
      <c r="AE183" s="5">
        <f>((AC17*0.44)*3.75*180)</f>
        <v>756161.99999999988</v>
      </c>
      <c r="AF183" s="5"/>
      <c r="AG183" s="5"/>
      <c r="AH183" s="5"/>
      <c r="AI183" s="5"/>
      <c r="AJ183" s="5">
        <f t="shared" si="502"/>
        <v>756161.99999999988</v>
      </c>
      <c r="AL183" s="5"/>
      <c r="AM183" s="5"/>
      <c r="AN183" s="11">
        <f>((AL17*0.3)*3.75*180)</f>
        <v>486405</v>
      </c>
      <c r="AO183" s="5"/>
      <c r="AP183" s="5"/>
      <c r="AQ183" s="5"/>
      <c r="AR183" s="5"/>
      <c r="AS183" s="5">
        <f t="shared" si="503"/>
        <v>486405</v>
      </c>
      <c r="AU183" s="5"/>
      <c r="AV183" s="5"/>
      <c r="AW183" s="5">
        <f>((AU17*0.03)*3.75*180)</f>
        <v>2835</v>
      </c>
      <c r="AX183" s="5"/>
      <c r="AY183" s="5"/>
      <c r="AZ183" s="5"/>
      <c r="BA183" s="5"/>
      <c r="BB183" s="5">
        <f t="shared" si="504"/>
        <v>2835</v>
      </c>
      <c r="BD183" s="5"/>
      <c r="BE183" s="5"/>
      <c r="BF183" s="11">
        <f>((BD17*0.97)*3.75*180)</f>
        <v>373862.24999999994</v>
      </c>
      <c r="BG183" s="5"/>
      <c r="BH183" s="5"/>
      <c r="BI183" s="5"/>
      <c r="BJ183" s="5"/>
      <c r="BK183" s="5">
        <f t="shared" si="505"/>
        <v>373862.24999999994</v>
      </c>
      <c r="BM183" s="5"/>
      <c r="BN183" s="5"/>
      <c r="BO183" s="5">
        <f>((BM17*0.25)*3.75*180)</f>
        <v>0</v>
      </c>
      <c r="BP183" s="5"/>
      <c r="BQ183" s="5"/>
      <c r="BR183" s="5"/>
      <c r="BS183" s="5"/>
      <c r="BT183" s="5">
        <f t="shared" si="506"/>
        <v>0</v>
      </c>
      <c r="BV183" s="5">
        <f t="shared" si="497"/>
        <v>0</v>
      </c>
      <c r="BW183" s="5">
        <f t="shared" si="497"/>
        <v>0</v>
      </c>
      <c r="BX183" s="5">
        <f t="shared" si="497"/>
        <v>2308645.125</v>
      </c>
      <c r="BY183" s="5">
        <f t="shared" si="497"/>
        <v>0</v>
      </c>
      <c r="BZ183" s="5">
        <f t="shared" si="497"/>
        <v>0</v>
      </c>
      <c r="CA183" s="5">
        <f t="shared" si="497"/>
        <v>0</v>
      </c>
      <c r="CB183" s="5"/>
      <c r="CC183" s="5">
        <f t="shared" si="507"/>
        <v>2308645.125</v>
      </c>
    </row>
    <row r="184" spans="1:81">
      <c r="A184" s="29" t="s">
        <v>164</v>
      </c>
      <c r="B184" s="5">
        <v>7500</v>
      </c>
      <c r="C184" s="5"/>
      <c r="D184" s="5"/>
      <c r="E184" s="5"/>
      <c r="F184" s="5"/>
      <c r="G184" s="5"/>
      <c r="H184" s="5"/>
      <c r="I184" s="5">
        <f t="shared" si="499"/>
        <v>7500</v>
      </c>
      <c r="K184" s="5">
        <v>7500</v>
      </c>
      <c r="L184" s="5"/>
      <c r="M184" s="5"/>
      <c r="N184" s="5"/>
      <c r="O184" s="5"/>
      <c r="P184" s="5"/>
      <c r="Q184" s="5"/>
      <c r="R184" s="5">
        <f t="shared" si="500"/>
        <v>7500</v>
      </c>
      <c r="T184" s="5">
        <v>7500</v>
      </c>
      <c r="U184" s="5"/>
      <c r="V184" s="5"/>
      <c r="W184" s="5"/>
      <c r="X184" s="5"/>
      <c r="Y184" s="5"/>
      <c r="Z184" s="5"/>
      <c r="AA184" s="5">
        <f t="shared" si="501"/>
        <v>7500</v>
      </c>
      <c r="AC184" s="5">
        <v>10000</v>
      </c>
      <c r="AD184" s="5"/>
      <c r="AE184" s="5"/>
      <c r="AF184" s="5"/>
      <c r="AG184" s="5"/>
      <c r="AH184" s="5"/>
      <c r="AI184" s="5"/>
      <c r="AJ184" s="5">
        <f t="shared" si="502"/>
        <v>10000</v>
      </c>
      <c r="AL184" s="5">
        <v>7500</v>
      </c>
      <c r="AM184" s="5"/>
      <c r="AN184" s="5"/>
      <c r="AO184" s="5"/>
      <c r="AP184" s="5"/>
      <c r="AQ184" s="5"/>
      <c r="AR184" s="5"/>
      <c r="AS184" s="5">
        <f t="shared" si="503"/>
        <v>7500</v>
      </c>
      <c r="AU184" s="5">
        <v>15000</v>
      </c>
      <c r="AV184" s="5"/>
      <c r="AW184" s="5"/>
      <c r="AX184" s="5"/>
      <c r="AY184" s="5"/>
      <c r="AZ184" s="5"/>
      <c r="BA184" s="5"/>
      <c r="BB184" s="5">
        <f t="shared" si="504"/>
        <v>15000</v>
      </c>
      <c r="BD184" s="5">
        <v>5000</v>
      </c>
      <c r="BE184" s="5"/>
      <c r="BF184" s="5">
        <v>0</v>
      </c>
      <c r="BG184" s="5"/>
      <c r="BH184" s="5"/>
      <c r="BI184" s="5"/>
      <c r="BJ184" s="5"/>
      <c r="BK184" s="5">
        <f t="shared" si="505"/>
        <v>5000</v>
      </c>
      <c r="BM184" s="5"/>
      <c r="BN184" s="5"/>
      <c r="BO184" s="5"/>
      <c r="BP184" s="5"/>
      <c r="BQ184" s="5"/>
      <c r="BR184" s="5"/>
      <c r="BS184" s="5"/>
      <c r="BT184" s="5">
        <f t="shared" si="506"/>
        <v>0</v>
      </c>
      <c r="BV184" s="5">
        <f t="shared" si="497"/>
        <v>60000</v>
      </c>
      <c r="BW184" s="5">
        <f t="shared" si="497"/>
        <v>0</v>
      </c>
      <c r="BX184" s="5">
        <f t="shared" si="497"/>
        <v>0</v>
      </c>
      <c r="BY184" s="5">
        <f t="shared" si="497"/>
        <v>0</v>
      </c>
      <c r="BZ184" s="5">
        <f t="shared" si="497"/>
        <v>0</v>
      </c>
      <c r="CA184" s="5">
        <f t="shared" si="497"/>
        <v>0</v>
      </c>
      <c r="CB184" s="5"/>
      <c r="CC184" s="5">
        <f t="shared" si="507"/>
        <v>60000</v>
      </c>
    </row>
    <row r="185" spans="1:81">
      <c r="A185" s="29" t="s">
        <v>165</v>
      </c>
      <c r="B185" s="5">
        <v>2000</v>
      </c>
      <c r="C185" s="5"/>
      <c r="D185" s="5"/>
      <c r="E185" s="5"/>
      <c r="F185" s="5"/>
      <c r="G185" s="5"/>
      <c r="H185" s="5"/>
      <c r="I185" s="5">
        <f t="shared" si="499"/>
        <v>2000</v>
      </c>
      <c r="K185" s="5">
        <v>2000</v>
      </c>
      <c r="L185" s="5"/>
      <c r="M185" s="5"/>
      <c r="N185" s="5"/>
      <c r="O185" s="5"/>
      <c r="P185" s="5"/>
      <c r="Q185" s="5"/>
      <c r="R185" s="5">
        <f t="shared" si="500"/>
        <v>2000</v>
      </c>
      <c r="T185" s="5">
        <v>2000</v>
      </c>
      <c r="U185" s="5"/>
      <c r="V185" s="5"/>
      <c r="W185" s="5"/>
      <c r="X185" s="5"/>
      <c r="Y185" s="5"/>
      <c r="Z185" s="5"/>
      <c r="AA185" s="5">
        <f t="shared" si="501"/>
        <v>2000</v>
      </c>
      <c r="AC185" s="5">
        <v>2000</v>
      </c>
      <c r="AD185" s="5"/>
      <c r="AE185" s="5"/>
      <c r="AF185" s="5"/>
      <c r="AG185" s="5"/>
      <c r="AH185" s="5"/>
      <c r="AI185" s="5"/>
      <c r="AJ185" s="5">
        <f t="shared" si="502"/>
        <v>2000</v>
      </c>
      <c r="AL185" s="5">
        <v>2500</v>
      </c>
      <c r="AM185" s="5"/>
      <c r="AN185" s="5"/>
      <c r="AO185" s="5"/>
      <c r="AP185" s="5"/>
      <c r="AQ185" s="5"/>
      <c r="AR185" s="5"/>
      <c r="AS185" s="5">
        <f t="shared" si="503"/>
        <v>2500</v>
      </c>
      <c r="AU185" s="5">
        <v>1200</v>
      </c>
      <c r="AV185" s="5"/>
      <c r="AW185" s="5"/>
      <c r="AX185" s="5"/>
      <c r="AY185" s="5"/>
      <c r="AZ185" s="5"/>
      <c r="BA185" s="5"/>
      <c r="BB185" s="5">
        <f t="shared" si="504"/>
        <v>1200</v>
      </c>
      <c r="BD185" s="5">
        <v>1000</v>
      </c>
      <c r="BE185" s="5"/>
      <c r="BF185" s="5"/>
      <c r="BG185" s="5"/>
      <c r="BH185" s="5"/>
      <c r="BI185" s="5"/>
      <c r="BJ185" s="5"/>
      <c r="BK185" s="5">
        <f t="shared" si="505"/>
        <v>1000</v>
      </c>
      <c r="BM185" s="5">
        <v>2500</v>
      </c>
      <c r="BN185" s="5"/>
      <c r="BO185" s="5"/>
      <c r="BP185" s="5"/>
      <c r="BQ185" s="5"/>
      <c r="BR185" s="5"/>
      <c r="BS185" s="5"/>
      <c r="BT185" s="5">
        <f t="shared" si="506"/>
        <v>2500</v>
      </c>
      <c r="BV185" s="5">
        <f t="shared" si="497"/>
        <v>15200</v>
      </c>
      <c r="BW185" s="5">
        <f t="shared" si="497"/>
        <v>0</v>
      </c>
      <c r="BX185" s="5">
        <f t="shared" si="497"/>
        <v>0</v>
      </c>
      <c r="BY185" s="5">
        <f t="shared" si="497"/>
        <v>0</v>
      </c>
      <c r="BZ185" s="5">
        <f t="shared" si="497"/>
        <v>0</v>
      </c>
      <c r="CA185" s="5">
        <f t="shared" si="497"/>
        <v>0</v>
      </c>
      <c r="CB185" s="5"/>
      <c r="CC185" s="5">
        <f t="shared" si="507"/>
        <v>15200</v>
      </c>
    </row>
    <row r="186" spans="1:81">
      <c r="A186" s="29" t="s">
        <v>166</v>
      </c>
      <c r="B186" s="5">
        <v>1250</v>
      </c>
      <c r="C186" s="5">
        <v>0</v>
      </c>
      <c r="D186" s="5">
        <v>0</v>
      </c>
      <c r="E186" s="5"/>
      <c r="F186" s="5">
        <v>0</v>
      </c>
      <c r="G186" s="5">
        <v>0</v>
      </c>
      <c r="H186" s="5">
        <v>0</v>
      </c>
      <c r="I186" s="5">
        <f t="shared" si="499"/>
        <v>1250</v>
      </c>
      <c r="K186" s="5">
        <v>1500</v>
      </c>
      <c r="L186" s="5">
        <v>0</v>
      </c>
      <c r="M186" s="5">
        <v>0</v>
      </c>
      <c r="N186" s="5"/>
      <c r="O186" s="5">
        <v>0</v>
      </c>
      <c r="P186" s="5">
        <v>0</v>
      </c>
      <c r="Q186" s="5">
        <v>0</v>
      </c>
      <c r="R186" s="5">
        <f t="shared" si="500"/>
        <v>1500</v>
      </c>
      <c r="T186" s="5">
        <v>1500</v>
      </c>
      <c r="U186" s="5"/>
      <c r="V186" s="5"/>
      <c r="W186" s="5"/>
      <c r="X186" s="5">
        <v>0</v>
      </c>
      <c r="Y186" s="5">
        <v>0</v>
      </c>
      <c r="Z186" s="5">
        <v>0</v>
      </c>
      <c r="AA186" s="5">
        <f t="shared" si="501"/>
        <v>1500</v>
      </c>
      <c r="AC186" s="5">
        <v>5000</v>
      </c>
      <c r="AD186" s="5">
        <v>0</v>
      </c>
      <c r="AE186" s="5">
        <v>0</v>
      </c>
      <c r="AF186" s="5"/>
      <c r="AG186" s="5">
        <v>0</v>
      </c>
      <c r="AH186" s="5">
        <v>0</v>
      </c>
      <c r="AI186" s="5">
        <v>0</v>
      </c>
      <c r="AJ186" s="5">
        <f t="shared" si="502"/>
        <v>5000</v>
      </c>
      <c r="AL186" s="5">
        <v>2500</v>
      </c>
      <c r="AM186" s="5">
        <v>0</v>
      </c>
      <c r="AN186" s="5">
        <v>0</v>
      </c>
      <c r="AO186" s="5"/>
      <c r="AP186" s="5">
        <v>0</v>
      </c>
      <c r="AQ186" s="5">
        <v>0</v>
      </c>
      <c r="AR186" s="5">
        <v>0</v>
      </c>
      <c r="AS186" s="5">
        <f t="shared" si="503"/>
        <v>2500</v>
      </c>
      <c r="AU186" s="5">
        <v>500</v>
      </c>
      <c r="AV186" s="5">
        <v>0</v>
      </c>
      <c r="AW186" s="5">
        <v>0</v>
      </c>
      <c r="AX186" s="5"/>
      <c r="AY186" s="5">
        <v>0</v>
      </c>
      <c r="AZ186" s="5">
        <v>0</v>
      </c>
      <c r="BA186" s="5">
        <v>0</v>
      </c>
      <c r="BB186" s="5">
        <f t="shared" si="504"/>
        <v>500</v>
      </c>
      <c r="BD186" s="5">
        <v>800</v>
      </c>
      <c r="BE186" s="5">
        <v>0</v>
      </c>
      <c r="BF186" s="5">
        <v>0</v>
      </c>
      <c r="BG186" s="5"/>
      <c r="BH186" s="5">
        <v>0</v>
      </c>
      <c r="BI186" s="5">
        <v>0</v>
      </c>
      <c r="BJ186" s="5">
        <v>0</v>
      </c>
      <c r="BK186" s="5">
        <f t="shared" si="505"/>
        <v>800</v>
      </c>
      <c r="BM186" s="5"/>
      <c r="BN186" s="5">
        <v>0</v>
      </c>
      <c r="BO186" s="5">
        <v>0</v>
      </c>
      <c r="BP186" s="5"/>
      <c r="BQ186" s="5">
        <v>0</v>
      </c>
      <c r="BR186" s="5">
        <v>0</v>
      </c>
      <c r="BS186" s="5">
        <v>0</v>
      </c>
      <c r="BT186" s="5">
        <f t="shared" si="506"/>
        <v>0</v>
      </c>
      <c r="BV186" s="5">
        <f t="shared" si="497"/>
        <v>13050</v>
      </c>
      <c r="BW186" s="5">
        <f t="shared" si="497"/>
        <v>0</v>
      </c>
      <c r="BX186" s="5">
        <f t="shared" si="497"/>
        <v>0</v>
      </c>
      <c r="BY186" s="5">
        <f t="shared" si="497"/>
        <v>0</v>
      </c>
      <c r="BZ186" s="5">
        <f t="shared" si="497"/>
        <v>0</v>
      </c>
      <c r="CA186" s="5">
        <f t="shared" si="497"/>
        <v>0</v>
      </c>
      <c r="CB186" s="5">
        <v>0</v>
      </c>
      <c r="CC186" s="5">
        <f t="shared" si="507"/>
        <v>13050</v>
      </c>
    </row>
    <row r="187" spans="1:81">
      <c r="A187" s="29" t="s">
        <v>167</v>
      </c>
      <c r="B187" s="11">
        <f>(5*B17)+2000+3000+2000+2500</f>
        <v>14150</v>
      </c>
      <c r="C187" s="5"/>
      <c r="D187" s="5"/>
      <c r="E187" s="5"/>
      <c r="F187" s="5"/>
      <c r="G187" s="5"/>
      <c r="H187" s="5"/>
      <c r="I187" s="5">
        <f t="shared" si="499"/>
        <v>14150</v>
      </c>
      <c r="K187" s="11">
        <f>(5*K17)+1200+2000+3000+2500</f>
        <v>13860</v>
      </c>
      <c r="L187" s="5"/>
      <c r="M187" s="5"/>
      <c r="N187" s="5"/>
      <c r="O187" s="5"/>
      <c r="P187" s="5"/>
      <c r="Q187" s="5"/>
      <c r="R187" s="5">
        <f t="shared" si="500"/>
        <v>13860</v>
      </c>
      <c r="T187" s="11">
        <f>(5*T17)+2000+3000+2000+1500</f>
        <v>14725</v>
      </c>
      <c r="U187" s="5"/>
      <c r="V187" s="5"/>
      <c r="W187" s="5"/>
      <c r="X187" s="5"/>
      <c r="Y187" s="5"/>
      <c r="Z187" s="5"/>
      <c r="AA187" s="5">
        <f t="shared" si="501"/>
        <v>14725</v>
      </c>
      <c r="AC187" s="11">
        <f>(5*AC17)+3000+5000+2000+2000+2500</f>
        <v>27230</v>
      </c>
      <c r="AD187" s="5"/>
      <c r="AE187" s="5"/>
      <c r="AF187" s="5"/>
      <c r="AG187" s="5"/>
      <c r="AH187" s="5"/>
      <c r="AI187" s="5"/>
      <c r="AJ187" s="5">
        <f t="shared" si="502"/>
        <v>27230</v>
      </c>
      <c r="AL187" s="11">
        <f>(5*AL17)+3000+3000+2000+1500</f>
        <v>21510</v>
      </c>
      <c r="AM187" s="5"/>
      <c r="AN187" s="5"/>
      <c r="AO187" s="5"/>
      <c r="AP187" s="5"/>
      <c r="AQ187" s="5"/>
      <c r="AR187" s="5"/>
      <c r="AS187" s="5">
        <f t="shared" si="503"/>
        <v>21510</v>
      </c>
      <c r="AU187" s="11">
        <f>(5*AU17)+1200</f>
        <v>1900</v>
      </c>
      <c r="AV187" s="5"/>
      <c r="AW187" s="5"/>
      <c r="AX187" s="5"/>
      <c r="AY187" s="5"/>
      <c r="AZ187" s="5"/>
      <c r="BA187" s="5"/>
      <c r="BB187" s="5">
        <f t="shared" si="504"/>
        <v>1900</v>
      </c>
      <c r="BD187" s="11">
        <f>(5*BD17)+1200+1500</f>
        <v>5555</v>
      </c>
      <c r="BE187" s="5"/>
      <c r="BF187" s="5"/>
      <c r="BG187" s="5"/>
      <c r="BH187" s="5"/>
      <c r="BI187" s="5"/>
      <c r="BJ187" s="5"/>
      <c r="BK187" s="5">
        <f t="shared" si="505"/>
        <v>5555</v>
      </c>
      <c r="BM187" s="11"/>
      <c r="BN187" s="5"/>
      <c r="BO187" s="5"/>
      <c r="BP187" s="5"/>
      <c r="BQ187" s="5"/>
      <c r="BR187" s="5"/>
      <c r="BS187" s="5"/>
      <c r="BT187" s="5">
        <f t="shared" si="506"/>
        <v>0</v>
      </c>
      <c r="BV187" s="5">
        <f t="shared" si="497"/>
        <v>98930</v>
      </c>
      <c r="BW187" s="5">
        <f t="shared" si="497"/>
        <v>0</v>
      </c>
      <c r="BX187" s="5">
        <f t="shared" si="497"/>
        <v>0</v>
      </c>
      <c r="BY187" s="5">
        <f t="shared" si="497"/>
        <v>0</v>
      </c>
      <c r="BZ187" s="5">
        <f t="shared" si="497"/>
        <v>0</v>
      </c>
      <c r="CA187" s="5">
        <f t="shared" si="497"/>
        <v>0</v>
      </c>
      <c r="CB187" s="5"/>
      <c r="CC187" s="5">
        <f t="shared" si="507"/>
        <v>98930</v>
      </c>
    </row>
    <row r="188" spans="1:81">
      <c r="A188" s="29" t="s">
        <v>168</v>
      </c>
      <c r="B188" s="11"/>
      <c r="C188" s="5"/>
      <c r="D188" s="5"/>
      <c r="E188" s="5"/>
      <c r="F188" s="5"/>
      <c r="G188" s="5"/>
      <c r="H188" s="5"/>
      <c r="I188" s="5">
        <f t="shared" si="499"/>
        <v>0</v>
      </c>
      <c r="K188" s="11"/>
      <c r="L188" s="5"/>
      <c r="M188" s="5"/>
      <c r="N188" s="5"/>
      <c r="O188" s="5"/>
      <c r="P188" s="5"/>
      <c r="Q188" s="5"/>
      <c r="R188" s="5">
        <f t="shared" si="500"/>
        <v>0</v>
      </c>
      <c r="T188" s="11"/>
      <c r="U188" s="5"/>
      <c r="V188" s="5"/>
      <c r="W188" s="5"/>
      <c r="X188" s="5"/>
      <c r="Y188" s="5"/>
      <c r="Z188" s="5"/>
      <c r="AA188" s="5">
        <f t="shared" si="501"/>
        <v>0</v>
      </c>
      <c r="AC188" s="11"/>
      <c r="AD188" s="5"/>
      <c r="AE188" s="5"/>
      <c r="AF188" s="5"/>
      <c r="AG188" s="5"/>
      <c r="AH188" s="5"/>
      <c r="AI188" s="5"/>
      <c r="AJ188" s="5">
        <f t="shared" si="502"/>
        <v>0</v>
      </c>
      <c r="AL188" s="11"/>
      <c r="AM188" s="5"/>
      <c r="AN188" s="5"/>
      <c r="AO188" s="5"/>
      <c r="AP188" s="5"/>
      <c r="AQ188" s="5"/>
      <c r="AR188" s="5"/>
      <c r="AS188" s="5">
        <f t="shared" si="503"/>
        <v>0</v>
      </c>
      <c r="AU188" s="11"/>
      <c r="AV188" s="5"/>
      <c r="AW188" s="5"/>
      <c r="AX188" s="5"/>
      <c r="AY188" s="5"/>
      <c r="AZ188" s="5"/>
      <c r="BA188" s="5"/>
      <c r="BB188" s="5">
        <f t="shared" si="504"/>
        <v>0</v>
      </c>
      <c r="BD188" s="11"/>
      <c r="BE188" s="5"/>
      <c r="BF188" s="5"/>
      <c r="BG188" s="5"/>
      <c r="BH188" s="5"/>
      <c r="BI188" s="5"/>
      <c r="BJ188" s="5"/>
      <c r="BK188" s="5">
        <f t="shared" si="505"/>
        <v>0</v>
      </c>
      <c r="BM188" s="11"/>
      <c r="BN188" s="5"/>
      <c r="BO188" s="5"/>
      <c r="BP188" s="5"/>
      <c r="BQ188" s="5"/>
      <c r="BR188" s="5"/>
      <c r="BS188" s="5"/>
      <c r="BT188" s="5">
        <f t="shared" si="506"/>
        <v>0</v>
      </c>
      <c r="BV188" s="5">
        <f t="shared" ref="BV188:CA196" si="508">B188+K188+T188+AC188+AL188+AU188+BD188+BM188</f>
        <v>0</v>
      </c>
      <c r="BW188" s="5">
        <f t="shared" si="508"/>
        <v>0</v>
      </c>
      <c r="BX188" s="5">
        <f t="shared" si="508"/>
        <v>0</v>
      </c>
      <c r="BY188" s="5">
        <f t="shared" si="508"/>
        <v>0</v>
      </c>
      <c r="BZ188" s="5">
        <f t="shared" si="508"/>
        <v>0</v>
      </c>
      <c r="CA188" s="5">
        <f t="shared" si="508"/>
        <v>0</v>
      </c>
      <c r="CB188" s="5"/>
      <c r="CC188" s="5">
        <f t="shared" si="507"/>
        <v>0</v>
      </c>
    </row>
    <row r="189" spans="1:81">
      <c r="A189" s="29" t="s">
        <v>169</v>
      </c>
      <c r="B189" s="5"/>
      <c r="C189" s="5"/>
      <c r="D189" s="5"/>
      <c r="E189" s="5"/>
      <c r="F189" s="5"/>
      <c r="G189" s="5"/>
      <c r="H189" s="5"/>
      <c r="I189" s="5">
        <f t="shared" si="499"/>
        <v>0</v>
      </c>
      <c r="K189" s="5"/>
      <c r="L189" s="5"/>
      <c r="M189" s="5"/>
      <c r="N189" s="5"/>
      <c r="O189" s="5"/>
      <c r="P189" s="5"/>
      <c r="Q189" s="5"/>
      <c r="R189" s="5">
        <f t="shared" si="500"/>
        <v>0</v>
      </c>
      <c r="T189" s="5"/>
      <c r="U189" s="5"/>
      <c r="V189" s="5"/>
      <c r="W189" s="5"/>
      <c r="X189" s="5"/>
      <c r="Y189" s="5"/>
      <c r="Z189" s="5"/>
      <c r="AA189" s="5">
        <f t="shared" si="501"/>
        <v>0</v>
      </c>
      <c r="AC189" s="5">
        <v>30000</v>
      </c>
      <c r="AD189" s="5"/>
      <c r="AE189" s="5"/>
      <c r="AF189" s="5"/>
      <c r="AG189" s="5"/>
      <c r="AH189" s="5"/>
      <c r="AI189" s="5"/>
      <c r="AJ189" s="5">
        <f t="shared" si="502"/>
        <v>30000</v>
      </c>
      <c r="AL189" s="5">
        <v>30000</v>
      </c>
      <c r="AM189" s="5"/>
      <c r="AN189" s="5"/>
      <c r="AO189" s="5"/>
      <c r="AP189" s="5"/>
      <c r="AQ189" s="5"/>
      <c r="AR189" s="5"/>
      <c r="AS189" s="5">
        <f t="shared" si="503"/>
        <v>30000</v>
      </c>
      <c r="AU189" s="5"/>
      <c r="AV189" s="5"/>
      <c r="AW189" s="5"/>
      <c r="AX189" s="5"/>
      <c r="AY189" s="5"/>
      <c r="AZ189" s="5"/>
      <c r="BA189" s="5"/>
      <c r="BB189" s="5">
        <f t="shared" si="504"/>
        <v>0</v>
      </c>
      <c r="BD189" s="5"/>
      <c r="BE189" s="5"/>
      <c r="BF189" s="5"/>
      <c r="BG189" s="5"/>
      <c r="BH189" s="5"/>
      <c r="BI189" s="5"/>
      <c r="BJ189" s="5"/>
      <c r="BK189" s="5">
        <f t="shared" si="505"/>
        <v>0</v>
      </c>
      <c r="BM189" s="5"/>
      <c r="BN189" s="5"/>
      <c r="BO189" s="5"/>
      <c r="BP189" s="5"/>
      <c r="BQ189" s="5"/>
      <c r="BR189" s="5"/>
      <c r="BS189" s="5"/>
      <c r="BT189" s="5">
        <f t="shared" si="506"/>
        <v>0</v>
      </c>
      <c r="BV189" s="5">
        <f t="shared" si="508"/>
        <v>60000</v>
      </c>
      <c r="BW189" s="5">
        <f t="shared" si="508"/>
        <v>0</v>
      </c>
      <c r="BX189" s="5">
        <f t="shared" si="508"/>
        <v>0</v>
      </c>
      <c r="BY189" s="5">
        <f t="shared" si="508"/>
        <v>0</v>
      </c>
      <c r="BZ189" s="5">
        <f t="shared" si="508"/>
        <v>0</v>
      </c>
      <c r="CA189" s="5">
        <f t="shared" si="508"/>
        <v>0</v>
      </c>
      <c r="CB189" s="5"/>
      <c r="CC189" s="5">
        <f t="shared" si="507"/>
        <v>60000</v>
      </c>
    </row>
    <row r="190" spans="1:81">
      <c r="A190" s="29" t="s">
        <v>170</v>
      </c>
      <c r="B190" s="11">
        <v>0</v>
      </c>
      <c r="C190" s="5"/>
      <c r="D190" s="5"/>
      <c r="E190" s="5"/>
      <c r="F190" s="5"/>
      <c r="G190" s="5"/>
      <c r="H190" s="5"/>
      <c r="I190" s="5">
        <f t="shared" si="499"/>
        <v>0</v>
      </c>
      <c r="K190" s="11">
        <v>0</v>
      </c>
      <c r="L190" s="5"/>
      <c r="M190" s="5"/>
      <c r="N190" s="5"/>
      <c r="O190" s="5"/>
      <c r="P190" s="5"/>
      <c r="Q190" s="5"/>
      <c r="R190" s="5">
        <f t="shared" si="500"/>
        <v>0</v>
      </c>
      <c r="T190" s="11">
        <v>0</v>
      </c>
      <c r="U190" s="5"/>
      <c r="V190" s="5"/>
      <c r="W190" s="5"/>
      <c r="X190" s="5"/>
      <c r="Y190" s="5"/>
      <c r="Z190" s="5"/>
      <c r="AA190" s="5">
        <f t="shared" si="501"/>
        <v>0</v>
      </c>
      <c r="AC190" s="11">
        <v>0</v>
      </c>
      <c r="AD190" s="5"/>
      <c r="AE190" s="5"/>
      <c r="AF190" s="5"/>
      <c r="AG190" s="5"/>
      <c r="AH190" s="5"/>
      <c r="AI190" s="5"/>
      <c r="AJ190" s="5">
        <f t="shared" si="502"/>
        <v>0</v>
      </c>
      <c r="AL190" s="11">
        <v>0</v>
      </c>
      <c r="AM190" s="5"/>
      <c r="AN190" s="5"/>
      <c r="AO190" s="5"/>
      <c r="AP190" s="5"/>
      <c r="AQ190" s="5"/>
      <c r="AR190" s="5"/>
      <c r="AS190" s="5">
        <f t="shared" si="503"/>
        <v>0</v>
      </c>
      <c r="AU190" s="11">
        <v>0</v>
      </c>
      <c r="AV190" s="5"/>
      <c r="AW190" s="5"/>
      <c r="AX190" s="5"/>
      <c r="AY190" s="5"/>
      <c r="AZ190" s="5"/>
      <c r="BA190" s="5"/>
      <c r="BB190" s="5">
        <f t="shared" si="504"/>
        <v>0</v>
      </c>
      <c r="BD190" s="11">
        <v>0</v>
      </c>
      <c r="BE190" s="5"/>
      <c r="BF190" s="5"/>
      <c r="BG190" s="5"/>
      <c r="BH190" s="5"/>
      <c r="BI190" s="5"/>
      <c r="BJ190" s="5"/>
      <c r="BK190" s="5">
        <f t="shared" si="505"/>
        <v>0</v>
      </c>
      <c r="BM190" s="11"/>
      <c r="BN190" s="5"/>
      <c r="BO190" s="5"/>
      <c r="BP190" s="5"/>
      <c r="BQ190" s="5"/>
      <c r="BR190" s="5"/>
      <c r="BS190" s="5"/>
      <c r="BT190" s="5">
        <f t="shared" si="506"/>
        <v>0</v>
      </c>
      <c r="BV190" s="5">
        <f t="shared" si="508"/>
        <v>0</v>
      </c>
      <c r="BW190" s="5">
        <f t="shared" si="508"/>
        <v>0</v>
      </c>
      <c r="BX190" s="5">
        <f t="shared" si="508"/>
        <v>0</v>
      </c>
      <c r="BY190" s="5">
        <f t="shared" si="508"/>
        <v>0</v>
      </c>
      <c r="BZ190" s="5">
        <f t="shared" si="508"/>
        <v>0</v>
      </c>
      <c r="CA190" s="5">
        <f t="shared" si="508"/>
        <v>0</v>
      </c>
      <c r="CB190" s="5"/>
      <c r="CC190" s="5">
        <f t="shared" si="507"/>
        <v>0</v>
      </c>
    </row>
    <row r="191" spans="1:81">
      <c r="A191" s="29" t="s">
        <v>171</v>
      </c>
      <c r="B191" s="11">
        <v>0</v>
      </c>
      <c r="C191" s="11"/>
      <c r="D191" s="11"/>
      <c r="E191" s="11"/>
      <c r="F191" s="11"/>
      <c r="G191" s="11"/>
      <c r="H191" s="11"/>
      <c r="I191" s="5">
        <f>SUM(B191:H191)</f>
        <v>0</v>
      </c>
      <c r="K191" s="11">
        <v>0</v>
      </c>
      <c r="L191" s="11"/>
      <c r="M191" s="11"/>
      <c r="N191" s="11"/>
      <c r="O191" s="11"/>
      <c r="P191" s="11"/>
      <c r="Q191" s="11"/>
      <c r="R191" s="5">
        <f>SUM(K191:Q191)</f>
        <v>0</v>
      </c>
      <c r="T191" s="11">
        <v>0</v>
      </c>
      <c r="U191" s="11"/>
      <c r="V191" s="11"/>
      <c r="W191" s="11"/>
      <c r="X191" s="11"/>
      <c r="Y191" s="11"/>
      <c r="Z191" s="11"/>
      <c r="AA191" s="5">
        <f>SUM(T191:Z191)</f>
        <v>0</v>
      </c>
      <c r="AC191" s="11">
        <v>0</v>
      </c>
      <c r="AD191" s="11"/>
      <c r="AE191" s="11"/>
      <c r="AF191" s="11"/>
      <c r="AG191" s="11"/>
      <c r="AH191" s="11"/>
      <c r="AI191" s="11"/>
      <c r="AJ191" s="5">
        <f>SUM(AC191:AI191)</f>
        <v>0</v>
      </c>
      <c r="AL191" s="11">
        <v>0</v>
      </c>
      <c r="AM191" s="11"/>
      <c r="AN191" s="11"/>
      <c r="AO191" s="11"/>
      <c r="AP191" s="11"/>
      <c r="AQ191" s="11"/>
      <c r="AR191" s="11"/>
      <c r="AS191" s="5">
        <f>SUM(AL191:AR191)</f>
        <v>0</v>
      </c>
      <c r="AU191" s="11"/>
      <c r="AV191" s="11"/>
      <c r="AW191" s="11"/>
      <c r="AX191" s="11"/>
      <c r="AY191" s="11"/>
      <c r="AZ191" s="11"/>
      <c r="BA191" s="11"/>
      <c r="BB191" s="5">
        <f>SUM(AU191:BA191)</f>
        <v>0</v>
      </c>
      <c r="BD191" s="11">
        <v>0</v>
      </c>
      <c r="BE191" s="11"/>
      <c r="BF191" s="11"/>
      <c r="BG191" s="11"/>
      <c r="BH191" s="11"/>
      <c r="BI191" s="11"/>
      <c r="BJ191" s="11"/>
      <c r="BK191" s="5">
        <f>SUM(BD191:BJ191)</f>
        <v>0</v>
      </c>
      <c r="BM191" s="11"/>
      <c r="BN191" s="11"/>
      <c r="BO191" s="11"/>
      <c r="BP191" s="11"/>
      <c r="BQ191" s="11"/>
      <c r="BR191" s="11"/>
      <c r="BS191" s="11"/>
      <c r="BT191" s="5">
        <f>SUM(BM191:BS191)</f>
        <v>0</v>
      </c>
      <c r="BV191" s="5">
        <f t="shared" si="508"/>
        <v>0</v>
      </c>
      <c r="BW191" s="5">
        <f t="shared" si="508"/>
        <v>0</v>
      </c>
      <c r="BX191" s="5">
        <f t="shared" si="508"/>
        <v>0</v>
      </c>
      <c r="BY191" s="5">
        <f t="shared" si="508"/>
        <v>0</v>
      </c>
      <c r="BZ191" s="5">
        <f t="shared" si="508"/>
        <v>0</v>
      </c>
      <c r="CA191" s="5">
        <f t="shared" si="508"/>
        <v>0</v>
      </c>
      <c r="CB191" s="11"/>
      <c r="CC191" s="5">
        <f>SUM(BV191:CB191)</f>
        <v>0</v>
      </c>
    </row>
    <row r="192" spans="1:81">
      <c r="A192" s="29" t="s">
        <v>172</v>
      </c>
      <c r="B192" s="11"/>
      <c r="C192" s="5"/>
      <c r="D192" s="5"/>
      <c r="E192" s="5"/>
      <c r="F192" s="5"/>
      <c r="G192" s="5"/>
      <c r="H192" s="5"/>
      <c r="I192" s="5">
        <f t="shared" ref="I192:I196" si="509">SUM(B192:H192)</f>
        <v>0</v>
      </c>
      <c r="K192" s="11"/>
      <c r="L192" s="5"/>
      <c r="M192" s="5"/>
      <c r="N192" s="5"/>
      <c r="O192" s="5"/>
      <c r="P192" s="5"/>
      <c r="Q192" s="5"/>
      <c r="R192" s="5">
        <f t="shared" ref="R192:R196" si="510">SUM(K192:Q192)</f>
        <v>0</v>
      </c>
      <c r="T192" s="11"/>
      <c r="U192" s="5"/>
      <c r="V192" s="5"/>
      <c r="W192" s="5"/>
      <c r="X192" s="5"/>
      <c r="Y192" s="5"/>
      <c r="Z192" s="5"/>
      <c r="AA192" s="5">
        <f t="shared" ref="AA192:AA196" si="511">SUM(T192:Z192)</f>
        <v>0</v>
      </c>
      <c r="AC192" s="11"/>
      <c r="AD192" s="5"/>
      <c r="AE192" s="5"/>
      <c r="AF192" s="5"/>
      <c r="AG192" s="5"/>
      <c r="AH192" s="5"/>
      <c r="AI192" s="5"/>
      <c r="AJ192" s="5">
        <f t="shared" ref="AJ192:AJ196" si="512">SUM(AC192:AI192)</f>
        <v>0</v>
      </c>
      <c r="AL192" s="11"/>
      <c r="AM192" s="5"/>
      <c r="AN192" s="5"/>
      <c r="AO192" s="5"/>
      <c r="AP192" s="5"/>
      <c r="AQ192" s="5"/>
      <c r="AR192" s="5"/>
      <c r="AS192" s="5">
        <f t="shared" ref="AS192:AS196" si="513">SUM(AL192:AR192)</f>
        <v>0</v>
      </c>
      <c r="AU192" s="11"/>
      <c r="AV192" s="5"/>
      <c r="AW192" s="5"/>
      <c r="AX192" s="5"/>
      <c r="AY192" s="5"/>
      <c r="AZ192" s="5"/>
      <c r="BA192" s="5"/>
      <c r="BB192" s="5">
        <f t="shared" ref="BB192:BB196" si="514">SUM(AU192:BA192)</f>
        <v>0</v>
      </c>
      <c r="BD192" s="11"/>
      <c r="BE192" s="5"/>
      <c r="BF192" s="5"/>
      <c r="BG192" s="5"/>
      <c r="BH192" s="5"/>
      <c r="BI192" s="5"/>
      <c r="BJ192" s="5"/>
      <c r="BK192" s="5">
        <f t="shared" ref="BK192:BK196" si="515">SUM(BD192:BJ192)</f>
        <v>0</v>
      </c>
      <c r="BM192" s="11"/>
      <c r="BN192" s="5"/>
      <c r="BO192" s="5"/>
      <c r="BP192" s="5"/>
      <c r="BQ192" s="5"/>
      <c r="BR192" s="5"/>
      <c r="BS192" s="5"/>
      <c r="BT192" s="5">
        <f t="shared" ref="BT192:BT196" si="516">SUM(BM192:BS192)</f>
        <v>0</v>
      </c>
      <c r="BV192" s="5">
        <f t="shared" si="508"/>
        <v>0</v>
      </c>
      <c r="BW192" s="5">
        <f t="shared" si="508"/>
        <v>0</v>
      </c>
      <c r="BX192" s="5">
        <f t="shared" si="508"/>
        <v>0</v>
      </c>
      <c r="BY192" s="5">
        <f t="shared" si="508"/>
        <v>0</v>
      </c>
      <c r="BZ192" s="5">
        <f t="shared" si="508"/>
        <v>0</v>
      </c>
      <c r="CA192" s="5">
        <f t="shared" si="508"/>
        <v>0</v>
      </c>
      <c r="CB192" s="5"/>
      <c r="CC192" s="5">
        <f t="shared" ref="CC192:CC196" si="517">SUM(BV192:CB192)</f>
        <v>0</v>
      </c>
    </row>
    <row r="193" spans="1:82">
      <c r="A193" s="29" t="s">
        <v>173</v>
      </c>
      <c r="B193" s="11">
        <v>0</v>
      </c>
      <c r="C193" s="5"/>
      <c r="D193" s="5"/>
      <c r="E193" s="5"/>
      <c r="F193" s="5"/>
      <c r="G193" s="5"/>
      <c r="H193" s="5"/>
      <c r="I193" s="5">
        <f t="shared" si="509"/>
        <v>0</v>
      </c>
      <c r="K193" s="11">
        <v>0</v>
      </c>
      <c r="L193" s="5"/>
      <c r="M193" s="5"/>
      <c r="N193" s="5"/>
      <c r="O193" s="5"/>
      <c r="P193" s="5"/>
      <c r="Q193" s="5"/>
      <c r="R193" s="5">
        <f t="shared" si="510"/>
        <v>0</v>
      </c>
      <c r="T193" s="11">
        <v>0</v>
      </c>
      <c r="U193" s="5"/>
      <c r="V193" s="5"/>
      <c r="W193" s="5"/>
      <c r="X193" s="5"/>
      <c r="Y193" s="5"/>
      <c r="Z193" s="5"/>
      <c r="AA193" s="5">
        <f t="shared" si="511"/>
        <v>0</v>
      </c>
      <c r="AC193" s="11">
        <v>0</v>
      </c>
      <c r="AD193" s="5"/>
      <c r="AE193" s="5"/>
      <c r="AF193" s="5"/>
      <c r="AG193" s="5"/>
      <c r="AH193" s="5"/>
      <c r="AI193" s="5"/>
      <c r="AJ193" s="5">
        <f t="shared" si="512"/>
        <v>0</v>
      </c>
      <c r="AL193" s="11">
        <v>0</v>
      </c>
      <c r="AM193" s="5"/>
      <c r="AN193" s="5"/>
      <c r="AO193" s="5"/>
      <c r="AP193" s="5"/>
      <c r="AQ193" s="5"/>
      <c r="AR193" s="5"/>
      <c r="AS193" s="5">
        <f t="shared" si="513"/>
        <v>0</v>
      </c>
      <c r="AU193" s="11">
        <v>0</v>
      </c>
      <c r="AV193" s="5"/>
      <c r="AW193" s="5"/>
      <c r="AX193" s="5"/>
      <c r="AY193" s="5"/>
      <c r="AZ193" s="5"/>
      <c r="BA193" s="5"/>
      <c r="BB193" s="5">
        <f t="shared" si="514"/>
        <v>0</v>
      </c>
      <c r="BD193" s="11">
        <v>0</v>
      </c>
      <c r="BE193" s="5"/>
      <c r="BF193" s="5"/>
      <c r="BG193" s="5"/>
      <c r="BH193" s="5"/>
      <c r="BI193" s="5"/>
      <c r="BJ193" s="5"/>
      <c r="BK193" s="5">
        <f t="shared" si="515"/>
        <v>0</v>
      </c>
      <c r="BM193" s="11"/>
      <c r="BN193" s="5"/>
      <c r="BO193" s="5"/>
      <c r="BP193" s="5"/>
      <c r="BQ193" s="5"/>
      <c r="BR193" s="5"/>
      <c r="BS193" s="5"/>
      <c r="BT193" s="5">
        <f t="shared" si="516"/>
        <v>0</v>
      </c>
      <c r="BV193" s="5">
        <f t="shared" si="508"/>
        <v>0</v>
      </c>
      <c r="BW193" s="5">
        <f t="shared" si="508"/>
        <v>0</v>
      </c>
      <c r="BX193" s="5">
        <f t="shared" si="508"/>
        <v>0</v>
      </c>
      <c r="BY193" s="5">
        <f t="shared" si="508"/>
        <v>0</v>
      </c>
      <c r="BZ193" s="5">
        <f t="shared" si="508"/>
        <v>0</v>
      </c>
      <c r="CA193" s="5">
        <f t="shared" si="508"/>
        <v>0</v>
      </c>
      <c r="CB193" s="5"/>
      <c r="CC193" s="5">
        <f t="shared" si="517"/>
        <v>0</v>
      </c>
    </row>
    <row r="194" spans="1:82">
      <c r="A194" s="29" t="s">
        <v>174</v>
      </c>
      <c r="B194" s="11"/>
      <c r="C194" s="5"/>
      <c r="D194" s="5"/>
      <c r="E194" s="5"/>
      <c r="F194" s="5"/>
      <c r="G194" s="5">
        <v>275000</v>
      </c>
      <c r="H194" s="5"/>
      <c r="I194" s="5">
        <f t="shared" si="509"/>
        <v>275000</v>
      </c>
      <c r="K194" s="11"/>
      <c r="L194" s="5"/>
      <c r="M194" s="5"/>
      <c r="N194" s="5"/>
      <c r="O194" s="5"/>
      <c r="P194" s="5">
        <v>800000</v>
      </c>
      <c r="Q194" s="5"/>
      <c r="R194" s="5">
        <f t="shared" si="510"/>
        <v>800000</v>
      </c>
      <c r="T194" s="11"/>
      <c r="U194" s="5"/>
      <c r="V194" s="5"/>
      <c r="W194" s="5"/>
      <c r="X194" s="5"/>
      <c r="Y194" s="5">
        <v>800000</v>
      </c>
      <c r="Z194" s="5"/>
      <c r="AA194" s="5">
        <f t="shared" si="511"/>
        <v>800000</v>
      </c>
      <c r="AC194" s="11"/>
      <c r="AD194" s="5"/>
      <c r="AE194" s="5"/>
      <c r="AF194" s="5"/>
      <c r="AG194" s="5"/>
      <c r="AH194" s="5">
        <v>1250000</v>
      </c>
      <c r="AI194" s="5"/>
      <c r="AJ194" s="5">
        <f t="shared" si="512"/>
        <v>1250000</v>
      </c>
      <c r="AL194" s="11"/>
      <c r="AM194" s="5"/>
      <c r="AN194" s="5"/>
      <c r="AO194" s="5"/>
      <c r="AP194" s="5"/>
      <c r="AQ194" s="5">
        <v>2000000</v>
      </c>
      <c r="AR194" s="5"/>
      <c r="AS194" s="5">
        <f t="shared" si="513"/>
        <v>2000000</v>
      </c>
      <c r="AU194" s="11"/>
      <c r="AV194" s="5"/>
      <c r="AW194" s="5"/>
      <c r="AX194" s="5"/>
      <c r="AY194" s="5"/>
      <c r="AZ194" s="5"/>
      <c r="BA194" s="5"/>
      <c r="BB194" s="5"/>
      <c r="BD194" s="11"/>
      <c r="BE194" s="5"/>
      <c r="BF194" s="5"/>
      <c r="BG194" s="5"/>
      <c r="BH194" s="5"/>
      <c r="BI194" s="5">
        <v>50000</v>
      </c>
      <c r="BJ194" s="5"/>
      <c r="BK194" s="5">
        <f t="shared" si="515"/>
        <v>50000</v>
      </c>
      <c r="BM194" s="11"/>
      <c r="BN194" s="5"/>
      <c r="BO194" s="5"/>
      <c r="BP194" s="5"/>
      <c r="BQ194" s="5"/>
      <c r="BR194" s="5"/>
      <c r="BS194" s="5"/>
      <c r="BT194" s="5"/>
      <c r="BV194" s="5">
        <f t="shared" si="508"/>
        <v>0</v>
      </c>
      <c r="BW194" s="5">
        <f t="shared" si="508"/>
        <v>0</v>
      </c>
      <c r="BX194" s="5">
        <f t="shared" si="508"/>
        <v>0</v>
      </c>
      <c r="BY194" s="5">
        <f t="shared" si="508"/>
        <v>0</v>
      </c>
      <c r="BZ194" s="5">
        <f t="shared" si="508"/>
        <v>0</v>
      </c>
      <c r="CA194" s="5">
        <f t="shared" si="508"/>
        <v>5175000</v>
      </c>
      <c r="CB194" s="5"/>
      <c r="CC194" s="5">
        <f t="shared" si="517"/>
        <v>5175000</v>
      </c>
    </row>
    <row r="195" spans="1:82">
      <c r="A195" s="29" t="s">
        <v>175</v>
      </c>
      <c r="B195" s="11">
        <v>12000</v>
      </c>
      <c r="C195" s="5"/>
      <c r="D195" s="5"/>
      <c r="E195" s="5"/>
      <c r="F195" s="5"/>
      <c r="G195" s="5"/>
      <c r="H195" s="5"/>
      <c r="I195" s="5">
        <f t="shared" si="509"/>
        <v>12000</v>
      </c>
      <c r="K195" s="11">
        <v>15000</v>
      </c>
      <c r="L195" s="5"/>
      <c r="M195" s="5"/>
      <c r="N195" s="5"/>
      <c r="O195" s="5"/>
      <c r="P195" s="5"/>
      <c r="Q195" s="5"/>
      <c r="R195" s="5">
        <f t="shared" si="510"/>
        <v>15000</v>
      </c>
      <c r="T195" s="11">
        <v>12500</v>
      </c>
      <c r="U195" s="5"/>
      <c r="V195" s="5"/>
      <c r="W195" s="5"/>
      <c r="X195" s="5"/>
      <c r="Y195" s="5"/>
      <c r="Z195" s="5"/>
      <c r="AA195" s="5">
        <f t="shared" si="511"/>
        <v>12500</v>
      </c>
      <c r="AC195" s="11">
        <v>20000</v>
      </c>
      <c r="AD195" s="5"/>
      <c r="AE195" s="5"/>
      <c r="AF195" s="5"/>
      <c r="AG195" s="5"/>
      <c r="AH195" s="5"/>
      <c r="AI195" s="5"/>
      <c r="AJ195" s="5">
        <f t="shared" si="512"/>
        <v>20000</v>
      </c>
      <c r="AL195" s="11">
        <v>12000</v>
      </c>
      <c r="AM195" s="5"/>
      <c r="AN195" s="5"/>
      <c r="AO195" s="5"/>
      <c r="AP195" s="5"/>
      <c r="AQ195" s="5"/>
      <c r="AR195" s="5"/>
      <c r="AS195" s="5">
        <f t="shared" si="513"/>
        <v>12000</v>
      </c>
      <c r="AU195" s="11">
        <v>2000</v>
      </c>
      <c r="AV195" s="5"/>
      <c r="AW195" s="5"/>
      <c r="AX195" s="5"/>
      <c r="AY195" s="5"/>
      <c r="AZ195" s="5"/>
      <c r="BA195" s="5"/>
      <c r="BB195" s="5">
        <f t="shared" si="514"/>
        <v>2000</v>
      </c>
      <c r="BD195" s="11">
        <v>3000</v>
      </c>
      <c r="BE195" s="5"/>
      <c r="BF195" s="5"/>
      <c r="BG195" s="5"/>
      <c r="BH195" s="5"/>
      <c r="BI195" s="5"/>
      <c r="BJ195" s="5"/>
      <c r="BK195" s="5">
        <f t="shared" si="515"/>
        <v>3000</v>
      </c>
      <c r="BM195" s="11"/>
      <c r="BN195" s="5"/>
      <c r="BO195" s="5"/>
      <c r="BP195" s="5"/>
      <c r="BQ195" s="5"/>
      <c r="BR195" s="5"/>
      <c r="BS195" s="5"/>
      <c r="BT195" s="5">
        <f t="shared" si="516"/>
        <v>0</v>
      </c>
      <c r="BV195" s="5">
        <f t="shared" si="508"/>
        <v>76500</v>
      </c>
      <c r="BW195" s="5">
        <f t="shared" si="508"/>
        <v>0</v>
      </c>
      <c r="BX195" s="5">
        <f t="shared" si="508"/>
        <v>0</v>
      </c>
      <c r="BY195" s="5">
        <f t="shared" si="508"/>
        <v>0</v>
      </c>
      <c r="BZ195" s="5">
        <f t="shared" si="508"/>
        <v>0</v>
      </c>
      <c r="CA195" s="5">
        <f t="shared" si="508"/>
        <v>0</v>
      </c>
      <c r="CB195" s="5"/>
      <c r="CC195" s="5">
        <f t="shared" si="517"/>
        <v>76500</v>
      </c>
    </row>
    <row r="196" spans="1:82">
      <c r="A196" s="78" t="s">
        <v>176</v>
      </c>
      <c r="B196" s="5">
        <f>B74*0.02</f>
        <v>185962.80000000002</v>
      </c>
      <c r="C196" s="5"/>
      <c r="D196" s="5"/>
      <c r="E196" s="5"/>
      <c r="F196" s="5"/>
      <c r="G196" s="5"/>
      <c r="H196" s="5"/>
      <c r="I196" s="5">
        <f t="shared" si="509"/>
        <v>185962.80000000002</v>
      </c>
      <c r="J196" s="63">
        <f>I196/I74</f>
        <v>0.02</v>
      </c>
      <c r="K196" s="5">
        <f>K74*0.05</f>
        <v>515896.80000000005</v>
      </c>
      <c r="L196" s="5"/>
      <c r="M196" s="5"/>
      <c r="N196" s="5"/>
      <c r="O196" s="5"/>
      <c r="P196" s="5"/>
      <c r="Q196" s="5"/>
      <c r="R196" s="5">
        <f t="shared" si="510"/>
        <v>515896.80000000005</v>
      </c>
      <c r="S196" s="63">
        <f>R196/R74</f>
        <v>0.05</v>
      </c>
      <c r="T196" s="5">
        <f>T74*0.05</f>
        <v>622375.5</v>
      </c>
      <c r="U196" s="5"/>
      <c r="V196" s="5"/>
      <c r="W196" s="5"/>
      <c r="X196" s="5"/>
      <c r="Y196" s="5"/>
      <c r="Z196" s="5"/>
      <c r="AA196" s="5">
        <f t="shared" si="511"/>
        <v>622375.5</v>
      </c>
      <c r="AB196" s="63">
        <f>AA196/AA74</f>
        <v>0.05</v>
      </c>
      <c r="AC196" s="5">
        <f>AC74*0.05</f>
        <v>1272745.4000000001</v>
      </c>
      <c r="AD196" s="5"/>
      <c r="AE196" s="5"/>
      <c r="AF196" s="5"/>
      <c r="AG196" s="5"/>
      <c r="AH196" s="5"/>
      <c r="AI196" s="5"/>
      <c r="AJ196" s="5">
        <f t="shared" si="512"/>
        <v>1272745.4000000001</v>
      </c>
      <c r="AK196" s="63">
        <f>AJ196/AJ74</f>
        <v>0.05</v>
      </c>
      <c r="AL196" s="5">
        <f>AL74*0.0125</f>
        <v>300189.95</v>
      </c>
      <c r="AM196" s="5"/>
      <c r="AN196" s="5"/>
      <c r="AO196" s="5"/>
      <c r="AP196" s="5"/>
      <c r="AQ196" s="5"/>
      <c r="AR196" s="5"/>
      <c r="AS196" s="5">
        <f t="shared" si="513"/>
        <v>300189.95</v>
      </c>
      <c r="AT196" s="63">
        <f>AS196/AS74</f>
        <v>1.2500000000000001E-2</v>
      </c>
      <c r="AU196" s="5">
        <f>AU74*0.1</f>
        <v>139972</v>
      </c>
      <c r="AV196" s="5"/>
      <c r="AW196" s="5"/>
      <c r="AX196" s="5"/>
      <c r="AY196" s="5"/>
      <c r="AZ196" s="5"/>
      <c r="BA196" s="5"/>
      <c r="BB196" s="5">
        <f t="shared" si="514"/>
        <v>139972</v>
      </c>
      <c r="BC196" s="63">
        <f>BB196/BB74</f>
        <v>0.1</v>
      </c>
      <c r="BD196" s="5">
        <f>BD74*0.05</f>
        <v>285442.90000000002</v>
      </c>
      <c r="BE196" s="5"/>
      <c r="BF196" s="5"/>
      <c r="BG196" s="5"/>
      <c r="BH196" s="5"/>
      <c r="BI196" s="5"/>
      <c r="BJ196" s="5"/>
      <c r="BK196" s="5">
        <f t="shared" si="515"/>
        <v>285442.90000000002</v>
      </c>
      <c r="BL196" s="63">
        <f>BK196/BK74</f>
        <v>0.05</v>
      </c>
      <c r="BM196" s="5"/>
      <c r="BN196" s="5"/>
      <c r="BO196" s="5"/>
      <c r="BP196" s="5"/>
      <c r="BQ196" s="5"/>
      <c r="BR196" s="5"/>
      <c r="BS196" s="5"/>
      <c r="BT196" s="5">
        <f t="shared" si="516"/>
        <v>0</v>
      </c>
      <c r="BU196" s="63" t="e">
        <f>BT196/BT74</f>
        <v>#DIV/0!</v>
      </c>
      <c r="BV196" s="5">
        <f t="shared" si="508"/>
        <v>3322585.35</v>
      </c>
      <c r="BW196" s="5">
        <f t="shared" si="508"/>
        <v>0</v>
      </c>
      <c r="BX196" s="5">
        <f t="shared" si="508"/>
        <v>0</v>
      </c>
      <c r="BY196" s="5">
        <f t="shared" si="508"/>
        <v>0</v>
      </c>
      <c r="BZ196" s="5">
        <f t="shared" si="508"/>
        <v>0</v>
      </c>
      <c r="CA196" s="5">
        <f t="shared" si="508"/>
        <v>0</v>
      </c>
      <c r="CB196" s="5"/>
      <c r="CC196" s="5">
        <f t="shared" si="517"/>
        <v>3322585.35</v>
      </c>
      <c r="CD196" s="63">
        <f>CC196/CC74</f>
        <v>3.7483081434694338E-2</v>
      </c>
    </row>
    <row r="197" spans="1:82" ht="15">
      <c r="A197" s="70" t="s">
        <v>177</v>
      </c>
      <c r="B197" s="71">
        <f>SUM(B172:B196)</f>
        <v>383555.73185937502</v>
      </c>
      <c r="C197" s="71">
        <f t="shared" ref="C197:I197" si="518">SUM(C172:C196)</f>
        <v>0</v>
      </c>
      <c r="D197" s="71">
        <f t="shared" si="518"/>
        <v>313875</v>
      </c>
      <c r="E197" s="71">
        <f t="shared" si="518"/>
        <v>0</v>
      </c>
      <c r="F197" s="71">
        <f t="shared" si="518"/>
        <v>0</v>
      </c>
      <c r="G197" s="71">
        <f t="shared" si="518"/>
        <v>275000</v>
      </c>
      <c r="H197" s="71">
        <f t="shared" si="518"/>
        <v>0</v>
      </c>
      <c r="I197" s="71">
        <f t="shared" si="518"/>
        <v>972430.73185937502</v>
      </c>
      <c r="J197" s="7"/>
      <c r="K197" s="71">
        <f>SUM(K172:K196)</f>
        <v>731626.42787500005</v>
      </c>
      <c r="L197" s="71">
        <f t="shared" ref="L197:R197" si="519">SUM(L172:L196)</f>
        <v>0</v>
      </c>
      <c r="M197" s="71">
        <f t="shared" si="519"/>
        <v>236844.00000000003</v>
      </c>
      <c r="N197" s="71">
        <f t="shared" si="519"/>
        <v>0</v>
      </c>
      <c r="O197" s="71">
        <f t="shared" si="519"/>
        <v>0</v>
      </c>
      <c r="P197" s="71">
        <f t="shared" si="519"/>
        <v>800000</v>
      </c>
      <c r="Q197" s="71">
        <f t="shared" si="519"/>
        <v>0</v>
      </c>
      <c r="R197" s="71">
        <f t="shared" si="519"/>
        <v>1768470.4278750001</v>
      </c>
      <c r="T197" s="71">
        <f t="shared" ref="T197:AA197" si="520">SUM(T172:T196)</f>
        <v>871519.25059375004</v>
      </c>
      <c r="U197" s="71">
        <f t="shared" si="520"/>
        <v>0</v>
      </c>
      <c r="V197" s="71">
        <f t="shared" si="520"/>
        <v>138661.875</v>
      </c>
      <c r="W197" s="71">
        <f t="shared" si="520"/>
        <v>0</v>
      </c>
      <c r="X197" s="71">
        <f t="shared" si="520"/>
        <v>0</v>
      </c>
      <c r="Y197" s="71">
        <f t="shared" si="520"/>
        <v>800000</v>
      </c>
      <c r="Z197" s="71">
        <f t="shared" si="520"/>
        <v>0</v>
      </c>
      <c r="AA197" s="71">
        <f t="shared" si="520"/>
        <v>1810181.12559375</v>
      </c>
      <c r="AC197" s="71">
        <f>SUM(AC172:AC196)</f>
        <v>1705931.96509375</v>
      </c>
      <c r="AD197" s="71">
        <f t="shared" ref="AD197:AJ197" si="521">SUM(AD172:AD196)</f>
        <v>0</v>
      </c>
      <c r="AE197" s="71">
        <f t="shared" si="521"/>
        <v>756161.99999999988</v>
      </c>
      <c r="AF197" s="71">
        <f t="shared" si="521"/>
        <v>0</v>
      </c>
      <c r="AG197" s="71">
        <f t="shared" si="521"/>
        <v>0</v>
      </c>
      <c r="AH197" s="71">
        <f t="shared" si="521"/>
        <v>1250000</v>
      </c>
      <c r="AI197" s="71">
        <f t="shared" si="521"/>
        <v>0</v>
      </c>
      <c r="AJ197" s="71">
        <f t="shared" si="521"/>
        <v>3712093.9650937505</v>
      </c>
      <c r="AL197" s="71">
        <f>SUM(AL172:AL196)</f>
        <v>688412.91393749998</v>
      </c>
      <c r="AM197" s="71">
        <f t="shared" ref="AM197:AS197" si="522">SUM(AM172:AM196)</f>
        <v>0</v>
      </c>
      <c r="AN197" s="71">
        <f t="shared" si="522"/>
        <v>486405</v>
      </c>
      <c r="AO197" s="71">
        <f t="shared" si="522"/>
        <v>0</v>
      </c>
      <c r="AP197" s="71">
        <f t="shared" si="522"/>
        <v>0</v>
      </c>
      <c r="AQ197" s="71">
        <f t="shared" si="522"/>
        <v>2000000</v>
      </c>
      <c r="AR197" s="71">
        <f t="shared" si="522"/>
        <v>0</v>
      </c>
      <c r="AS197" s="71">
        <f t="shared" si="522"/>
        <v>3174817.9139375002</v>
      </c>
      <c r="AU197" s="71">
        <f>SUM(AU172:AU196)</f>
        <v>180212.34687499999</v>
      </c>
      <c r="AV197" s="71">
        <f t="shared" ref="AV197:BB197" si="523">SUM(AV172:AV196)</f>
        <v>0</v>
      </c>
      <c r="AW197" s="71">
        <f t="shared" si="523"/>
        <v>2835</v>
      </c>
      <c r="AX197" s="71">
        <f t="shared" si="523"/>
        <v>0</v>
      </c>
      <c r="AY197" s="71">
        <f t="shared" si="523"/>
        <v>0</v>
      </c>
      <c r="AZ197" s="71">
        <f t="shared" si="523"/>
        <v>0</v>
      </c>
      <c r="BA197" s="71">
        <f t="shared" si="523"/>
        <v>0</v>
      </c>
      <c r="BB197" s="71">
        <f t="shared" si="523"/>
        <v>183047.34687499999</v>
      </c>
      <c r="BD197" s="71">
        <f>SUM(BD172:BD196)</f>
        <v>347403.69450000004</v>
      </c>
      <c r="BE197" s="71">
        <f t="shared" ref="BE197:BK197" si="524">SUM(BE172:BE196)</f>
        <v>0</v>
      </c>
      <c r="BF197" s="71">
        <f t="shared" si="524"/>
        <v>593708.66999999993</v>
      </c>
      <c r="BG197" s="71">
        <f t="shared" si="524"/>
        <v>0</v>
      </c>
      <c r="BH197" s="71">
        <f t="shared" si="524"/>
        <v>0</v>
      </c>
      <c r="BI197" s="71">
        <f t="shared" si="524"/>
        <v>50000</v>
      </c>
      <c r="BJ197" s="71">
        <f t="shared" si="524"/>
        <v>0</v>
      </c>
      <c r="BK197" s="71">
        <f t="shared" si="524"/>
        <v>991112.36450000003</v>
      </c>
      <c r="BM197" s="71">
        <f>SUM(BM172:BM196)</f>
        <v>2500</v>
      </c>
      <c r="BN197" s="71">
        <f t="shared" ref="BN197:BT197" si="525">SUM(BN172:BN196)</f>
        <v>0</v>
      </c>
      <c r="BO197" s="71">
        <f t="shared" si="525"/>
        <v>0</v>
      </c>
      <c r="BP197" s="71">
        <f t="shared" si="525"/>
        <v>0</v>
      </c>
      <c r="BQ197" s="71">
        <f t="shared" si="525"/>
        <v>0</v>
      </c>
      <c r="BR197" s="71">
        <f t="shared" si="525"/>
        <v>0</v>
      </c>
      <c r="BS197" s="71">
        <f t="shared" si="525"/>
        <v>0</v>
      </c>
      <c r="BT197" s="71">
        <f t="shared" si="525"/>
        <v>2500</v>
      </c>
      <c r="BV197" s="71">
        <f>SUM(BV172:BV196)</f>
        <v>4911162.3307343749</v>
      </c>
      <c r="BW197" s="71">
        <f t="shared" ref="BW197:CB197" si="526">SUM(BW172:BW196)</f>
        <v>0</v>
      </c>
      <c r="BX197" s="71">
        <f t="shared" si="526"/>
        <v>2528491.5449999999</v>
      </c>
      <c r="BY197" s="71">
        <f t="shared" si="526"/>
        <v>0</v>
      </c>
      <c r="BZ197" s="71">
        <f t="shared" si="526"/>
        <v>0</v>
      </c>
      <c r="CA197" s="71">
        <f t="shared" si="526"/>
        <v>5175000</v>
      </c>
      <c r="CB197" s="71">
        <f t="shared" si="526"/>
        <v>0</v>
      </c>
      <c r="CC197" s="71">
        <f>SUM(CC172:CC196)</f>
        <v>12614653.875734376</v>
      </c>
    </row>
    <row r="198" spans="1:82" ht="15">
      <c r="A198" s="75" t="s">
        <v>178</v>
      </c>
      <c r="B198" s="18" t="str">
        <f t="shared" ref="B198:I198" si="527">B1</f>
        <v>Operating</v>
      </c>
      <c r="C198" s="18" t="str">
        <f t="shared" si="527"/>
        <v>SPED</v>
      </c>
      <c r="D198" s="18" t="str">
        <f t="shared" si="527"/>
        <v>NSLP</v>
      </c>
      <c r="E198" s="18" t="str">
        <f t="shared" si="527"/>
        <v>Other</v>
      </c>
      <c r="F198" s="18" t="str">
        <f t="shared" si="527"/>
        <v>Title I</v>
      </c>
      <c r="G198" s="18" t="str">
        <f t="shared" si="527"/>
        <v>SGF</v>
      </c>
      <c r="H198" s="18" t="str">
        <f t="shared" si="527"/>
        <v>Title III</v>
      </c>
      <c r="I198" s="18" t="str">
        <f t="shared" si="527"/>
        <v>Horizon</v>
      </c>
      <c r="J198" s="7"/>
      <c r="K198" s="18" t="str">
        <f t="shared" ref="K198:R198" si="528">K1</f>
        <v>Operating</v>
      </c>
      <c r="L198" s="18" t="str">
        <f t="shared" si="528"/>
        <v>SPED</v>
      </c>
      <c r="M198" s="18" t="str">
        <f t="shared" si="528"/>
        <v>NSLP</v>
      </c>
      <c r="N198" s="18" t="str">
        <f t="shared" si="528"/>
        <v>Other</v>
      </c>
      <c r="O198" s="18" t="str">
        <f t="shared" si="528"/>
        <v>Title I</v>
      </c>
      <c r="P198" s="18" t="str">
        <f t="shared" si="528"/>
        <v>SGF</v>
      </c>
      <c r="Q198" s="18" t="str">
        <f t="shared" si="528"/>
        <v>Title III</v>
      </c>
      <c r="R198" s="18" t="str">
        <f t="shared" si="528"/>
        <v>St. Rose</v>
      </c>
      <c r="T198" s="18" t="str">
        <f t="shared" ref="T198:AA198" si="529">T1</f>
        <v>Operating</v>
      </c>
      <c r="U198" s="18" t="str">
        <f t="shared" si="529"/>
        <v>SPED</v>
      </c>
      <c r="V198" s="18" t="str">
        <f t="shared" si="529"/>
        <v>NSLP</v>
      </c>
      <c r="W198" s="18" t="str">
        <f t="shared" si="529"/>
        <v>Other</v>
      </c>
      <c r="X198" s="18" t="str">
        <f t="shared" si="529"/>
        <v>Title I</v>
      </c>
      <c r="Y198" s="18" t="str">
        <f t="shared" si="529"/>
        <v>SGF</v>
      </c>
      <c r="Z198" s="18" t="str">
        <f t="shared" si="529"/>
        <v>Title III</v>
      </c>
      <c r="AA198" s="18" t="str">
        <f t="shared" si="529"/>
        <v>Inspirada</v>
      </c>
      <c r="AC198" s="18" t="str">
        <f t="shared" ref="AC198:AJ198" si="530">AC1</f>
        <v>Operating</v>
      </c>
      <c r="AD198" s="18" t="str">
        <f t="shared" si="530"/>
        <v>SPED</v>
      </c>
      <c r="AE198" s="18" t="str">
        <f t="shared" si="530"/>
        <v>NSLP</v>
      </c>
      <c r="AF198" s="18" t="str">
        <f t="shared" si="530"/>
        <v>Other</v>
      </c>
      <c r="AG198" s="18" t="str">
        <f t="shared" si="530"/>
        <v>Title I</v>
      </c>
      <c r="AH198" s="18" t="str">
        <f t="shared" si="530"/>
        <v>SGF</v>
      </c>
      <c r="AI198" s="18" t="str">
        <f t="shared" si="530"/>
        <v>Title III</v>
      </c>
      <c r="AJ198" s="18" t="str">
        <f t="shared" si="530"/>
        <v>Cadence</v>
      </c>
      <c r="AL198" s="18" t="str">
        <f t="shared" ref="AL198:AS198" si="531">AL1</f>
        <v>Operating</v>
      </c>
      <c r="AM198" s="18" t="str">
        <f t="shared" si="531"/>
        <v>SPED</v>
      </c>
      <c r="AN198" s="18" t="str">
        <f t="shared" si="531"/>
        <v>NSLP</v>
      </c>
      <c r="AO198" s="18" t="str">
        <f t="shared" si="531"/>
        <v>Other</v>
      </c>
      <c r="AP198" s="18" t="str">
        <f t="shared" si="531"/>
        <v>Title I</v>
      </c>
      <c r="AQ198" s="18" t="str">
        <f t="shared" si="531"/>
        <v>SGF</v>
      </c>
      <c r="AR198" s="18" t="str">
        <f t="shared" si="531"/>
        <v>Title III</v>
      </c>
      <c r="AS198" s="18" t="str">
        <f t="shared" si="531"/>
        <v>Sloan</v>
      </c>
      <c r="AU198" s="18" t="str">
        <f t="shared" ref="AU198:BB198" si="532">AU1</f>
        <v>Operating</v>
      </c>
      <c r="AV198" s="18" t="str">
        <f t="shared" si="532"/>
        <v>SPED</v>
      </c>
      <c r="AW198" s="18" t="str">
        <f t="shared" si="532"/>
        <v>NSLP</v>
      </c>
      <c r="AX198" s="18" t="str">
        <f t="shared" si="532"/>
        <v>Other</v>
      </c>
      <c r="AY198" s="18" t="str">
        <f t="shared" si="532"/>
        <v>Title I</v>
      </c>
      <c r="AZ198" s="18" t="str">
        <f t="shared" si="532"/>
        <v>SGF</v>
      </c>
      <c r="BA198" s="18" t="str">
        <f t="shared" si="532"/>
        <v>Title III</v>
      </c>
      <c r="BB198" s="18" t="str">
        <f t="shared" si="532"/>
        <v>Virtual</v>
      </c>
      <c r="BD198" s="18" t="str">
        <f t="shared" ref="BD198:BK198" si="533">BD1</f>
        <v>Operating</v>
      </c>
      <c r="BE198" s="18" t="str">
        <f t="shared" si="533"/>
        <v>SPED</v>
      </c>
      <c r="BF198" s="18" t="str">
        <f t="shared" si="533"/>
        <v>NSLP</v>
      </c>
      <c r="BG198" s="18" t="str">
        <f t="shared" si="533"/>
        <v>Other</v>
      </c>
      <c r="BH198" s="18" t="str">
        <f t="shared" si="533"/>
        <v>Title I</v>
      </c>
      <c r="BI198" s="18" t="str">
        <f t="shared" si="533"/>
        <v>SGF</v>
      </c>
      <c r="BJ198" s="18" t="str">
        <f t="shared" si="533"/>
        <v>Title III</v>
      </c>
      <c r="BK198" s="18" t="str">
        <f t="shared" si="533"/>
        <v>Springs</v>
      </c>
      <c r="BM198" s="18" t="str">
        <f t="shared" ref="BM198:BT198" si="534">BM1</f>
        <v>Operating</v>
      </c>
      <c r="BN198" s="18" t="str">
        <f t="shared" si="534"/>
        <v>SPED</v>
      </c>
      <c r="BO198" s="18" t="str">
        <f t="shared" si="534"/>
        <v>NSLP</v>
      </c>
      <c r="BP198" s="18" t="str">
        <f t="shared" si="534"/>
        <v>Other</v>
      </c>
      <c r="BQ198" s="18" t="str">
        <f t="shared" si="534"/>
        <v>Title I</v>
      </c>
      <c r="BR198" s="18" t="str">
        <f t="shared" si="534"/>
        <v>SGF</v>
      </c>
      <c r="BS198" s="18" t="str">
        <f t="shared" si="534"/>
        <v>Title III</v>
      </c>
      <c r="BT198" s="18" t="str">
        <f t="shared" si="534"/>
        <v>Exec. Office</v>
      </c>
      <c r="BV198" s="18" t="str">
        <f t="shared" ref="BV198:CC198" si="535">BV1</f>
        <v>Operating</v>
      </c>
      <c r="BW198" s="18" t="str">
        <f t="shared" si="535"/>
        <v>SPED</v>
      </c>
      <c r="BX198" s="18" t="str">
        <f t="shared" si="535"/>
        <v>NSLP</v>
      </c>
      <c r="BY198" s="18" t="str">
        <f t="shared" si="535"/>
        <v>Other</v>
      </c>
      <c r="BZ198" s="18" t="str">
        <f t="shared" si="535"/>
        <v>Title I</v>
      </c>
      <c r="CA198" s="18" t="str">
        <f t="shared" si="535"/>
        <v>SGF</v>
      </c>
      <c r="CB198" s="18" t="str">
        <f t="shared" si="535"/>
        <v>Title III</v>
      </c>
      <c r="CC198" s="18" t="str">
        <f t="shared" si="535"/>
        <v>Systemwide</v>
      </c>
    </row>
    <row r="199" spans="1:82">
      <c r="A199" s="81" t="s">
        <v>179</v>
      </c>
      <c r="B199" s="62">
        <f>'27-28'!B199*1.03</f>
        <v>135061.05719999998</v>
      </c>
      <c r="C199" s="5"/>
      <c r="D199" s="5"/>
      <c r="E199" s="5"/>
      <c r="F199" s="5"/>
      <c r="G199" s="5"/>
      <c r="H199" s="5"/>
      <c r="I199" s="5">
        <f t="shared" ref="I199:I208" si="536">SUM(B199:H199)</f>
        <v>135061.05719999998</v>
      </c>
      <c r="J199" s="6"/>
      <c r="K199" s="62">
        <f>'27-28'!K199*1.03</f>
        <v>118178.42505000001</v>
      </c>
      <c r="L199" s="5"/>
      <c r="M199" s="5"/>
      <c r="N199" s="5"/>
      <c r="O199" s="5"/>
      <c r="P199" s="5"/>
      <c r="Q199" s="5"/>
      <c r="R199" s="5">
        <f t="shared" ref="R199:R208" si="537">SUM(K199:Q199)</f>
        <v>118178.42505000001</v>
      </c>
      <c r="T199" s="62">
        <f>'27-28'!T199*1.03</f>
        <v>135061.05719999998</v>
      </c>
      <c r="U199" s="5"/>
      <c r="V199" s="5"/>
      <c r="W199" s="5"/>
      <c r="X199" s="5"/>
      <c r="Y199" s="5"/>
      <c r="Z199" s="5"/>
      <c r="AA199" s="5">
        <f t="shared" ref="AA199:AA208" si="538">SUM(T199:Z199)</f>
        <v>135061.05719999998</v>
      </c>
      <c r="AC199" s="62">
        <f>'27-28'!AC199*1.03</f>
        <v>326397.55490000005</v>
      </c>
      <c r="AD199" s="5"/>
      <c r="AE199" s="5"/>
      <c r="AF199" s="5"/>
      <c r="AG199" s="5"/>
      <c r="AH199" s="5"/>
      <c r="AI199" s="5"/>
      <c r="AJ199" s="5">
        <f t="shared" ref="AJ199:AJ208" si="539">SUM(AC199:AI199)</f>
        <v>326397.55490000005</v>
      </c>
      <c r="AL199" s="62">
        <f>'27-28'!AL199*1.03</f>
        <v>326397.55490000005</v>
      </c>
      <c r="AM199" s="5"/>
      <c r="AN199" s="5"/>
      <c r="AO199" s="5"/>
      <c r="AP199" s="5"/>
      <c r="AQ199" s="5"/>
      <c r="AR199" s="5"/>
      <c r="AS199" s="5">
        <f t="shared" ref="AS199:AS208" si="540">SUM(AL199:AR199)</f>
        <v>326397.55490000005</v>
      </c>
      <c r="AU199" s="83"/>
      <c r="AV199" s="5"/>
      <c r="AW199" s="5"/>
      <c r="AX199" s="5"/>
      <c r="AY199" s="5"/>
      <c r="AZ199" s="5"/>
      <c r="BA199" s="5"/>
      <c r="BB199" s="5">
        <f t="shared" ref="BB199:BB208" si="541">SUM(AU199:BA199)</f>
        <v>0</v>
      </c>
      <c r="BD199" s="62">
        <f>'27-28'!BD199*1.03</f>
        <v>19361.553749999999</v>
      </c>
      <c r="BE199" s="5"/>
      <c r="BF199" s="5"/>
      <c r="BG199" s="5"/>
      <c r="BH199" s="5"/>
      <c r="BI199" s="5"/>
      <c r="BJ199" s="5"/>
      <c r="BK199" s="5">
        <f t="shared" ref="BK199:BK208" si="542">SUM(BD199:BJ199)</f>
        <v>19361.553749999999</v>
      </c>
      <c r="BM199" s="83"/>
      <c r="BN199" s="5"/>
      <c r="BO199" s="5"/>
      <c r="BP199" s="5"/>
      <c r="BQ199" s="5"/>
      <c r="BR199" s="5"/>
      <c r="BS199" s="5"/>
      <c r="BT199" s="5">
        <f t="shared" ref="BT199:BT208" si="543">SUM(BM199:BS199)</f>
        <v>0</v>
      </c>
      <c r="BV199" s="5">
        <f t="shared" ref="BV199:CA208" si="544">B199+K199+T199+AC199+AL199+AU199+BD199+BM199</f>
        <v>1060457.203</v>
      </c>
      <c r="BW199" s="5">
        <f t="shared" si="544"/>
        <v>0</v>
      </c>
      <c r="BX199" s="5">
        <f t="shared" si="544"/>
        <v>0</v>
      </c>
      <c r="BY199" s="5">
        <f t="shared" si="544"/>
        <v>0</v>
      </c>
      <c r="BZ199" s="5">
        <f t="shared" si="544"/>
        <v>0</v>
      </c>
      <c r="CA199" s="5">
        <f t="shared" si="544"/>
        <v>0</v>
      </c>
      <c r="CB199" s="5"/>
      <c r="CC199" s="5">
        <f t="shared" ref="CC199:CC208" si="545">SUM(BV199:CB199)</f>
        <v>1060457.203</v>
      </c>
    </row>
    <row r="200" spans="1:82">
      <c r="A200" s="29" t="s">
        <v>180</v>
      </c>
      <c r="B200" s="62">
        <f>'27-28'!B200*1.03</f>
        <v>9566.824885</v>
      </c>
      <c r="C200" s="5"/>
      <c r="D200" s="5"/>
      <c r="E200" s="5"/>
      <c r="F200" s="5"/>
      <c r="G200" s="5"/>
      <c r="H200" s="5"/>
      <c r="I200" s="5">
        <f t="shared" si="536"/>
        <v>9566.824885</v>
      </c>
      <c r="K200" s="62">
        <f>'27-28'!K200*1.03</f>
        <v>0</v>
      </c>
      <c r="L200" s="5"/>
      <c r="M200" s="5"/>
      <c r="N200" s="5"/>
      <c r="O200" s="5"/>
      <c r="P200" s="5"/>
      <c r="Q200" s="5"/>
      <c r="R200" s="5">
        <f t="shared" si="537"/>
        <v>0</v>
      </c>
      <c r="T200" s="62">
        <f>'27-28'!T200*1.03</f>
        <v>0</v>
      </c>
      <c r="U200" s="5"/>
      <c r="V200" s="5"/>
      <c r="W200" s="5"/>
      <c r="X200" s="5"/>
      <c r="Y200" s="5"/>
      <c r="Z200" s="5"/>
      <c r="AA200" s="5">
        <f t="shared" si="538"/>
        <v>0</v>
      </c>
      <c r="AC200" s="62">
        <f>'27-28'!AC200*1.03</f>
        <v>0</v>
      </c>
      <c r="AD200" s="5"/>
      <c r="AE200" s="5"/>
      <c r="AF200" s="5"/>
      <c r="AG200" s="5"/>
      <c r="AH200" s="5"/>
      <c r="AI200" s="5"/>
      <c r="AJ200" s="5">
        <f t="shared" si="539"/>
        <v>0</v>
      </c>
      <c r="AL200" s="62">
        <f>'27-28'!AL200*1.03</f>
        <v>0</v>
      </c>
      <c r="AM200" s="5"/>
      <c r="AN200" s="5"/>
      <c r="AO200" s="5"/>
      <c r="AP200" s="5"/>
      <c r="AQ200" s="5"/>
      <c r="AR200" s="5"/>
      <c r="AS200" s="5">
        <f t="shared" si="540"/>
        <v>0</v>
      </c>
      <c r="AU200" s="62"/>
      <c r="AV200" s="5"/>
      <c r="AW200" s="5"/>
      <c r="AX200" s="5"/>
      <c r="AY200" s="5"/>
      <c r="AZ200" s="5"/>
      <c r="BA200" s="5"/>
      <c r="BB200" s="5">
        <f t="shared" si="541"/>
        <v>0</v>
      </c>
      <c r="BD200" s="62">
        <f>'27-28'!BD200*1.03</f>
        <v>1561.4156250000001</v>
      </c>
      <c r="BE200" s="5"/>
      <c r="BF200" s="5"/>
      <c r="BG200" s="5"/>
      <c r="BH200" s="5"/>
      <c r="BI200" s="5"/>
      <c r="BJ200" s="5"/>
      <c r="BK200" s="5">
        <f t="shared" si="542"/>
        <v>1561.4156250000001</v>
      </c>
      <c r="BM200" s="62"/>
      <c r="BN200" s="5"/>
      <c r="BO200" s="5"/>
      <c r="BP200" s="5"/>
      <c r="BQ200" s="5"/>
      <c r="BR200" s="5"/>
      <c r="BS200" s="5"/>
      <c r="BT200" s="5">
        <f t="shared" si="543"/>
        <v>0</v>
      </c>
      <c r="BV200" s="5">
        <f t="shared" si="544"/>
        <v>11128.24051</v>
      </c>
      <c r="BW200" s="5">
        <f t="shared" si="544"/>
        <v>0</v>
      </c>
      <c r="BX200" s="5">
        <f t="shared" si="544"/>
        <v>0</v>
      </c>
      <c r="BY200" s="5">
        <f t="shared" si="544"/>
        <v>0</v>
      </c>
      <c r="BZ200" s="5">
        <f t="shared" si="544"/>
        <v>0</v>
      </c>
      <c r="CA200" s="5">
        <f t="shared" si="544"/>
        <v>0</v>
      </c>
      <c r="CB200" s="5"/>
      <c r="CC200" s="5">
        <f t="shared" si="545"/>
        <v>11128.24051</v>
      </c>
    </row>
    <row r="201" spans="1:82">
      <c r="A201" s="29" t="s">
        <v>181</v>
      </c>
      <c r="B201" s="62">
        <f>'27-28'!B201*1.03</f>
        <v>36579.036325000001</v>
      </c>
      <c r="C201" s="5"/>
      <c r="D201" s="5"/>
      <c r="E201" s="5"/>
      <c r="F201" s="5"/>
      <c r="G201" s="5"/>
      <c r="H201" s="5"/>
      <c r="I201" s="5">
        <f t="shared" si="536"/>
        <v>36579.036325000001</v>
      </c>
      <c r="K201" s="62">
        <f>'27-28'!K201*1.03</f>
        <v>25886.702630000003</v>
      </c>
      <c r="L201" s="5"/>
      <c r="M201" s="5"/>
      <c r="N201" s="5"/>
      <c r="O201" s="5"/>
      <c r="P201" s="5"/>
      <c r="Q201" s="5"/>
      <c r="R201" s="5">
        <f t="shared" si="537"/>
        <v>25886.702630000003</v>
      </c>
      <c r="T201" s="62">
        <f>'27-28'!T201*1.03</f>
        <v>26449.457035000003</v>
      </c>
      <c r="U201" s="5"/>
      <c r="V201" s="5"/>
      <c r="W201" s="5"/>
      <c r="X201" s="5"/>
      <c r="Y201" s="5"/>
      <c r="Z201" s="5"/>
      <c r="AA201" s="5">
        <f t="shared" si="538"/>
        <v>26449.457035000003</v>
      </c>
      <c r="AC201" s="62">
        <f>'27-28'!AC201*1.03</f>
        <v>59089.212525000003</v>
      </c>
      <c r="AD201" s="5"/>
      <c r="AE201" s="5"/>
      <c r="AF201" s="5"/>
      <c r="AG201" s="5"/>
      <c r="AH201" s="5"/>
      <c r="AI201" s="5"/>
      <c r="AJ201" s="5">
        <f t="shared" si="539"/>
        <v>59089.212525000003</v>
      </c>
      <c r="AL201" s="62">
        <f>'27-28'!AL201*1.03</f>
        <v>45020.352400000003</v>
      </c>
      <c r="AM201" s="5"/>
      <c r="AN201" s="5"/>
      <c r="AO201" s="5"/>
      <c r="AP201" s="5"/>
      <c r="AQ201" s="5"/>
      <c r="AR201" s="5"/>
      <c r="AS201" s="5">
        <f t="shared" si="540"/>
        <v>45020.352400000003</v>
      </c>
      <c r="AU201" s="79"/>
      <c r="AV201" s="5"/>
      <c r="AW201" s="5"/>
      <c r="AX201" s="5"/>
      <c r="AY201" s="5"/>
      <c r="AZ201" s="5"/>
      <c r="BA201" s="5"/>
      <c r="BB201" s="5">
        <f t="shared" si="541"/>
        <v>0</v>
      </c>
      <c r="BD201" s="62">
        <f>'27-28'!BD201*1.03</f>
        <v>17487.855000000003</v>
      </c>
      <c r="BE201" s="5"/>
      <c r="BF201" s="5"/>
      <c r="BG201" s="5"/>
      <c r="BH201" s="5"/>
      <c r="BI201" s="5"/>
      <c r="BJ201" s="5"/>
      <c r="BK201" s="5">
        <f t="shared" si="542"/>
        <v>17487.855000000003</v>
      </c>
      <c r="BM201" s="79"/>
      <c r="BN201" s="5"/>
      <c r="BO201" s="5"/>
      <c r="BP201" s="5"/>
      <c r="BQ201" s="5"/>
      <c r="BR201" s="5"/>
      <c r="BS201" s="5"/>
      <c r="BT201" s="5">
        <f t="shared" si="543"/>
        <v>0</v>
      </c>
      <c r="BV201" s="5">
        <f t="shared" si="544"/>
        <v>210512.61591500003</v>
      </c>
      <c r="BW201" s="5">
        <f t="shared" si="544"/>
        <v>0</v>
      </c>
      <c r="BX201" s="5">
        <f t="shared" si="544"/>
        <v>0</v>
      </c>
      <c r="BY201" s="5">
        <f t="shared" si="544"/>
        <v>0</v>
      </c>
      <c r="BZ201" s="5">
        <f t="shared" si="544"/>
        <v>0</v>
      </c>
      <c r="CA201" s="5">
        <f t="shared" si="544"/>
        <v>0</v>
      </c>
      <c r="CB201" s="5"/>
      <c r="CC201" s="5">
        <f t="shared" si="545"/>
        <v>210512.61591500003</v>
      </c>
    </row>
    <row r="202" spans="1:82">
      <c r="A202" s="29" t="s">
        <v>182</v>
      </c>
      <c r="B202" s="62">
        <f>'27-28'!B202*1.03</f>
        <v>27012.211440000006</v>
      </c>
      <c r="C202" s="5"/>
      <c r="D202" s="5"/>
      <c r="E202" s="5"/>
      <c r="F202" s="5"/>
      <c r="G202" s="5"/>
      <c r="H202" s="5"/>
      <c r="I202" s="5">
        <f t="shared" si="536"/>
        <v>27012.211440000006</v>
      </c>
      <c r="K202" s="62">
        <f>'27-28'!K202*1.03</f>
        <v>21384.667390000002</v>
      </c>
      <c r="L202" s="5"/>
      <c r="M202" s="5"/>
      <c r="N202" s="5"/>
      <c r="O202" s="5"/>
      <c r="P202" s="5"/>
      <c r="Q202" s="5"/>
      <c r="R202" s="5">
        <f t="shared" si="537"/>
        <v>21384.667390000002</v>
      </c>
      <c r="T202" s="62">
        <f>'27-28'!T202*1.03</f>
        <v>37141.790730000001</v>
      </c>
      <c r="U202" s="5"/>
      <c r="V202" s="5"/>
      <c r="W202" s="5"/>
      <c r="X202" s="5"/>
      <c r="Y202" s="5"/>
      <c r="Z202" s="5"/>
      <c r="AA202" s="5">
        <f t="shared" si="538"/>
        <v>37141.790730000001</v>
      </c>
      <c r="AC202" s="62">
        <f>'27-28'!AC202*1.03</f>
        <v>69781.546220000004</v>
      </c>
      <c r="AD202" s="5"/>
      <c r="AE202" s="5"/>
      <c r="AF202" s="5"/>
      <c r="AG202" s="5"/>
      <c r="AH202" s="5"/>
      <c r="AI202" s="5"/>
      <c r="AJ202" s="5">
        <f t="shared" si="539"/>
        <v>69781.546220000004</v>
      </c>
      <c r="AL202" s="62">
        <f>'27-28'!AL202*1.03</f>
        <v>70344.300625000003</v>
      </c>
      <c r="AM202" s="5"/>
      <c r="AN202" s="5"/>
      <c r="AO202" s="5"/>
      <c r="AP202" s="5"/>
      <c r="AQ202" s="5"/>
      <c r="AR202" s="5"/>
      <c r="AS202" s="5">
        <f t="shared" si="540"/>
        <v>70344.300625000003</v>
      </c>
      <c r="AU202" s="79"/>
      <c r="AV202" s="5"/>
      <c r="AW202" s="5"/>
      <c r="AX202" s="5"/>
      <c r="AY202" s="5"/>
      <c r="AZ202" s="5"/>
      <c r="BA202" s="5"/>
      <c r="BB202" s="5">
        <f t="shared" si="541"/>
        <v>0</v>
      </c>
      <c r="BD202" s="62">
        <f>'27-28'!BD202*1.03</f>
        <v>16863.288750000003</v>
      </c>
      <c r="BE202" s="5"/>
      <c r="BF202" s="5"/>
      <c r="BG202" s="5"/>
      <c r="BH202" s="5"/>
      <c r="BI202" s="5"/>
      <c r="BJ202" s="5"/>
      <c r="BK202" s="5">
        <f t="shared" si="542"/>
        <v>16863.288750000003</v>
      </c>
      <c r="BM202" s="79"/>
      <c r="BN202" s="5"/>
      <c r="BO202" s="5"/>
      <c r="BP202" s="5"/>
      <c r="BQ202" s="5"/>
      <c r="BR202" s="5"/>
      <c r="BS202" s="5"/>
      <c r="BT202" s="5">
        <f t="shared" si="543"/>
        <v>0</v>
      </c>
      <c r="BV202" s="5">
        <f t="shared" si="544"/>
        <v>242527.80515500004</v>
      </c>
      <c r="BW202" s="5">
        <f t="shared" si="544"/>
        <v>0</v>
      </c>
      <c r="BX202" s="5">
        <f t="shared" si="544"/>
        <v>0</v>
      </c>
      <c r="BY202" s="5">
        <f t="shared" si="544"/>
        <v>0</v>
      </c>
      <c r="BZ202" s="5">
        <f t="shared" si="544"/>
        <v>0</v>
      </c>
      <c r="CA202" s="5">
        <f t="shared" si="544"/>
        <v>0</v>
      </c>
      <c r="CB202" s="5"/>
      <c r="CC202" s="5">
        <f t="shared" si="545"/>
        <v>242527.80515500004</v>
      </c>
    </row>
    <row r="203" spans="1:82">
      <c r="A203" s="29" t="s">
        <v>183</v>
      </c>
      <c r="B203" s="62">
        <f>'27-28'!B203*1.03</f>
        <v>14068.860124999999</v>
      </c>
      <c r="C203" s="5"/>
      <c r="D203" s="5"/>
      <c r="E203" s="5"/>
      <c r="F203" s="5"/>
      <c r="G203" s="5"/>
      <c r="H203" s="5"/>
      <c r="I203" s="5">
        <f t="shared" si="536"/>
        <v>14068.860124999999</v>
      </c>
      <c r="K203" s="62">
        <f>'27-28'!K203*1.03</f>
        <v>9566.824885</v>
      </c>
      <c r="L203" s="5"/>
      <c r="M203" s="5"/>
      <c r="N203" s="5"/>
      <c r="O203" s="5"/>
      <c r="P203" s="5"/>
      <c r="Q203" s="5"/>
      <c r="R203" s="5">
        <f t="shared" si="537"/>
        <v>9566.824885</v>
      </c>
      <c r="T203" s="62">
        <f>'27-28'!T203*1.03</f>
        <v>16882.632149999998</v>
      </c>
      <c r="U203" s="5"/>
      <c r="V203" s="5"/>
      <c r="W203" s="5"/>
      <c r="X203" s="5"/>
      <c r="Y203" s="5"/>
      <c r="Z203" s="5"/>
      <c r="AA203" s="5">
        <f t="shared" si="538"/>
        <v>16882.632149999998</v>
      </c>
      <c r="AC203" s="62">
        <f>'27-28'!AC203*1.03</f>
        <v>37817.096015999996</v>
      </c>
      <c r="AD203" s="5"/>
      <c r="AE203" s="5"/>
      <c r="AF203" s="5"/>
      <c r="AG203" s="5"/>
      <c r="AH203" s="5"/>
      <c r="AI203" s="5"/>
      <c r="AJ203" s="5">
        <f t="shared" si="539"/>
        <v>37817.096015999996</v>
      </c>
      <c r="AL203" s="62">
        <f>'27-28'!AL203*1.03</f>
        <v>18435.834307800003</v>
      </c>
      <c r="AM203" s="5"/>
      <c r="AN203" s="5"/>
      <c r="AO203" s="5"/>
      <c r="AP203" s="5"/>
      <c r="AQ203" s="5"/>
      <c r="AR203" s="5"/>
      <c r="AS203" s="5">
        <f t="shared" si="540"/>
        <v>18435.834307800003</v>
      </c>
      <c r="AU203" s="79"/>
      <c r="AV203" s="5"/>
      <c r="AW203" s="5"/>
      <c r="AX203" s="5"/>
      <c r="AY203" s="5"/>
      <c r="AZ203" s="5"/>
      <c r="BA203" s="5"/>
      <c r="BB203" s="5">
        <f t="shared" si="541"/>
        <v>0</v>
      </c>
      <c r="BD203" s="62">
        <f>'27-28'!BD203*1.03</f>
        <v>7494.795000000001</v>
      </c>
      <c r="BE203" s="5"/>
      <c r="BF203" s="5"/>
      <c r="BG203" s="5"/>
      <c r="BH203" s="5"/>
      <c r="BI203" s="5"/>
      <c r="BJ203" s="5"/>
      <c r="BK203" s="5">
        <f t="shared" si="542"/>
        <v>7494.795000000001</v>
      </c>
      <c r="BM203" s="79"/>
      <c r="BN203" s="5"/>
      <c r="BO203" s="5"/>
      <c r="BP203" s="5"/>
      <c r="BQ203" s="5"/>
      <c r="BR203" s="5"/>
      <c r="BS203" s="5"/>
      <c r="BT203" s="5">
        <f t="shared" si="543"/>
        <v>0</v>
      </c>
      <c r="BV203" s="5">
        <f t="shared" si="544"/>
        <v>104266.0424838</v>
      </c>
      <c r="BW203" s="5">
        <f t="shared" si="544"/>
        <v>0</v>
      </c>
      <c r="BX203" s="5">
        <f t="shared" si="544"/>
        <v>0</v>
      </c>
      <c r="BY203" s="5">
        <f t="shared" si="544"/>
        <v>0</v>
      </c>
      <c r="BZ203" s="5">
        <f t="shared" si="544"/>
        <v>0</v>
      </c>
      <c r="CA203" s="5">
        <f t="shared" si="544"/>
        <v>0</v>
      </c>
      <c r="CB203" s="5"/>
      <c r="CC203" s="5">
        <f t="shared" si="545"/>
        <v>104266.0424838</v>
      </c>
    </row>
    <row r="204" spans="1:82">
      <c r="A204" s="29" t="s">
        <v>184</v>
      </c>
      <c r="B204" s="62">
        <f>'27-28'!B204*1.03</f>
        <v>124368.723505</v>
      </c>
      <c r="C204" s="5"/>
      <c r="D204" s="5"/>
      <c r="E204" s="5"/>
      <c r="F204" s="5"/>
      <c r="G204" s="5"/>
      <c r="H204" s="5"/>
      <c r="I204" s="5">
        <f t="shared" si="536"/>
        <v>124368.723505</v>
      </c>
      <c r="K204" s="62">
        <f>'27-28'!K204*1.03</f>
        <v>114858.17406050001</v>
      </c>
      <c r="L204" s="5"/>
      <c r="M204" s="5"/>
      <c r="N204" s="5"/>
      <c r="O204" s="5"/>
      <c r="P204" s="5"/>
      <c r="Q204" s="5"/>
      <c r="R204" s="5">
        <f t="shared" si="537"/>
        <v>114858.17406050001</v>
      </c>
      <c r="T204" s="62">
        <f>'27-28'!T204*1.03</f>
        <v>133147.69222300002</v>
      </c>
      <c r="U204" s="5"/>
      <c r="V204" s="5"/>
      <c r="W204" s="5"/>
      <c r="X204" s="5"/>
      <c r="Y204" s="5"/>
      <c r="Z204" s="5"/>
      <c r="AA204" s="5">
        <f t="shared" si="538"/>
        <v>133147.69222300002</v>
      </c>
      <c r="AC204" s="62">
        <f>'27-28'!AC204*1.03</f>
        <v>323077.30391050002</v>
      </c>
      <c r="AD204" s="5"/>
      <c r="AE204" s="5"/>
      <c r="AF204" s="5"/>
      <c r="AG204" s="5"/>
      <c r="AH204" s="5"/>
      <c r="AI204" s="5"/>
      <c r="AJ204" s="5">
        <f t="shared" si="539"/>
        <v>323077.30391050002</v>
      </c>
      <c r="AL204" s="62">
        <f>'27-28'!AL204*1.03</f>
        <v>543283.102587</v>
      </c>
      <c r="AM204" s="5"/>
      <c r="AN204" s="5"/>
      <c r="AO204" s="5"/>
      <c r="AP204" s="5"/>
      <c r="AQ204" s="5"/>
      <c r="AR204" s="5"/>
      <c r="AS204" s="5">
        <f t="shared" si="540"/>
        <v>543283.102587</v>
      </c>
      <c r="AU204" s="62"/>
      <c r="AV204" s="5"/>
      <c r="AW204" s="5"/>
      <c r="AX204" s="5"/>
      <c r="AY204" s="5"/>
      <c r="AZ204" s="5"/>
      <c r="BA204" s="5"/>
      <c r="BB204" s="5">
        <f t="shared" si="541"/>
        <v>0</v>
      </c>
      <c r="BD204" s="62">
        <f>'27-28'!BD204*1.03</f>
        <v>0</v>
      </c>
      <c r="BE204" s="5"/>
      <c r="BF204" s="5"/>
      <c r="BG204" s="5"/>
      <c r="BH204" s="5"/>
      <c r="BI204" s="5"/>
      <c r="BJ204" s="5"/>
      <c r="BK204" s="5">
        <f t="shared" si="542"/>
        <v>0</v>
      </c>
      <c r="BM204" s="62"/>
      <c r="BN204" s="5"/>
      <c r="BO204" s="5"/>
      <c r="BP204" s="5"/>
      <c r="BQ204" s="5"/>
      <c r="BR204" s="5"/>
      <c r="BS204" s="5"/>
      <c r="BT204" s="5">
        <f t="shared" si="543"/>
        <v>0</v>
      </c>
      <c r="BV204" s="5">
        <f t="shared" si="544"/>
        <v>1238734.9962860001</v>
      </c>
      <c r="BW204" s="5">
        <f t="shared" si="544"/>
        <v>0</v>
      </c>
      <c r="BX204" s="5">
        <f t="shared" si="544"/>
        <v>0</v>
      </c>
      <c r="BY204" s="5">
        <f t="shared" si="544"/>
        <v>0</v>
      </c>
      <c r="BZ204" s="5">
        <f t="shared" si="544"/>
        <v>0</v>
      </c>
      <c r="CA204" s="5">
        <f t="shared" si="544"/>
        <v>0</v>
      </c>
      <c r="CB204" s="5"/>
      <c r="CC204" s="5">
        <f t="shared" si="545"/>
        <v>1238734.9962860001</v>
      </c>
    </row>
    <row r="205" spans="1:82">
      <c r="A205" s="29" t="s">
        <v>185</v>
      </c>
      <c r="B205" s="11">
        <v>90000</v>
      </c>
      <c r="C205" s="5"/>
      <c r="D205" s="5"/>
      <c r="E205" s="5"/>
      <c r="F205" s="5"/>
      <c r="G205" s="5"/>
      <c r="H205" s="5"/>
      <c r="I205" s="5">
        <f t="shared" si="536"/>
        <v>90000</v>
      </c>
      <c r="K205" s="11">
        <v>100000</v>
      </c>
      <c r="L205" s="5"/>
      <c r="M205" s="5"/>
      <c r="N205" s="5"/>
      <c r="O205" s="5"/>
      <c r="P205" s="5"/>
      <c r="Q205" s="5"/>
      <c r="R205" s="5">
        <f t="shared" si="537"/>
        <v>100000</v>
      </c>
      <c r="T205" s="11">
        <v>145000</v>
      </c>
      <c r="U205" s="5"/>
      <c r="V205" s="5"/>
      <c r="W205" s="5"/>
      <c r="X205" s="5"/>
      <c r="Y205" s="5"/>
      <c r="Z205" s="5"/>
      <c r="AA205" s="5">
        <f t="shared" si="538"/>
        <v>145000</v>
      </c>
      <c r="AC205" s="11">
        <v>225000</v>
      </c>
      <c r="AD205" s="5"/>
      <c r="AE205" s="5"/>
      <c r="AF205" s="5">
        <v>0</v>
      </c>
      <c r="AG205" s="5"/>
      <c r="AH205" s="5"/>
      <c r="AI205" s="5"/>
      <c r="AJ205" s="5">
        <f t="shared" si="539"/>
        <v>225000</v>
      </c>
      <c r="AL205" s="11">
        <v>150000</v>
      </c>
      <c r="AM205" s="5"/>
      <c r="AN205" s="5"/>
      <c r="AO205" s="5">
        <v>0</v>
      </c>
      <c r="AP205" s="5"/>
      <c r="AQ205" s="5"/>
      <c r="AR205" s="5"/>
      <c r="AS205" s="5">
        <f t="shared" si="540"/>
        <v>150000</v>
      </c>
      <c r="AU205" s="11"/>
      <c r="AV205" s="5"/>
      <c r="AW205" s="5"/>
      <c r="AX205" s="5"/>
      <c r="AY205" s="5"/>
      <c r="AZ205" s="5"/>
      <c r="BA205" s="5"/>
      <c r="BB205" s="5">
        <f t="shared" si="541"/>
        <v>0</v>
      </c>
      <c r="BD205" s="11">
        <v>40000</v>
      </c>
      <c r="BE205" s="5"/>
      <c r="BF205" s="5"/>
      <c r="BG205" s="5"/>
      <c r="BH205" s="5"/>
      <c r="BI205" s="5"/>
      <c r="BJ205" s="5"/>
      <c r="BK205" s="5">
        <f t="shared" si="542"/>
        <v>40000</v>
      </c>
      <c r="BM205" s="11"/>
      <c r="BN205" s="5"/>
      <c r="BO205" s="5"/>
      <c r="BP205" s="5"/>
      <c r="BQ205" s="5"/>
      <c r="BR205" s="5"/>
      <c r="BS205" s="5"/>
      <c r="BT205" s="5">
        <f t="shared" si="543"/>
        <v>0</v>
      </c>
      <c r="BV205" s="5">
        <f t="shared" si="544"/>
        <v>750000</v>
      </c>
      <c r="BW205" s="5">
        <f t="shared" si="544"/>
        <v>0</v>
      </c>
      <c r="BX205" s="5">
        <f t="shared" si="544"/>
        <v>0</v>
      </c>
      <c r="BY205" s="5">
        <f t="shared" si="544"/>
        <v>0</v>
      </c>
      <c r="BZ205" s="5">
        <f t="shared" si="544"/>
        <v>0</v>
      </c>
      <c r="CA205" s="5">
        <f t="shared" si="544"/>
        <v>0</v>
      </c>
      <c r="CB205" s="5"/>
      <c r="CC205" s="5">
        <f t="shared" si="545"/>
        <v>750000</v>
      </c>
    </row>
    <row r="206" spans="1:82">
      <c r="A206" s="29" t="s">
        <v>186</v>
      </c>
      <c r="B206" s="11">
        <v>0</v>
      </c>
      <c r="C206" s="5"/>
      <c r="D206" s="5"/>
      <c r="E206" s="5"/>
      <c r="F206" s="5"/>
      <c r="G206" s="5"/>
      <c r="H206" s="5"/>
      <c r="I206" s="5">
        <f t="shared" si="536"/>
        <v>0</v>
      </c>
      <c r="K206" s="11">
        <v>0</v>
      </c>
      <c r="L206" s="5"/>
      <c r="M206" s="5"/>
      <c r="N206" s="5"/>
      <c r="O206" s="5"/>
      <c r="P206" s="5"/>
      <c r="Q206" s="5"/>
      <c r="R206" s="5">
        <f t="shared" si="537"/>
        <v>0</v>
      </c>
      <c r="T206" s="11">
        <v>0</v>
      </c>
      <c r="U206" s="5"/>
      <c r="V206" s="5"/>
      <c r="W206" s="5"/>
      <c r="X206" s="5"/>
      <c r="Y206" s="5"/>
      <c r="Z206" s="5"/>
      <c r="AA206" s="5">
        <f t="shared" si="538"/>
        <v>0</v>
      </c>
      <c r="AC206" s="11">
        <v>0</v>
      </c>
      <c r="AD206" s="5"/>
      <c r="AE206" s="5"/>
      <c r="AF206" s="5"/>
      <c r="AG206" s="5"/>
      <c r="AH206" s="5"/>
      <c r="AI206" s="5"/>
      <c r="AJ206" s="5">
        <f t="shared" si="539"/>
        <v>0</v>
      </c>
      <c r="AL206" s="11">
        <v>0</v>
      </c>
      <c r="AM206" s="5"/>
      <c r="AN206" s="5"/>
      <c r="AO206" s="5"/>
      <c r="AP206" s="5"/>
      <c r="AQ206" s="5"/>
      <c r="AR206" s="5"/>
      <c r="AS206" s="5">
        <f t="shared" si="540"/>
        <v>0</v>
      </c>
      <c r="AU206" s="11"/>
      <c r="AV206" s="5"/>
      <c r="AW206" s="5"/>
      <c r="AX206" s="5"/>
      <c r="AY206" s="5"/>
      <c r="AZ206" s="5"/>
      <c r="BA206" s="5"/>
      <c r="BB206" s="5">
        <f t="shared" si="541"/>
        <v>0</v>
      </c>
      <c r="BD206" s="11">
        <v>0</v>
      </c>
      <c r="BE206" s="5"/>
      <c r="BF206" s="5"/>
      <c r="BG206" s="5"/>
      <c r="BH206" s="5"/>
      <c r="BI206" s="5"/>
      <c r="BJ206" s="5"/>
      <c r="BK206" s="5">
        <f t="shared" si="542"/>
        <v>0</v>
      </c>
      <c r="BM206" s="11"/>
      <c r="BN206" s="5"/>
      <c r="BO206" s="5"/>
      <c r="BP206" s="5"/>
      <c r="BQ206" s="5"/>
      <c r="BR206" s="5"/>
      <c r="BS206" s="5"/>
      <c r="BT206" s="5">
        <f t="shared" si="543"/>
        <v>0</v>
      </c>
      <c r="BV206" s="5">
        <f t="shared" si="544"/>
        <v>0</v>
      </c>
      <c r="BW206" s="5">
        <f t="shared" si="544"/>
        <v>0</v>
      </c>
      <c r="BX206" s="5">
        <f t="shared" si="544"/>
        <v>0</v>
      </c>
      <c r="BY206" s="5">
        <f t="shared" si="544"/>
        <v>0</v>
      </c>
      <c r="BZ206" s="5">
        <f t="shared" si="544"/>
        <v>0</v>
      </c>
      <c r="CA206" s="5">
        <f t="shared" si="544"/>
        <v>0</v>
      </c>
      <c r="CB206" s="5"/>
      <c r="CC206" s="5">
        <f t="shared" si="545"/>
        <v>0</v>
      </c>
    </row>
    <row r="207" spans="1:82">
      <c r="A207" s="29" t="s">
        <v>187</v>
      </c>
      <c r="B207" s="62">
        <f>'27-28'!B207*1.03</f>
        <v>31289.144918000002</v>
      </c>
      <c r="C207" s="5"/>
      <c r="D207" s="5"/>
      <c r="E207" s="5"/>
      <c r="F207" s="5"/>
      <c r="G207" s="5"/>
      <c r="H207" s="5"/>
      <c r="I207" s="5">
        <f t="shared" si="536"/>
        <v>31289.144918000002</v>
      </c>
      <c r="K207" s="62">
        <f>'27-28'!K207*1.03</f>
        <v>25975.617825990001</v>
      </c>
      <c r="L207" s="5"/>
      <c r="M207" s="5"/>
      <c r="N207" s="5"/>
      <c r="O207" s="5"/>
      <c r="P207" s="5"/>
      <c r="Q207" s="5"/>
      <c r="R207" s="5">
        <f t="shared" si="537"/>
        <v>25975.617825990001</v>
      </c>
      <c r="T207" s="62">
        <f>'27-28'!T207*1.03</f>
        <v>26100.549303899999</v>
      </c>
      <c r="U207" s="5"/>
      <c r="V207" s="5"/>
      <c r="W207" s="5"/>
      <c r="X207" s="5"/>
      <c r="Y207" s="5"/>
      <c r="Z207" s="5"/>
      <c r="AA207" s="5">
        <f t="shared" si="538"/>
        <v>26100.549303899999</v>
      </c>
      <c r="AC207" s="62">
        <f>'27-28'!AC207*1.03</f>
        <v>39527.8694072</v>
      </c>
      <c r="AD207" s="5"/>
      <c r="AE207" s="5"/>
      <c r="AF207" s="5"/>
      <c r="AG207" s="5"/>
      <c r="AH207" s="5"/>
      <c r="AI207" s="5"/>
      <c r="AJ207" s="5">
        <f t="shared" si="539"/>
        <v>39527.8694072</v>
      </c>
      <c r="AL207" s="62">
        <f>'27-28'!AL207*1.03</f>
        <v>40473.296807600003</v>
      </c>
      <c r="AM207" s="5"/>
      <c r="AN207" s="5"/>
      <c r="AO207" s="5"/>
      <c r="AP207" s="5"/>
      <c r="AQ207" s="5"/>
      <c r="AR207" s="5"/>
      <c r="AS207" s="5">
        <f t="shared" si="540"/>
        <v>40473.296807600003</v>
      </c>
      <c r="AU207" s="62"/>
      <c r="AV207" s="5"/>
      <c r="AW207" s="5"/>
      <c r="AX207" s="5"/>
      <c r="AY207" s="5"/>
      <c r="AZ207" s="5"/>
      <c r="BA207" s="5"/>
      <c r="BB207" s="5">
        <f t="shared" si="541"/>
        <v>0</v>
      </c>
      <c r="BD207" s="62">
        <f>'27-28'!BD207*1.03</f>
        <v>0</v>
      </c>
      <c r="BE207" s="5"/>
      <c r="BF207" s="5"/>
      <c r="BG207" s="5"/>
      <c r="BH207" s="5"/>
      <c r="BI207" s="5"/>
      <c r="BJ207" s="5"/>
      <c r="BK207" s="5">
        <f t="shared" si="542"/>
        <v>0</v>
      </c>
      <c r="BM207" s="62"/>
      <c r="BN207" s="5"/>
      <c r="BO207" s="5"/>
      <c r="BP207" s="5"/>
      <c r="BQ207" s="5"/>
      <c r="BR207" s="5"/>
      <c r="BS207" s="5"/>
      <c r="BT207" s="5">
        <f t="shared" si="543"/>
        <v>0</v>
      </c>
      <c r="BV207" s="5">
        <f t="shared" si="544"/>
        <v>163366.47826269001</v>
      </c>
      <c r="BW207" s="5">
        <f t="shared" si="544"/>
        <v>0</v>
      </c>
      <c r="BX207" s="5">
        <f t="shared" si="544"/>
        <v>0</v>
      </c>
      <c r="BY207" s="5">
        <f t="shared" si="544"/>
        <v>0</v>
      </c>
      <c r="BZ207" s="5">
        <f t="shared" si="544"/>
        <v>0</v>
      </c>
      <c r="CA207" s="5">
        <f t="shared" si="544"/>
        <v>0</v>
      </c>
      <c r="CB207" s="5"/>
      <c r="CC207" s="5">
        <f t="shared" si="545"/>
        <v>163366.47826269001</v>
      </c>
    </row>
    <row r="208" spans="1:82">
      <c r="A208" s="78" t="s">
        <v>188</v>
      </c>
      <c r="B208" s="62">
        <f>'27-28'!B208*1.03</f>
        <v>45159.915492439999</v>
      </c>
      <c r="C208" s="5"/>
      <c r="D208" s="5"/>
      <c r="E208" s="5"/>
      <c r="F208" s="5"/>
      <c r="G208" s="5"/>
      <c r="H208" s="5"/>
      <c r="I208" s="5">
        <f t="shared" si="536"/>
        <v>45159.915492439999</v>
      </c>
      <c r="K208" s="62">
        <f>'27-28'!K208*1.03</f>
        <v>28587.923774000003</v>
      </c>
      <c r="L208" s="5"/>
      <c r="M208" s="5"/>
      <c r="N208" s="5"/>
      <c r="O208" s="5"/>
      <c r="P208" s="5"/>
      <c r="Q208" s="5"/>
      <c r="R208" s="5">
        <f t="shared" si="537"/>
        <v>28587.923774000003</v>
      </c>
      <c r="T208" s="62">
        <f>'27-28'!T208*1.03</f>
        <v>31858.202172336001</v>
      </c>
      <c r="U208" s="5"/>
      <c r="V208" s="5"/>
      <c r="W208" s="5"/>
      <c r="X208" s="5"/>
      <c r="Y208" s="5"/>
      <c r="Z208" s="5"/>
      <c r="AA208" s="5">
        <f t="shared" si="538"/>
        <v>31858.202172336001</v>
      </c>
      <c r="AC208" s="62">
        <f>'27-28'!AC208*1.03</f>
        <v>60598.970042733999</v>
      </c>
      <c r="AD208" s="5"/>
      <c r="AE208" s="5"/>
      <c r="AF208" s="5"/>
      <c r="AG208" s="5"/>
      <c r="AH208" s="5"/>
      <c r="AI208" s="5"/>
      <c r="AJ208" s="5">
        <f t="shared" si="539"/>
        <v>60598.970042733999</v>
      </c>
      <c r="AL208" s="62">
        <f>'27-28'!AL208*1.03</f>
        <v>36781.627910800002</v>
      </c>
      <c r="AM208" s="5"/>
      <c r="AN208" s="5"/>
      <c r="AO208" s="5"/>
      <c r="AP208" s="5"/>
      <c r="AQ208" s="5"/>
      <c r="AR208" s="5"/>
      <c r="AS208" s="5">
        <f t="shared" si="540"/>
        <v>36781.627910800002</v>
      </c>
      <c r="AU208" s="84"/>
      <c r="AV208" s="5"/>
      <c r="AW208" s="5"/>
      <c r="AX208" s="5"/>
      <c r="AY208" s="5"/>
      <c r="AZ208" s="5"/>
      <c r="BA208" s="5"/>
      <c r="BB208" s="5">
        <f t="shared" si="541"/>
        <v>0</v>
      </c>
      <c r="BD208" s="62">
        <f>'27-28'!BD208*1.03</f>
        <v>12943.351315000002</v>
      </c>
      <c r="BE208" s="5"/>
      <c r="BF208" s="5"/>
      <c r="BG208" s="5"/>
      <c r="BH208" s="5"/>
      <c r="BI208" s="5"/>
      <c r="BJ208" s="5"/>
      <c r="BK208" s="5">
        <f t="shared" si="542"/>
        <v>12943.351315000002</v>
      </c>
      <c r="BM208" s="84"/>
      <c r="BN208" s="5"/>
      <c r="BO208" s="5"/>
      <c r="BP208" s="5"/>
      <c r="BQ208" s="5"/>
      <c r="BR208" s="5"/>
      <c r="BS208" s="5"/>
      <c r="BT208" s="5">
        <f t="shared" si="543"/>
        <v>0</v>
      </c>
      <c r="BV208" s="5">
        <f t="shared" si="544"/>
        <v>215929.99070731</v>
      </c>
      <c r="BW208" s="5">
        <f t="shared" si="544"/>
        <v>0</v>
      </c>
      <c r="BX208" s="5">
        <f t="shared" si="544"/>
        <v>0</v>
      </c>
      <c r="BY208" s="5">
        <f t="shared" si="544"/>
        <v>0</v>
      </c>
      <c r="BZ208" s="5">
        <f t="shared" si="544"/>
        <v>0</v>
      </c>
      <c r="CA208" s="5">
        <f t="shared" si="544"/>
        <v>0</v>
      </c>
      <c r="CB208" s="5"/>
      <c r="CC208" s="5">
        <f t="shared" si="545"/>
        <v>215929.99070731</v>
      </c>
    </row>
    <row r="209" spans="1:81" ht="15">
      <c r="A209" s="70" t="s">
        <v>189</v>
      </c>
      <c r="B209" s="71">
        <f t="shared" ref="B209:I209" si="546">SUM(B199:B208)</f>
        <v>513105.77389044</v>
      </c>
      <c r="C209" s="71">
        <f t="shared" si="546"/>
        <v>0</v>
      </c>
      <c r="D209" s="71">
        <f t="shared" si="546"/>
        <v>0</v>
      </c>
      <c r="E209" s="71">
        <f t="shared" si="546"/>
        <v>0</v>
      </c>
      <c r="F209" s="71">
        <f t="shared" si="546"/>
        <v>0</v>
      </c>
      <c r="G209" s="71">
        <f t="shared" si="546"/>
        <v>0</v>
      </c>
      <c r="H209" s="71">
        <f t="shared" si="546"/>
        <v>0</v>
      </c>
      <c r="I209" s="71">
        <f t="shared" si="546"/>
        <v>513105.77389044</v>
      </c>
      <c r="J209" s="7"/>
      <c r="K209" s="71">
        <f>SUM(K199:K208)</f>
        <v>444438.33561549004</v>
      </c>
      <c r="L209" s="71">
        <f t="shared" ref="L209:R209" si="547">SUM(L199:L208)</f>
        <v>0</v>
      </c>
      <c r="M209" s="71">
        <f t="shared" si="547"/>
        <v>0</v>
      </c>
      <c r="N209" s="71">
        <f t="shared" si="547"/>
        <v>0</v>
      </c>
      <c r="O209" s="71">
        <f t="shared" si="547"/>
        <v>0</v>
      </c>
      <c r="P209" s="71">
        <f t="shared" si="547"/>
        <v>0</v>
      </c>
      <c r="Q209" s="71">
        <f t="shared" si="547"/>
        <v>0</v>
      </c>
      <c r="R209" s="71">
        <f t="shared" si="547"/>
        <v>444438.33561549004</v>
      </c>
      <c r="T209" s="71">
        <f t="shared" ref="T209:AA209" si="548">SUM(T199:T208)</f>
        <v>551641.38081423601</v>
      </c>
      <c r="U209" s="71">
        <f t="shared" si="548"/>
        <v>0</v>
      </c>
      <c r="V209" s="71">
        <f t="shared" si="548"/>
        <v>0</v>
      </c>
      <c r="W209" s="71">
        <f t="shared" si="548"/>
        <v>0</v>
      </c>
      <c r="X209" s="71">
        <f t="shared" si="548"/>
        <v>0</v>
      </c>
      <c r="Y209" s="71">
        <f t="shared" si="548"/>
        <v>0</v>
      </c>
      <c r="Z209" s="71">
        <f t="shared" si="548"/>
        <v>0</v>
      </c>
      <c r="AA209" s="71">
        <f t="shared" si="548"/>
        <v>551641.38081423601</v>
      </c>
      <c r="AC209" s="71">
        <f t="shared" ref="AC209:AJ209" si="549">SUM(AC199:AC208)</f>
        <v>1141289.553021434</v>
      </c>
      <c r="AD209" s="71">
        <f t="shared" si="549"/>
        <v>0</v>
      </c>
      <c r="AE209" s="71">
        <f t="shared" si="549"/>
        <v>0</v>
      </c>
      <c r="AF209" s="71">
        <f t="shared" si="549"/>
        <v>0</v>
      </c>
      <c r="AG209" s="71">
        <f t="shared" si="549"/>
        <v>0</v>
      </c>
      <c r="AH209" s="71">
        <f t="shared" si="549"/>
        <v>0</v>
      </c>
      <c r="AI209" s="71">
        <f t="shared" si="549"/>
        <v>0</v>
      </c>
      <c r="AJ209" s="71">
        <f t="shared" si="549"/>
        <v>1141289.553021434</v>
      </c>
      <c r="AL209" s="71">
        <f t="shared" ref="AL209:AS209" si="550">SUM(AL199:AL208)</f>
        <v>1230736.0695382</v>
      </c>
      <c r="AM209" s="71">
        <f t="shared" si="550"/>
        <v>0</v>
      </c>
      <c r="AN209" s="71">
        <f t="shared" si="550"/>
        <v>0</v>
      </c>
      <c r="AO209" s="71">
        <f t="shared" si="550"/>
        <v>0</v>
      </c>
      <c r="AP209" s="71">
        <f t="shared" si="550"/>
        <v>0</v>
      </c>
      <c r="AQ209" s="71">
        <f t="shared" si="550"/>
        <v>0</v>
      </c>
      <c r="AR209" s="71">
        <f t="shared" si="550"/>
        <v>0</v>
      </c>
      <c r="AS209" s="71">
        <f t="shared" si="550"/>
        <v>1230736.0695382</v>
      </c>
      <c r="AU209" s="71">
        <f t="shared" ref="AU209:BB209" si="551">SUM(AU199:AU208)</f>
        <v>0</v>
      </c>
      <c r="AV209" s="71">
        <f t="shared" si="551"/>
        <v>0</v>
      </c>
      <c r="AW209" s="71">
        <f t="shared" si="551"/>
        <v>0</v>
      </c>
      <c r="AX209" s="71">
        <f t="shared" si="551"/>
        <v>0</v>
      </c>
      <c r="AY209" s="71">
        <f t="shared" si="551"/>
        <v>0</v>
      </c>
      <c r="AZ209" s="71">
        <f t="shared" si="551"/>
        <v>0</v>
      </c>
      <c r="BA209" s="71">
        <f t="shared" si="551"/>
        <v>0</v>
      </c>
      <c r="BB209" s="71">
        <f t="shared" si="551"/>
        <v>0</v>
      </c>
      <c r="BD209" s="71">
        <f t="shared" ref="BD209:BK209" si="552">SUM(BD199:BD208)</f>
        <v>115712.25944000001</v>
      </c>
      <c r="BE209" s="71">
        <f t="shared" si="552"/>
        <v>0</v>
      </c>
      <c r="BF209" s="71">
        <f t="shared" si="552"/>
        <v>0</v>
      </c>
      <c r="BG209" s="71">
        <f t="shared" si="552"/>
        <v>0</v>
      </c>
      <c r="BH209" s="71">
        <f t="shared" si="552"/>
        <v>0</v>
      </c>
      <c r="BI209" s="71">
        <f t="shared" si="552"/>
        <v>0</v>
      </c>
      <c r="BJ209" s="71">
        <f t="shared" si="552"/>
        <v>0</v>
      </c>
      <c r="BK209" s="71">
        <f t="shared" si="552"/>
        <v>115712.25944000001</v>
      </c>
      <c r="BM209" s="71">
        <f t="shared" ref="BM209:BT209" si="553">SUM(BM199:BM208)</f>
        <v>0</v>
      </c>
      <c r="BN209" s="71">
        <f t="shared" si="553"/>
        <v>0</v>
      </c>
      <c r="BO209" s="71">
        <f t="shared" si="553"/>
        <v>0</v>
      </c>
      <c r="BP209" s="71">
        <f t="shared" si="553"/>
        <v>0</v>
      </c>
      <c r="BQ209" s="71">
        <f t="shared" si="553"/>
        <v>0</v>
      </c>
      <c r="BR209" s="71">
        <f t="shared" si="553"/>
        <v>0</v>
      </c>
      <c r="BS209" s="71">
        <f t="shared" si="553"/>
        <v>0</v>
      </c>
      <c r="BT209" s="71">
        <f t="shared" si="553"/>
        <v>0</v>
      </c>
      <c r="BV209" s="71">
        <f t="shared" ref="BV209:CC209" si="554">SUM(BV199:BV208)</f>
        <v>3996923.3723197998</v>
      </c>
      <c r="BW209" s="71">
        <f t="shared" si="554"/>
        <v>0</v>
      </c>
      <c r="BX209" s="71">
        <f t="shared" si="554"/>
        <v>0</v>
      </c>
      <c r="BY209" s="71">
        <f t="shared" si="554"/>
        <v>0</v>
      </c>
      <c r="BZ209" s="71">
        <f t="shared" si="554"/>
        <v>0</v>
      </c>
      <c r="CA209" s="71">
        <f t="shared" si="554"/>
        <v>0</v>
      </c>
      <c r="CB209" s="71">
        <f t="shared" si="554"/>
        <v>0</v>
      </c>
      <c r="CC209" s="71">
        <f t="shared" si="554"/>
        <v>3996923.3723197998</v>
      </c>
    </row>
    <row r="210" spans="1:81">
      <c r="A210" s="85"/>
      <c r="B210" s="5"/>
      <c r="C210" s="5"/>
      <c r="D210" s="5"/>
      <c r="E210" s="5"/>
      <c r="F210" s="5"/>
      <c r="G210" s="5"/>
      <c r="H210" s="5"/>
      <c r="I210" s="5"/>
      <c r="J210" s="7"/>
      <c r="K210" s="5"/>
      <c r="L210" s="5"/>
      <c r="M210" s="5"/>
      <c r="N210" s="5"/>
      <c r="O210" s="5"/>
      <c r="P210" s="5"/>
      <c r="Q210" s="5"/>
      <c r="R210" s="5"/>
      <c r="T210" s="5"/>
      <c r="U210" s="5"/>
      <c r="V210" s="5"/>
      <c r="W210" s="5"/>
      <c r="X210" s="5"/>
      <c r="Y210" s="5"/>
      <c r="Z210" s="5"/>
      <c r="AA210" s="5"/>
      <c r="AC210" s="5"/>
      <c r="AD210" s="5"/>
      <c r="AE210" s="5"/>
      <c r="AF210" s="5"/>
      <c r="AG210" s="5"/>
      <c r="AH210" s="5"/>
      <c r="AI210" s="5"/>
      <c r="AJ210" s="5"/>
      <c r="AL210" s="5"/>
      <c r="AM210" s="5"/>
      <c r="AN210" s="5"/>
      <c r="AO210" s="5"/>
      <c r="AP210" s="5"/>
      <c r="AQ210" s="5"/>
      <c r="AR210" s="5"/>
      <c r="AS210" s="5"/>
      <c r="AU210" s="5"/>
      <c r="AV210" s="5"/>
      <c r="AW210" s="5"/>
      <c r="AX210" s="5"/>
      <c r="AY210" s="5"/>
      <c r="AZ210" s="5"/>
      <c r="BA210" s="5"/>
      <c r="BB210" s="5"/>
      <c r="BD210" s="5"/>
      <c r="BE210" s="5"/>
      <c r="BF210" s="5"/>
      <c r="BG210" s="5"/>
      <c r="BH210" s="5"/>
      <c r="BI210" s="5"/>
      <c r="BJ210" s="5"/>
      <c r="BK210" s="5"/>
      <c r="BM210" s="5"/>
      <c r="BN210" s="5"/>
      <c r="BO210" s="5"/>
      <c r="BP210" s="5"/>
      <c r="BQ210" s="5"/>
      <c r="BR210" s="5"/>
      <c r="BS210" s="5"/>
      <c r="BT210" s="5"/>
      <c r="BV210" s="5"/>
      <c r="BW210" s="5"/>
      <c r="BX210" s="5"/>
      <c r="BY210" s="5"/>
      <c r="BZ210" s="5"/>
      <c r="CA210" s="5"/>
      <c r="CB210" s="5"/>
      <c r="CC210" s="5"/>
    </row>
    <row r="211" spans="1:81" ht="15">
      <c r="A211" s="70" t="s">
        <v>190</v>
      </c>
      <c r="B211" s="71">
        <f>B142+B154+B170+B197+B209</f>
        <v>7869917.9336920334</v>
      </c>
      <c r="C211" s="71">
        <f t="shared" ref="C211:H211" si="555">C142+C154+C170+C197+C209</f>
        <v>1358015.2738869982</v>
      </c>
      <c r="D211" s="71">
        <f t="shared" si="555"/>
        <v>415916.3</v>
      </c>
      <c r="E211" s="71">
        <f t="shared" si="555"/>
        <v>0</v>
      </c>
      <c r="F211" s="71">
        <f t="shared" si="555"/>
        <v>0</v>
      </c>
      <c r="G211" s="71">
        <f t="shared" si="555"/>
        <v>275000</v>
      </c>
      <c r="H211" s="71">
        <f t="shared" si="555"/>
        <v>0</v>
      </c>
      <c r="I211" s="71">
        <f>I142+I154+I170+I197+I209</f>
        <v>9918849.5075790305</v>
      </c>
      <c r="J211" s="7"/>
      <c r="K211" s="71">
        <f>K142+K154+K170+K197+K209</f>
        <v>8761913.1448139995</v>
      </c>
      <c r="L211" s="71">
        <f t="shared" ref="L211:Q211" si="556">L142+L154+L170+L197+L209</f>
        <v>1003650.0534508501</v>
      </c>
      <c r="M211" s="71">
        <f t="shared" si="556"/>
        <v>348210.68109148188</v>
      </c>
      <c r="N211" s="71">
        <f t="shared" si="556"/>
        <v>0</v>
      </c>
      <c r="O211" s="71">
        <f t="shared" si="556"/>
        <v>0</v>
      </c>
      <c r="P211" s="71">
        <f t="shared" si="556"/>
        <v>800000</v>
      </c>
      <c r="Q211" s="71">
        <f t="shared" si="556"/>
        <v>0</v>
      </c>
      <c r="R211" s="71">
        <f>R142+R154+R170+R197+R209</f>
        <v>10913773.879356332</v>
      </c>
      <c r="T211" s="71">
        <f>T142+T154+T170+T197+T209</f>
        <v>10514935.476623245</v>
      </c>
      <c r="U211" s="71">
        <f t="shared" ref="U211:Z211" si="557">U142+U154+U170+U197+U209</f>
        <v>1193008.2793613719</v>
      </c>
      <c r="V211" s="71">
        <f t="shared" si="557"/>
        <v>236665.875</v>
      </c>
      <c r="W211" s="71">
        <f t="shared" si="557"/>
        <v>0</v>
      </c>
      <c r="X211" s="71">
        <f t="shared" si="557"/>
        <v>0</v>
      </c>
      <c r="Y211" s="71">
        <f t="shared" si="557"/>
        <v>800000</v>
      </c>
      <c r="Z211" s="71">
        <f t="shared" si="557"/>
        <v>0</v>
      </c>
      <c r="AA211" s="71">
        <f>AA142+AA154+AA170+AA197+AA209</f>
        <v>12744609.630984616</v>
      </c>
      <c r="AC211" s="71">
        <f>AC142+AC154+AC170+AC197+AC209</f>
        <v>21389361.226457402</v>
      </c>
      <c r="AD211" s="71">
        <f t="shared" ref="AD211:AI211" si="558">AD142+AD154+AD170+AD197+AD209</f>
        <v>2915289.7091325209</v>
      </c>
      <c r="AE211" s="71">
        <f t="shared" si="558"/>
        <v>1018212.2</v>
      </c>
      <c r="AF211" s="71">
        <f t="shared" si="558"/>
        <v>0</v>
      </c>
      <c r="AG211" s="71">
        <f t="shared" si="558"/>
        <v>0</v>
      </c>
      <c r="AH211" s="71">
        <f t="shared" si="558"/>
        <v>1250000</v>
      </c>
      <c r="AI211" s="71">
        <f t="shared" si="558"/>
        <v>0</v>
      </c>
      <c r="AJ211" s="71">
        <f>AJ142+AJ154+AJ170+AJ197+AJ209</f>
        <v>26572863.13558992</v>
      </c>
      <c r="AL211" s="71">
        <f>AL142+AL154+AL170+AL197+AL209</f>
        <v>18861822.242468216</v>
      </c>
      <c r="AM211" s="71">
        <f t="shared" ref="AM211:AR211" si="559">AM142+AM154+AM170+AM197+AM209</f>
        <v>2713673.2234962313</v>
      </c>
      <c r="AN211" s="71">
        <f t="shared" si="559"/>
        <v>641317.1</v>
      </c>
      <c r="AO211" s="71">
        <f t="shared" si="559"/>
        <v>0</v>
      </c>
      <c r="AP211" s="71">
        <f t="shared" si="559"/>
        <v>0</v>
      </c>
      <c r="AQ211" s="71">
        <f t="shared" si="559"/>
        <v>2000000</v>
      </c>
      <c r="AR211" s="71">
        <f t="shared" si="559"/>
        <v>0</v>
      </c>
      <c r="AS211" s="71">
        <f>AS142+AS154+AS170+AS197+AS209</f>
        <v>24216812.565964445</v>
      </c>
      <c r="AU211" s="71">
        <f>AU142+AU154+AU170+AU197+AU209</f>
        <v>1152761.1941943988</v>
      </c>
      <c r="AV211" s="71">
        <f t="shared" ref="AV211:BA211" si="560">AV142+AV154+AV170+AV197+AV209</f>
        <v>225833.46763061162</v>
      </c>
      <c r="AW211" s="71">
        <f t="shared" si="560"/>
        <v>2835</v>
      </c>
      <c r="AX211" s="71">
        <f t="shared" si="560"/>
        <v>0</v>
      </c>
      <c r="AY211" s="71">
        <f t="shared" si="560"/>
        <v>0</v>
      </c>
      <c r="AZ211" s="71">
        <f t="shared" si="560"/>
        <v>0</v>
      </c>
      <c r="BA211" s="71">
        <f t="shared" si="560"/>
        <v>0</v>
      </c>
      <c r="BB211" s="71">
        <f>BB142+BB154+BB170+BB197+BB209</f>
        <v>1381429.6618250106</v>
      </c>
      <c r="BD211" s="71">
        <f>BD142+BD154+BD170+BD197+BD209</f>
        <v>4575272.1999782445</v>
      </c>
      <c r="BE211" s="71">
        <f t="shared" ref="BE211:BJ211" si="561">BE142+BE154+BE170+BE197+BE209</f>
        <v>785593.50186795113</v>
      </c>
      <c r="BF211" s="71">
        <f t="shared" si="561"/>
        <v>641986.86999999988</v>
      </c>
      <c r="BG211" s="71">
        <f t="shared" si="561"/>
        <v>0</v>
      </c>
      <c r="BH211" s="71">
        <f t="shared" si="561"/>
        <v>0</v>
      </c>
      <c r="BI211" s="71">
        <f t="shared" si="561"/>
        <v>50000</v>
      </c>
      <c r="BJ211" s="71">
        <f t="shared" si="561"/>
        <v>0</v>
      </c>
      <c r="BK211" s="71">
        <f>BK142+BK154+BK170+BK197+BK209</f>
        <v>6052852.5718461955</v>
      </c>
      <c r="BM211" s="71">
        <f>BM142+BM154+BM170+BM197+BM209</f>
        <v>456736.43728094705</v>
      </c>
      <c r="BN211" s="71">
        <f t="shared" ref="BN211:BS211" si="562">BN142+BN154+BN170+BN197+BN209</f>
        <v>0</v>
      </c>
      <c r="BO211" s="71">
        <f t="shared" si="562"/>
        <v>28794.4375</v>
      </c>
      <c r="BP211" s="71">
        <f t="shared" si="562"/>
        <v>0</v>
      </c>
      <c r="BQ211" s="71">
        <f t="shared" si="562"/>
        <v>0</v>
      </c>
      <c r="BR211" s="71">
        <f t="shared" si="562"/>
        <v>0</v>
      </c>
      <c r="BS211" s="71">
        <f t="shared" si="562"/>
        <v>0</v>
      </c>
      <c r="BT211" s="71">
        <f>BT142+BT154+BT170+BT197+BT209</f>
        <v>485530.87478094705</v>
      </c>
      <c r="BV211" s="71">
        <f>BV142+BV154+BV170+BV197+BV209</f>
        <v>73582719.855508491</v>
      </c>
      <c r="BW211" s="71">
        <f t="shared" ref="BW211:CB211" si="563">BW142+BW154+BW170+BW197+BW209</f>
        <v>10195063.508826535</v>
      </c>
      <c r="BX211" s="71">
        <f t="shared" si="563"/>
        <v>3333938.4635914816</v>
      </c>
      <c r="BY211" s="71">
        <f t="shared" si="563"/>
        <v>0</v>
      </c>
      <c r="BZ211" s="71">
        <f t="shared" si="563"/>
        <v>0</v>
      </c>
      <c r="CA211" s="71">
        <f t="shared" si="563"/>
        <v>5175000</v>
      </c>
      <c r="CB211" s="71">
        <f t="shared" si="563"/>
        <v>0</v>
      </c>
      <c r="CC211" s="71">
        <f>CC142+CC154+CC170+CC197+CC209</f>
        <v>92286721.827926487</v>
      </c>
    </row>
    <row r="212" spans="1:81">
      <c r="A212" s="86"/>
      <c r="B212" s="52"/>
      <c r="C212" s="52"/>
      <c r="D212" s="52"/>
      <c r="E212" s="52"/>
      <c r="F212" s="52"/>
      <c r="G212" s="52"/>
      <c r="H212" s="52"/>
      <c r="I212" s="52"/>
      <c r="J212" s="7"/>
      <c r="K212" s="52"/>
      <c r="L212" s="52"/>
      <c r="M212" s="52"/>
      <c r="N212" s="52"/>
      <c r="O212" s="52"/>
      <c r="P212" s="52"/>
      <c r="Q212" s="52"/>
      <c r="R212" s="52"/>
      <c r="T212" s="52"/>
      <c r="U212" s="52"/>
      <c r="V212" s="52"/>
      <c r="W212" s="52"/>
      <c r="X212" s="52"/>
      <c r="Y212" s="52"/>
      <c r="Z212" s="52"/>
      <c r="AA212" s="52"/>
      <c r="AC212" s="52"/>
      <c r="AD212" s="52"/>
      <c r="AE212" s="52"/>
      <c r="AF212" s="52"/>
      <c r="AG212" s="52"/>
      <c r="AH212" s="52"/>
      <c r="AI212" s="52"/>
      <c r="AJ212" s="52"/>
      <c r="AL212" s="52"/>
      <c r="AM212" s="52"/>
      <c r="AN212" s="52"/>
      <c r="AO212" s="52"/>
      <c r="AP212" s="52"/>
      <c r="AQ212" s="52"/>
      <c r="AR212" s="52"/>
      <c r="AS212" s="52"/>
      <c r="AU212" s="52"/>
      <c r="AV212" s="52"/>
      <c r="AW212" s="52"/>
      <c r="AX212" s="52"/>
      <c r="AY212" s="52"/>
      <c r="AZ212" s="52"/>
      <c r="BA212" s="52"/>
      <c r="BB212" s="52"/>
      <c r="BD212" s="52"/>
      <c r="BE212" s="52"/>
      <c r="BF212" s="52"/>
      <c r="BG212" s="52"/>
      <c r="BH212" s="52"/>
      <c r="BI212" s="52"/>
      <c r="BJ212" s="52"/>
      <c r="BK212" s="52"/>
      <c r="BM212" s="52"/>
      <c r="BN212" s="52"/>
      <c r="BO212" s="52"/>
      <c r="BP212" s="52"/>
      <c r="BQ212" s="52"/>
      <c r="BR212" s="52"/>
      <c r="BS212" s="52"/>
      <c r="BT212" s="52"/>
      <c r="BV212" s="52"/>
      <c r="BW212" s="52"/>
      <c r="BX212" s="52"/>
      <c r="BY212" s="52"/>
      <c r="BZ212" s="52"/>
      <c r="CA212" s="52"/>
      <c r="CB212" s="52"/>
      <c r="CC212" s="52"/>
    </row>
    <row r="213" spans="1:81" ht="15">
      <c r="A213" s="43" t="s">
        <v>191</v>
      </c>
      <c r="B213" s="103">
        <v>0</v>
      </c>
      <c r="C213" s="9"/>
      <c r="D213" s="9"/>
      <c r="E213" s="9"/>
      <c r="F213" s="9"/>
      <c r="G213" s="9"/>
      <c r="H213" s="9"/>
      <c r="I213" s="9">
        <f t="shared" ref="I213:I218" si="564">SUM(B213:H213)</f>
        <v>0</v>
      </c>
      <c r="K213" s="9">
        <v>0</v>
      </c>
      <c r="L213" s="9"/>
      <c r="M213" s="9"/>
      <c r="N213" s="9"/>
      <c r="O213" s="9"/>
      <c r="P213" s="9"/>
      <c r="Q213" s="9"/>
      <c r="R213" s="9">
        <f t="shared" ref="R213:R218" si="565">SUM(K213:Q213)</f>
        <v>0</v>
      </c>
      <c r="T213" s="9"/>
      <c r="U213" s="9"/>
      <c r="V213" s="9"/>
      <c r="W213" s="9"/>
      <c r="X213" s="9"/>
      <c r="Y213" s="9"/>
      <c r="Z213" s="9"/>
      <c r="AA213" s="9">
        <f t="shared" ref="AA213:AA218" si="566">SUM(T213:Z213)</f>
        <v>0</v>
      </c>
      <c r="AC213" s="9">
        <v>2496616.67</v>
      </c>
      <c r="AD213" s="9"/>
      <c r="AE213" s="9"/>
      <c r="AF213" s="9"/>
      <c r="AG213" s="9"/>
      <c r="AH213" s="9"/>
      <c r="AI213" s="9"/>
      <c r="AJ213" s="9">
        <f t="shared" ref="AJ213:AJ218" si="567">SUM(AC213:AI213)</f>
        <v>2496616.67</v>
      </c>
      <c r="AL213" s="9">
        <v>3812516.04</v>
      </c>
      <c r="AM213" s="9"/>
      <c r="AN213" s="9"/>
      <c r="AO213" s="9"/>
      <c r="AP213" s="9"/>
      <c r="AQ213" s="9"/>
      <c r="AR213" s="9"/>
      <c r="AS213" s="9">
        <f t="shared" ref="AS213:AS218" si="568">SUM(AL213:AR213)</f>
        <v>3812516.04</v>
      </c>
      <c r="AU213" s="9"/>
      <c r="AV213" s="9"/>
      <c r="AW213" s="9"/>
      <c r="AX213" s="9"/>
      <c r="AY213" s="9"/>
      <c r="AZ213" s="9"/>
      <c r="BA213" s="9"/>
      <c r="BB213" s="9">
        <f t="shared" ref="BB213:BB218" si="569">SUM(AU213:BA213)</f>
        <v>0</v>
      </c>
      <c r="BD213" s="9">
        <f>(750*1.03*1.03*1.03*1.03)*BD17</f>
        <v>481999.14788250014</v>
      </c>
      <c r="BE213" s="9"/>
      <c r="BF213" s="9"/>
      <c r="BG213" s="9"/>
      <c r="BH213" s="9"/>
      <c r="BI213" s="9"/>
      <c r="BJ213" s="9"/>
      <c r="BK213" s="9">
        <f t="shared" ref="BK213:BK218" si="570">SUM(BD213:BJ213)</f>
        <v>481999.14788250014</v>
      </c>
      <c r="BM213" s="9">
        <v>0</v>
      </c>
      <c r="BN213" s="9"/>
      <c r="BO213" s="9"/>
      <c r="BP213" s="9"/>
      <c r="BQ213" s="9"/>
      <c r="BR213" s="9"/>
      <c r="BS213" s="9"/>
      <c r="BT213" s="9">
        <f t="shared" ref="BT213:BT218" si="571">SUM(BM213:BS213)</f>
        <v>0</v>
      </c>
      <c r="BV213" s="9">
        <f t="shared" ref="BV213:CA217" si="572">B213+K213+T213+AC213+AL213+AU213+BD213+BM213</f>
        <v>6791131.8578824997</v>
      </c>
      <c r="BW213" s="9">
        <f t="shared" si="572"/>
        <v>0</v>
      </c>
      <c r="BX213" s="9">
        <f t="shared" si="572"/>
        <v>0</v>
      </c>
      <c r="BY213" s="9">
        <f t="shared" si="572"/>
        <v>0</v>
      </c>
      <c r="BZ213" s="9">
        <f t="shared" si="572"/>
        <v>0</v>
      </c>
      <c r="CA213" s="9">
        <f t="shared" si="572"/>
        <v>0</v>
      </c>
      <c r="CB213" s="9"/>
      <c r="CC213" s="9">
        <f t="shared" ref="CC213:CC218" si="573">SUM(BV213:CB213)</f>
        <v>6791131.8578824997</v>
      </c>
    </row>
    <row r="214" spans="1:81" ht="15">
      <c r="A214" s="43" t="s">
        <v>192</v>
      </c>
      <c r="B214" s="9">
        <v>281149.95</v>
      </c>
      <c r="C214" s="9"/>
      <c r="D214" s="9"/>
      <c r="E214" s="9"/>
      <c r="F214" s="9"/>
      <c r="G214" s="9"/>
      <c r="H214" s="9"/>
      <c r="I214" s="9">
        <f t="shared" si="564"/>
        <v>281149.95</v>
      </c>
      <c r="K214" s="9">
        <v>319193.34999999998</v>
      </c>
      <c r="L214" s="9"/>
      <c r="M214" s="9"/>
      <c r="N214" s="9"/>
      <c r="O214" s="9"/>
      <c r="P214" s="9"/>
      <c r="Q214" s="9"/>
      <c r="R214" s="9">
        <f t="shared" si="565"/>
        <v>319193.34999999998</v>
      </c>
      <c r="T214" s="9">
        <v>385073.37</v>
      </c>
      <c r="U214" s="9"/>
      <c r="V214" s="9"/>
      <c r="W214" s="9"/>
      <c r="X214" s="9"/>
      <c r="Y214" s="9"/>
      <c r="Z214" s="9"/>
      <c r="AA214" s="9">
        <f t="shared" si="566"/>
        <v>385073.37</v>
      </c>
      <c r="AC214" s="9">
        <v>0</v>
      </c>
      <c r="AD214" s="9"/>
      <c r="AE214" s="9"/>
      <c r="AF214" s="9"/>
      <c r="AG214" s="9"/>
      <c r="AH214" s="9"/>
      <c r="AI214" s="9"/>
      <c r="AJ214" s="9">
        <f t="shared" si="567"/>
        <v>0</v>
      </c>
      <c r="AL214" s="9">
        <v>0</v>
      </c>
      <c r="AM214" s="9"/>
      <c r="AN214" s="9"/>
      <c r="AO214" s="9"/>
      <c r="AP214" s="9"/>
      <c r="AQ214" s="9"/>
      <c r="AR214" s="9"/>
      <c r="AS214" s="9">
        <f t="shared" si="568"/>
        <v>0</v>
      </c>
      <c r="AU214" s="9"/>
      <c r="AV214" s="9"/>
      <c r="AW214" s="9"/>
      <c r="AX214" s="9"/>
      <c r="AY214" s="9"/>
      <c r="AZ214" s="9"/>
      <c r="BA214" s="9"/>
      <c r="BB214" s="9">
        <f t="shared" si="569"/>
        <v>0</v>
      </c>
      <c r="BD214" s="9">
        <v>0</v>
      </c>
      <c r="BE214" s="9"/>
      <c r="BF214" s="9"/>
      <c r="BG214" s="9"/>
      <c r="BH214" s="9"/>
      <c r="BI214" s="9"/>
      <c r="BJ214" s="9"/>
      <c r="BK214" s="9">
        <f t="shared" si="570"/>
        <v>0</v>
      </c>
      <c r="BM214" s="9">
        <v>0</v>
      </c>
      <c r="BN214" s="9"/>
      <c r="BO214" s="9"/>
      <c r="BP214" s="9"/>
      <c r="BQ214" s="9"/>
      <c r="BR214" s="9"/>
      <c r="BS214" s="9"/>
      <c r="BT214" s="9">
        <f t="shared" si="571"/>
        <v>0</v>
      </c>
      <c r="BV214" s="9">
        <f t="shared" si="572"/>
        <v>985416.67</v>
      </c>
      <c r="BW214" s="9">
        <f t="shared" si="572"/>
        <v>0</v>
      </c>
      <c r="BX214" s="9">
        <f t="shared" si="572"/>
        <v>0</v>
      </c>
      <c r="BY214" s="9">
        <f t="shared" si="572"/>
        <v>0</v>
      </c>
      <c r="BZ214" s="9">
        <f t="shared" si="572"/>
        <v>0</v>
      </c>
      <c r="CA214" s="9">
        <f t="shared" si="572"/>
        <v>0</v>
      </c>
      <c r="CB214" s="9"/>
      <c r="CC214" s="9">
        <f t="shared" si="573"/>
        <v>985416.67</v>
      </c>
    </row>
    <row r="215" spans="1:81" ht="15">
      <c r="A215" s="43" t="s">
        <v>193</v>
      </c>
      <c r="B215" s="9">
        <v>592853.12</v>
      </c>
      <c r="C215" s="9"/>
      <c r="D215" s="9"/>
      <c r="E215" s="9"/>
      <c r="F215" s="9"/>
      <c r="G215" s="9"/>
      <c r="H215" s="9"/>
      <c r="I215" s="9">
        <f t="shared" si="564"/>
        <v>592853.12</v>
      </c>
      <c r="K215" s="9">
        <v>673074.17</v>
      </c>
      <c r="L215" s="9"/>
      <c r="M215" s="9"/>
      <c r="N215" s="9"/>
      <c r="O215" s="9"/>
      <c r="P215" s="9"/>
      <c r="Q215" s="9"/>
      <c r="R215" s="9">
        <f t="shared" si="565"/>
        <v>673074.17</v>
      </c>
      <c r="T215" s="9">
        <v>811993.54</v>
      </c>
      <c r="U215" s="9"/>
      <c r="V215" s="9"/>
      <c r="W215" s="9"/>
      <c r="X215" s="9"/>
      <c r="Y215" s="9"/>
      <c r="Z215" s="9"/>
      <c r="AA215" s="9">
        <f t="shared" si="566"/>
        <v>811993.54</v>
      </c>
      <c r="AC215" s="9">
        <v>0</v>
      </c>
      <c r="AD215" s="9"/>
      <c r="AE215" s="9"/>
      <c r="AF215" s="9"/>
      <c r="AG215" s="9"/>
      <c r="AH215" s="9"/>
      <c r="AI215" s="9"/>
      <c r="AJ215" s="9">
        <f t="shared" si="567"/>
        <v>0</v>
      </c>
      <c r="AL215" s="9">
        <v>0</v>
      </c>
      <c r="AM215" s="9"/>
      <c r="AN215" s="9"/>
      <c r="AO215" s="9"/>
      <c r="AP215" s="9"/>
      <c r="AQ215" s="9"/>
      <c r="AR215" s="9"/>
      <c r="AS215" s="9">
        <f t="shared" si="568"/>
        <v>0</v>
      </c>
      <c r="AU215" s="9"/>
      <c r="AV215" s="9"/>
      <c r="AW215" s="9"/>
      <c r="AX215" s="9"/>
      <c r="AY215" s="9"/>
      <c r="AZ215" s="9"/>
      <c r="BA215" s="9"/>
      <c r="BB215" s="9">
        <f t="shared" si="569"/>
        <v>0</v>
      </c>
      <c r="BD215" s="9">
        <v>0</v>
      </c>
      <c r="BE215" s="9"/>
      <c r="BF215" s="9"/>
      <c r="BG215" s="9"/>
      <c r="BH215" s="9"/>
      <c r="BI215" s="9"/>
      <c r="BJ215" s="9"/>
      <c r="BK215" s="9">
        <f t="shared" si="570"/>
        <v>0</v>
      </c>
      <c r="BM215" s="9">
        <v>0</v>
      </c>
      <c r="BN215" s="9"/>
      <c r="BO215" s="9"/>
      <c r="BP215" s="9"/>
      <c r="BQ215" s="9"/>
      <c r="BR215" s="9"/>
      <c r="BS215" s="9"/>
      <c r="BT215" s="9">
        <f t="shared" si="571"/>
        <v>0</v>
      </c>
      <c r="BV215" s="9">
        <f t="shared" si="572"/>
        <v>2077920.83</v>
      </c>
      <c r="BW215" s="9">
        <f t="shared" si="572"/>
        <v>0</v>
      </c>
      <c r="BX215" s="9">
        <f t="shared" si="572"/>
        <v>0</v>
      </c>
      <c r="BY215" s="9">
        <f t="shared" si="572"/>
        <v>0</v>
      </c>
      <c r="BZ215" s="9">
        <f t="shared" si="572"/>
        <v>0</v>
      </c>
      <c r="CA215" s="9">
        <f t="shared" si="572"/>
        <v>0</v>
      </c>
      <c r="CB215" s="9"/>
      <c r="CC215" s="9">
        <f t="shared" si="573"/>
        <v>2077920.83</v>
      </c>
    </row>
    <row r="216" spans="1:81" ht="15">
      <c r="A216" s="43" t="s">
        <v>194</v>
      </c>
      <c r="B216" s="103">
        <f>3750*12</f>
        <v>45000</v>
      </c>
      <c r="C216" s="9"/>
      <c r="D216" s="9"/>
      <c r="E216" s="9"/>
      <c r="F216" s="9"/>
      <c r="G216" s="9"/>
      <c r="H216" s="9"/>
      <c r="I216" s="9">
        <f t="shared" si="564"/>
        <v>45000</v>
      </c>
      <c r="K216" s="9">
        <v>0</v>
      </c>
      <c r="L216" s="9"/>
      <c r="M216" s="9"/>
      <c r="N216" s="9"/>
      <c r="O216" s="9"/>
      <c r="P216" s="9"/>
      <c r="Q216" s="9"/>
      <c r="R216" s="9">
        <f t="shared" si="565"/>
        <v>0</v>
      </c>
      <c r="T216" s="9"/>
      <c r="U216" s="9"/>
      <c r="V216" s="9"/>
      <c r="W216" s="9"/>
      <c r="X216" s="9"/>
      <c r="Y216" s="9"/>
      <c r="Z216" s="9"/>
      <c r="AA216" s="9">
        <f t="shared" si="566"/>
        <v>0</v>
      </c>
      <c r="AC216" s="9">
        <v>0</v>
      </c>
      <c r="AD216" s="9"/>
      <c r="AE216" s="9"/>
      <c r="AF216" s="9"/>
      <c r="AG216" s="9"/>
      <c r="AH216" s="9"/>
      <c r="AI216" s="9"/>
      <c r="AJ216" s="9">
        <f t="shared" si="567"/>
        <v>0</v>
      </c>
      <c r="AL216" s="9">
        <v>0</v>
      </c>
      <c r="AM216" s="9"/>
      <c r="AN216" s="9"/>
      <c r="AO216" s="9"/>
      <c r="AP216" s="9"/>
      <c r="AQ216" s="9"/>
      <c r="AR216" s="9"/>
      <c r="AS216" s="9">
        <f t="shared" si="568"/>
        <v>0</v>
      </c>
      <c r="AU216" s="9"/>
      <c r="AV216" s="9"/>
      <c r="AW216" s="9"/>
      <c r="AX216" s="9"/>
      <c r="AY216" s="9"/>
      <c r="AZ216" s="9"/>
      <c r="BA216" s="9"/>
      <c r="BB216" s="9">
        <f t="shared" si="569"/>
        <v>0</v>
      </c>
      <c r="BD216" s="9">
        <v>0</v>
      </c>
      <c r="BE216" s="9"/>
      <c r="BF216" s="9"/>
      <c r="BG216" s="9"/>
      <c r="BH216" s="9"/>
      <c r="BI216" s="9"/>
      <c r="BJ216" s="9"/>
      <c r="BK216" s="9">
        <f t="shared" si="570"/>
        <v>0</v>
      </c>
      <c r="BM216" s="9">
        <v>0</v>
      </c>
      <c r="BN216" s="9"/>
      <c r="BO216" s="9"/>
      <c r="BP216" s="9"/>
      <c r="BQ216" s="9"/>
      <c r="BR216" s="9"/>
      <c r="BS216" s="9"/>
      <c r="BT216" s="9">
        <f t="shared" si="571"/>
        <v>0</v>
      </c>
      <c r="BV216" s="9">
        <f t="shared" si="572"/>
        <v>45000</v>
      </c>
      <c r="BW216" s="9">
        <f t="shared" si="572"/>
        <v>0</v>
      </c>
      <c r="BX216" s="9">
        <f t="shared" si="572"/>
        <v>0</v>
      </c>
      <c r="BY216" s="9">
        <f t="shared" si="572"/>
        <v>0</v>
      </c>
      <c r="BZ216" s="9">
        <f t="shared" si="572"/>
        <v>0</v>
      </c>
      <c r="CA216" s="9">
        <f t="shared" si="572"/>
        <v>0</v>
      </c>
      <c r="CB216" s="9"/>
      <c r="CC216" s="9">
        <f t="shared" si="573"/>
        <v>45000</v>
      </c>
    </row>
    <row r="217" spans="1:81" ht="15">
      <c r="B217" s="9">
        <v>0</v>
      </c>
      <c r="C217" s="9">
        <v>0</v>
      </c>
      <c r="D217" s="9">
        <v>0</v>
      </c>
      <c r="E217" s="9"/>
      <c r="F217" s="9">
        <v>0</v>
      </c>
      <c r="G217" s="9">
        <v>0</v>
      </c>
      <c r="H217" s="9">
        <v>0</v>
      </c>
      <c r="I217" s="9">
        <f t="shared" si="564"/>
        <v>0</v>
      </c>
      <c r="K217" s="9">
        <v>0</v>
      </c>
      <c r="L217" s="9">
        <v>0</v>
      </c>
      <c r="M217" s="9">
        <v>0</v>
      </c>
      <c r="N217" s="9"/>
      <c r="O217" s="9">
        <v>0</v>
      </c>
      <c r="P217" s="9">
        <v>0</v>
      </c>
      <c r="Q217" s="9">
        <v>0</v>
      </c>
      <c r="R217" s="9">
        <f t="shared" si="565"/>
        <v>0</v>
      </c>
      <c r="T217" s="9">
        <v>0</v>
      </c>
      <c r="U217" s="9">
        <v>0</v>
      </c>
      <c r="V217" s="9">
        <v>0</v>
      </c>
      <c r="W217" s="9"/>
      <c r="X217" s="9">
        <v>0</v>
      </c>
      <c r="Y217" s="9">
        <v>0</v>
      </c>
      <c r="Z217" s="9">
        <v>0</v>
      </c>
      <c r="AA217" s="9">
        <f t="shared" si="566"/>
        <v>0</v>
      </c>
      <c r="AC217" s="9">
        <v>0</v>
      </c>
      <c r="AD217" s="9">
        <v>0</v>
      </c>
      <c r="AE217" s="9">
        <v>0</v>
      </c>
      <c r="AF217" s="9"/>
      <c r="AG217" s="9">
        <v>0</v>
      </c>
      <c r="AH217" s="9">
        <v>0</v>
      </c>
      <c r="AI217" s="9">
        <v>0</v>
      </c>
      <c r="AJ217" s="9">
        <f t="shared" si="567"/>
        <v>0</v>
      </c>
      <c r="AL217" s="9">
        <v>0</v>
      </c>
      <c r="AM217" s="9">
        <v>0</v>
      </c>
      <c r="AN217" s="9">
        <v>0</v>
      </c>
      <c r="AO217" s="9"/>
      <c r="AP217" s="9">
        <v>0</v>
      </c>
      <c r="AQ217" s="9">
        <v>0</v>
      </c>
      <c r="AR217" s="9">
        <v>0</v>
      </c>
      <c r="AS217" s="9">
        <f t="shared" si="568"/>
        <v>0</v>
      </c>
      <c r="AU217" s="9">
        <v>0</v>
      </c>
      <c r="AV217" s="9">
        <v>0</v>
      </c>
      <c r="AW217" s="9">
        <v>0</v>
      </c>
      <c r="AX217" s="9"/>
      <c r="AY217" s="9">
        <v>0</v>
      </c>
      <c r="AZ217" s="9">
        <v>0</v>
      </c>
      <c r="BA217" s="9">
        <v>0</v>
      </c>
      <c r="BB217" s="9">
        <f t="shared" si="569"/>
        <v>0</v>
      </c>
      <c r="BD217" s="9">
        <v>0</v>
      </c>
      <c r="BE217" s="9">
        <v>0</v>
      </c>
      <c r="BF217" s="9">
        <v>0</v>
      </c>
      <c r="BG217" s="9"/>
      <c r="BH217" s="9">
        <v>0</v>
      </c>
      <c r="BI217" s="9">
        <v>0</v>
      </c>
      <c r="BJ217" s="9">
        <v>0</v>
      </c>
      <c r="BK217" s="9">
        <f t="shared" si="570"/>
        <v>0</v>
      </c>
      <c r="BM217" s="9">
        <v>0</v>
      </c>
      <c r="BN217" s="9">
        <v>0</v>
      </c>
      <c r="BO217" s="9">
        <v>0</v>
      </c>
      <c r="BP217" s="9"/>
      <c r="BQ217" s="9">
        <v>0</v>
      </c>
      <c r="BR217" s="9">
        <v>0</v>
      </c>
      <c r="BS217" s="9">
        <v>0</v>
      </c>
      <c r="BT217" s="9">
        <f t="shared" si="571"/>
        <v>0</v>
      </c>
      <c r="BV217" s="9">
        <f t="shared" si="572"/>
        <v>0</v>
      </c>
      <c r="BW217" s="9">
        <f t="shared" si="572"/>
        <v>0</v>
      </c>
      <c r="BX217" s="9">
        <f t="shared" si="572"/>
        <v>0</v>
      </c>
      <c r="BY217" s="9">
        <f t="shared" si="572"/>
        <v>0</v>
      </c>
      <c r="BZ217" s="9">
        <f t="shared" si="572"/>
        <v>0</v>
      </c>
      <c r="CA217" s="9">
        <f t="shared" si="572"/>
        <v>0</v>
      </c>
      <c r="CB217" s="9">
        <v>0</v>
      </c>
      <c r="CC217" s="9">
        <f t="shared" si="573"/>
        <v>0</v>
      </c>
    </row>
    <row r="218" spans="1:81" ht="15.75" thickBot="1">
      <c r="A218" s="43"/>
      <c r="B218" s="35"/>
      <c r="C218" s="35"/>
      <c r="D218" s="35"/>
      <c r="E218" s="35"/>
      <c r="F218" s="35"/>
      <c r="G218" s="35"/>
      <c r="H218" s="35"/>
      <c r="I218" s="5">
        <f t="shared" si="564"/>
        <v>0</v>
      </c>
      <c r="J218" s="7"/>
      <c r="K218" s="35"/>
      <c r="L218" s="35"/>
      <c r="M218" s="35"/>
      <c r="N218" s="35"/>
      <c r="O218" s="35"/>
      <c r="P218" s="35"/>
      <c r="Q218" s="35"/>
      <c r="R218" s="5">
        <f t="shared" si="565"/>
        <v>0</v>
      </c>
      <c r="T218" s="35"/>
      <c r="U218" s="35"/>
      <c r="V218" s="35"/>
      <c r="W218" s="35"/>
      <c r="X218" s="35"/>
      <c r="Y218" s="35"/>
      <c r="Z218" s="35"/>
      <c r="AA218" s="5">
        <f t="shared" si="566"/>
        <v>0</v>
      </c>
      <c r="AC218" s="35"/>
      <c r="AD218" s="35"/>
      <c r="AE218" s="35"/>
      <c r="AF218" s="35"/>
      <c r="AG218" s="35"/>
      <c r="AH218" s="35"/>
      <c r="AI218" s="35"/>
      <c r="AJ218" s="5">
        <f t="shared" si="567"/>
        <v>0</v>
      </c>
      <c r="AL218" s="35"/>
      <c r="AM218" s="35"/>
      <c r="AN218" s="35"/>
      <c r="AO218" s="35"/>
      <c r="AP218" s="35"/>
      <c r="AQ218" s="35"/>
      <c r="AR218" s="35"/>
      <c r="AS218" s="5">
        <f t="shared" si="568"/>
        <v>0</v>
      </c>
      <c r="AU218" s="35"/>
      <c r="AV218" s="35"/>
      <c r="AW218" s="35"/>
      <c r="AX218" s="35"/>
      <c r="AY218" s="35"/>
      <c r="AZ218" s="35"/>
      <c r="BA218" s="35"/>
      <c r="BB218" s="5">
        <f t="shared" si="569"/>
        <v>0</v>
      </c>
      <c r="BD218" s="35"/>
      <c r="BE218" s="35"/>
      <c r="BF218" s="35"/>
      <c r="BG218" s="35"/>
      <c r="BH218" s="35"/>
      <c r="BI218" s="35"/>
      <c r="BJ218" s="35"/>
      <c r="BK218" s="5">
        <f t="shared" si="570"/>
        <v>0</v>
      </c>
      <c r="BM218" s="35"/>
      <c r="BN218" s="35"/>
      <c r="BO218" s="35"/>
      <c r="BP218" s="35"/>
      <c r="BQ218" s="35"/>
      <c r="BR218" s="35"/>
      <c r="BS218" s="35"/>
      <c r="BT218" s="5">
        <f t="shared" si="571"/>
        <v>0</v>
      </c>
      <c r="BV218" s="35"/>
      <c r="BW218" s="35"/>
      <c r="BX218" s="35"/>
      <c r="BY218" s="35"/>
      <c r="BZ218" s="35"/>
      <c r="CA218" s="35"/>
      <c r="CB218" s="35"/>
      <c r="CC218" s="5">
        <f t="shared" si="573"/>
        <v>0</v>
      </c>
    </row>
    <row r="219" spans="1:81" ht="15.75" thickBot="1">
      <c r="A219" s="87" t="s">
        <v>195</v>
      </c>
      <c r="B219" s="88">
        <f>(B97+B103)-B211-B213-B214-B216-B215</f>
        <v>785097.173103548</v>
      </c>
      <c r="C219" s="88">
        <f t="shared" ref="C219:H219" si="574">(C97+C103)-C211-C213-C214-C216-C215</f>
        <v>-590931.8208483241</v>
      </c>
      <c r="D219" s="88">
        <f t="shared" si="574"/>
        <v>-46246.880000000005</v>
      </c>
      <c r="E219" s="88">
        <f t="shared" si="574"/>
        <v>0</v>
      </c>
      <c r="F219" s="88">
        <f t="shared" si="574"/>
        <v>0</v>
      </c>
      <c r="G219" s="88">
        <f t="shared" si="574"/>
        <v>0</v>
      </c>
      <c r="H219" s="88">
        <f t="shared" si="574"/>
        <v>0</v>
      </c>
      <c r="I219" s="88">
        <f>(I97+I103)-I211-I213-I214-I216-I215</f>
        <v>147918.47225522657</v>
      </c>
      <c r="J219" s="7"/>
      <c r="K219" s="88">
        <f>(K97+K103)-K211-K213-K214-K216-K215</f>
        <v>794242.34105684177</v>
      </c>
      <c r="L219" s="88">
        <f t="shared" ref="L219:R219" si="575">(L97+L103)-L211-L213-L214-L216-L215</f>
        <v>-514040.05345085013</v>
      </c>
      <c r="M219" s="88">
        <f t="shared" si="575"/>
        <v>-66691.401091481908</v>
      </c>
      <c r="N219" s="88">
        <f t="shared" si="575"/>
        <v>0</v>
      </c>
      <c r="O219" s="88">
        <f t="shared" si="575"/>
        <v>0</v>
      </c>
      <c r="P219" s="88">
        <f t="shared" si="575"/>
        <v>0</v>
      </c>
      <c r="Q219" s="88">
        <f t="shared" si="575"/>
        <v>0</v>
      </c>
      <c r="R219" s="88">
        <f t="shared" si="575"/>
        <v>213510.88651450863</v>
      </c>
      <c r="T219" s="88">
        <f>(T97+T103)-T211-T213-T214-T216-T215</f>
        <v>1016439.7969475854</v>
      </c>
      <c r="U219" s="88">
        <f t="shared" ref="U219:AA219" si="576">(U97+U103)-U211-U213-U214-U216-U215</f>
        <v>-470559.72445776756</v>
      </c>
      <c r="V219" s="88">
        <f t="shared" si="576"/>
        <v>-71705.864999999991</v>
      </c>
      <c r="W219" s="88">
        <f t="shared" si="576"/>
        <v>0</v>
      </c>
      <c r="X219" s="88">
        <f t="shared" si="576"/>
        <v>0</v>
      </c>
      <c r="Y219" s="88">
        <f t="shared" si="576"/>
        <v>0</v>
      </c>
      <c r="Z219" s="88">
        <f t="shared" si="576"/>
        <v>0</v>
      </c>
      <c r="AA219" s="88">
        <f t="shared" si="576"/>
        <v>474174.20748981833</v>
      </c>
      <c r="AC219" s="88">
        <f>(AC97+AC103)-AC211-AC213-AC214-AC216-AC215</f>
        <v>2467042.2814724538</v>
      </c>
      <c r="AD219" s="88">
        <f t="shared" ref="AD219:AJ219" si="577">(AD97+AD103)-AD211-AD213-AD214-AD216-AD215</f>
        <v>-981691.68518042541</v>
      </c>
      <c r="AE219" s="88">
        <f t="shared" si="577"/>
        <v>-125253.61999999988</v>
      </c>
      <c r="AF219" s="88">
        <f t="shared" si="577"/>
        <v>0</v>
      </c>
      <c r="AG219" s="88">
        <f t="shared" si="577"/>
        <v>0</v>
      </c>
      <c r="AH219" s="88">
        <f t="shared" si="577"/>
        <v>0</v>
      </c>
      <c r="AI219" s="88">
        <f t="shared" si="577"/>
        <v>0</v>
      </c>
      <c r="AJ219" s="88">
        <f t="shared" si="577"/>
        <v>1360096.9762920309</v>
      </c>
      <c r="AL219" s="88">
        <f>(AL97+AL103)-AL211-AL213-AL214-AL216-AL215</f>
        <v>2197279.4330755984</v>
      </c>
      <c r="AM219" s="88">
        <f t="shared" ref="AM219:AS219" si="578">(AM97+AM103)-AM211-AM213-AM214-AM216-AM215</f>
        <v>-1283327.5999823606</v>
      </c>
      <c r="AN219" s="88">
        <f t="shared" si="578"/>
        <v>-60960.271999999997</v>
      </c>
      <c r="AO219" s="88">
        <f t="shared" si="578"/>
        <v>0</v>
      </c>
      <c r="AP219" s="88">
        <f t="shared" si="578"/>
        <v>0</v>
      </c>
      <c r="AQ219" s="88">
        <f t="shared" si="578"/>
        <v>0</v>
      </c>
      <c r="AR219" s="88">
        <f t="shared" si="578"/>
        <v>0</v>
      </c>
      <c r="AS219" s="88">
        <f t="shared" si="578"/>
        <v>852991.56109323632</v>
      </c>
      <c r="AU219" s="88">
        <f>(AU97+AU103)-AU211-AU213-AU214-AU216-AU215</f>
        <v>379817.69469449017</v>
      </c>
      <c r="AV219" s="88">
        <f t="shared" ref="AV219:BB219" si="579">(AV97+AV103)-AV211-AV213-AV214-AV216-AV215</f>
        <v>-118895.80096394493</v>
      </c>
      <c r="AW219" s="88">
        <f t="shared" si="579"/>
        <v>-652.67999999999984</v>
      </c>
      <c r="AX219" s="88">
        <f t="shared" si="579"/>
        <v>0</v>
      </c>
      <c r="AY219" s="88">
        <f t="shared" si="579"/>
        <v>0</v>
      </c>
      <c r="AZ219" s="88">
        <f t="shared" si="579"/>
        <v>0</v>
      </c>
      <c r="BA219" s="88">
        <f t="shared" si="579"/>
        <v>0</v>
      </c>
      <c r="BB219" s="88">
        <f t="shared" si="579"/>
        <v>260269.21373054502</v>
      </c>
      <c r="BD219" s="88">
        <f>(BD97+BD103)-BD211-BD213-BD214-BD216-BD215</f>
        <v>966924.14086106</v>
      </c>
      <c r="BE219" s="88">
        <f t="shared" ref="BE219:BK219" si="580">(BE97+BE103)-BE211-BE213-BE214-BE216-BE215</f>
        <v>-606780.34397321427</v>
      </c>
      <c r="BF219" s="88">
        <f t="shared" si="580"/>
        <v>7634.1200000001118</v>
      </c>
      <c r="BG219" s="88">
        <f t="shared" si="580"/>
        <v>0</v>
      </c>
      <c r="BH219" s="88">
        <f t="shared" si="580"/>
        <v>0</v>
      </c>
      <c r="BI219" s="88">
        <f t="shared" si="580"/>
        <v>0</v>
      </c>
      <c r="BJ219" s="88">
        <f t="shared" si="580"/>
        <v>0</v>
      </c>
      <c r="BK219" s="88">
        <f t="shared" si="580"/>
        <v>367777.91688784544</v>
      </c>
      <c r="BM219" s="88">
        <f>(BM97+BM103)-BM211-BM213-BM214-BM216-BM215</f>
        <v>-456736.43728094705</v>
      </c>
      <c r="BN219" s="88">
        <f t="shared" ref="BN219:BT219" si="581">(BN97+BN103)-BN211-BN213-BN214-BN216-BN215</f>
        <v>0</v>
      </c>
      <c r="BO219" s="88">
        <f t="shared" si="581"/>
        <v>-28794.4375</v>
      </c>
      <c r="BP219" s="88">
        <f t="shared" si="581"/>
        <v>0</v>
      </c>
      <c r="BQ219" s="88">
        <f t="shared" si="581"/>
        <v>0</v>
      </c>
      <c r="BR219" s="88">
        <f t="shared" si="581"/>
        <v>0</v>
      </c>
      <c r="BS219" s="88">
        <f t="shared" si="581"/>
        <v>0</v>
      </c>
      <c r="BT219" s="88">
        <f t="shared" si="581"/>
        <v>-485530.87478094705</v>
      </c>
      <c r="BV219" s="88">
        <f>(BV97+BV103)-BV211-BV213-BV214-BV216-BV215</f>
        <v>8150106.4239306301</v>
      </c>
      <c r="BW219" s="88">
        <f t="shared" ref="BW219:CC219" si="582">(BW97+BW103)-BW211-BW213-BW214-BW216-BW215</f>
        <v>-4566227.0288568866</v>
      </c>
      <c r="BX219" s="88">
        <f t="shared" si="582"/>
        <v>-392671.03559148218</v>
      </c>
      <c r="BY219" s="88">
        <f t="shared" si="582"/>
        <v>0</v>
      </c>
      <c r="BZ219" s="88">
        <f t="shared" si="582"/>
        <v>0</v>
      </c>
      <c r="CA219" s="88">
        <f t="shared" si="582"/>
        <v>0</v>
      </c>
      <c r="CB219" s="88">
        <f t="shared" si="582"/>
        <v>0</v>
      </c>
      <c r="CC219" s="88">
        <f t="shared" si="582"/>
        <v>3191208.3594822884</v>
      </c>
    </row>
    <row r="220" spans="1:81">
      <c r="A220" s="89"/>
      <c r="B220" s="90">
        <f t="shared" ref="B220:I220" si="583">B219/(B97)</f>
        <v>8.2002891430306396E-2</v>
      </c>
      <c r="C220" s="90">
        <f t="shared" si="583"/>
        <v>-0.77036184069340241</v>
      </c>
      <c r="D220" s="90">
        <f t="shared" si="583"/>
        <v>-0.12510334233218426</v>
      </c>
      <c r="E220" s="90" t="e">
        <f t="shared" si="583"/>
        <v>#DIV/0!</v>
      </c>
      <c r="F220" s="90" t="e">
        <f t="shared" si="583"/>
        <v>#DIV/0!</v>
      </c>
      <c r="G220" s="90">
        <f t="shared" si="583"/>
        <v>0</v>
      </c>
      <c r="H220" s="90" t="e">
        <f t="shared" si="583"/>
        <v>#DIV/0!</v>
      </c>
      <c r="I220" s="90">
        <f t="shared" si="583"/>
        <v>1.3464550788855029E-2</v>
      </c>
      <c r="J220" s="7"/>
      <c r="K220" s="90">
        <f t="shared" ref="K220:R220" si="584">K219/(K97)</f>
        <v>7.529488916161188E-2</v>
      </c>
      <c r="L220" s="90">
        <f t="shared" si="584"/>
        <v>-1.0498969658521071</v>
      </c>
      <c r="M220" s="90">
        <f t="shared" si="584"/>
        <v>-0.2368981658786635</v>
      </c>
      <c r="N220" s="90" t="e">
        <f t="shared" si="584"/>
        <v>#DIV/0!</v>
      </c>
      <c r="O220" s="90" t="e">
        <f t="shared" si="584"/>
        <v>#DIV/0!</v>
      </c>
      <c r="P220" s="90">
        <f t="shared" si="584"/>
        <v>0</v>
      </c>
      <c r="Q220" s="90" t="e">
        <f t="shared" si="584"/>
        <v>#DIV/0!</v>
      </c>
      <c r="R220" s="90">
        <f t="shared" si="584"/>
        <v>1.7617060554573693E-2</v>
      </c>
      <c r="T220" s="90">
        <f t="shared" ref="T220:AA220" si="585">T219/(T97)</f>
        <v>7.9855789285789402E-2</v>
      </c>
      <c r="U220" s="90">
        <f t="shared" si="585"/>
        <v>-0.6513401144813058</v>
      </c>
      <c r="V220" s="90">
        <f t="shared" si="585"/>
        <v>-0.43468635216498824</v>
      </c>
      <c r="W220" s="90" t="e">
        <f t="shared" si="585"/>
        <v>#DIV/0!</v>
      </c>
      <c r="X220" s="90" t="e">
        <f t="shared" si="585"/>
        <v>#DIV/0!</v>
      </c>
      <c r="Y220" s="90">
        <f t="shared" si="585"/>
        <v>0</v>
      </c>
      <c r="Z220" s="90" t="e">
        <f t="shared" si="585"/>
        <v>#DIV/0!</v>
      </c>
      <c r="AA220" s="90">
        <f t="shared" si="585"/>
        <v>3.289255804344382E-2</v>
      </c>
      <c r="AC220" s="90">
        <f t="shared" ref="AC220:AJ220" si="586">AC219/(AC97)</f>
        <v>9.3615163074877994E-2</v>
      </c>
      <c r="AD220" s="90">
        <f t="shared" si="586"/>
        <v>-0.50770205235002175</v>
      </c>
      <c r="AE220" s="90">
        <f t="shared" si="586"/>
        <v>-0.14026811859515351</v>
      </c>
      <c r="AF220" s="90" t="e">
        <f t="shared" si="586"/>
        <v>#DIV/0!</v>
      </c>
      <c r="AG220" s="90" t="e">
        <f t="shared" si="586"/>
        <v>#DIV/0!</v>
      </c>
      <c r="AH220" s="90">
        <f t="shared" si="586"/>
        <v>0</v>
      </c>
      <c r="AI220" s="90" t="e">
        <f t="shared" si="586"/>
        <v>#DIV/0!</v>
      </c>
      <c r="AJ220" s="90">
        <f t="shared" si="586"/>
        <v>4.4696545930991885E-2</v>
      </c>
      <c r="AL220" s="90">
        <f t="shared" ref="AL220:AS220" si="587">AL219/(AL97)</f>
        <v>8.8344853889515296E-2</v>
      </c>
      <c r="AM220" s="90">
        <f t="shared" si="587"/>
        <v>-0.89721503592234098</v>
      </c>
      <c r="AN220" s="90">
        <f t="shared" si="587"/>
        <v>-0.10503929489393377</v>
      </c>
      <c r="AO220" s="90" t="e">
        <f t="shared" si="587"/>
        <v>#DIV/0!</v>
      </c>
      <c r="AP220" s="90" t="e">
        <f t="shared" si="587"/>
        <v>#DIV/0!</v>
      </c>
      <c r="AQ220" s="90">
        <f t="shared" si="587"/>
        <v>0</v>
      </c>
      <c r="AR220" s="90" t="e">
        <f t="shared" si="587"/>
        <v>#DIV/0!</v>
      </c>
      <c r="AS220" s="90">
        <f t="shared" si="587"/>
        <v>2.9533346218706253E-2</v>
      </c>
      <c r="AU220" s="90">
        <f t="shared" ref="AU220:BB220" si="588">AU219/(AU97)</f>
        <v>0.24782913130811546</v>
      </c>
      <c r="AV220" s="90">
        <f t="shared" si="588"/>
        <v>-1.1118234076918165</v>
      </c>
      <c r="AW220" s="90">
        <f t="shared" si="588"/>
        <v>-0.29907621247113153</v>
      </c>
      <c r="AX220" s="90" t="e">
        <f t="shared" si="588"/>
        <v>#DIV/0!</v>
      </c>
      <c r="AY220" s="90" t="e">
        <f t="shared" si="588"/>
        <v>#DIV/0!</v>
      </c>
      <c r="AZ220" s="90" t="e">
        <f t="shared" si="588"/>
        <v>#DIV/0!</v>
      </c>
      <c r="BA220" s="90" t="e">
        <f t="shared" si="588"/>
        <v>#DIV/0!</v>
      </c>
      <c r="BB220" s="90">
        <f t="shared" si="588"/>
        <v>0.15853651214962863</v>
      </c>
      <c r="BD220" s="90">
        <f t="shared" ref="BD220:BK220" si="589">BD219/(BD97)</f>
        <v>0.16050676686559834</v>
      </c>
      <c r="BE220" s="90">
        <f t="shared" si="589"/>
        <v>-3.3933763662426446</v>
      </c>
      <c r="BF220" s="90">
        <f t="shared" si="589"/>
        <v>1.1751652298057844E-2</v>
      </c>
      <c r="BG220" s="90" t="e">
        <f t="shared" si="589"/>
        <v>#DIV/0!</v>
      </c>
      <c r="BH220" s="90" t="e">
        <f t="shared" si="589"/>
        <v>#DIV/0!</v>
      </c>
      <c r="BI220" s="90">
        <f t="shared" si="589"/>
        <v>0</v>
      </c>
      <c r="BJ220" s="90" t="e">
        <f t="shared" si="589"/>
        <v>#DIV/0!</v>
      </c>
      <c r="BK220" s="90">
        <f t="shared" si="589"/>
        <v>5.328084168631695E-2</v>
      </c>
      <c r="BM220" s="90" t="e">
        <f t="shared" ref="BM220:BT220" si="590">BM219/(BM97)</f>
        <v>#DIV/0!</v>
      </c>
      <c r="BN220" s="90" t="e">
        <f t="shared" si="590"/>
        <v>#DIV/0!</v>
      </c>
      <c r="BO220" s="90" t="e">
        <f t="shared" si="590"/>
        <v>#DIV/0!</v>
      </c>
      <c r="BP220" s="90" t="e">
        <f t="shared" si="590"/>
        <v>#DIV/0!</v>
      </c>
      <c r="BQ220" s="90" t="e">
        <f t="shared" si="590"/>
        <v>#DIV/0!</v>
      </c>
      <c r="BR220" s="90" t="e">
        <f t="shared" si="590"/>
        <v>#DIV/0!</v>
      </c>
      <c r="BS220" s="90" t="e">
        <f t="shared" si="590"/>
        <v>#DIV/0!</v>
      </c>
      <c r="BT220" s="90" t="e">
        <f t="shared" si="590"/>
        <v>#DIV/0!</v>
      </c>
      <c r="BV220" s="90">
        <f t="shared" ref="BV220:CC220" si="591">BV219/(BV97)</f>
        <v>8.8943601895433808E-2</v>
      </c>
      <c r="BW220" s="90">
        <f t="shared" si="591"/>
        <v>-0.81122040853485733</v>
      </c>
      <c r="BX220" s="90">
        <f t="shared" si="591"/>
        <v>-0.13350402341975762</v>
      </c>
      <c r="BY220" s="90" t="e">
        <f t="shared" si="591"/>
        <v>#DIV/0!</v>
      </c>
      <c r="BZ220" s="90" t="e">
        <f t="shared" si="591"/>
        <v>#DIV/0!</v>
      </c>
      <c r="CA220" s="90">
        <f t="shared" si="591"/>
        <v>0</v>
      </c>
      <c r="CB220" s="90" t="e">
        <f t="shared" si="591"/>
        <v>#DIV/0!</v>
      </c>
      <c r="CC220" s="90">
        <f t="shared" si="591"/>
        <v>3.0283612740991058E-2</v>
      </c>
    </row>
    <row r="221" spans="1:81">
      <c r="B221" s="91"/>
      <c r="C221" s="91"/>
      <c r="D221" s="91"/>
      <c r="E221" s="91"/>
      <c r="F221" s="91"/>
      <c r="G221" s="91"/>
      <c r="H221" s="91"/>
      <c r="I221" s="91"/>
      <c r="K221" s="91"/>
      <c r="L221" s="91"/>
      <c r="M221" s="91"/>
      <c r="N221" s="91"/>
      <c r="O221" s="91"/>
      <c r="P221" s="91"/>
      <c r="Q221" s="91"/>
      <c r="R221" s="91"/>
      <c r="T221" s="91"/>
      <c r="U221" s="91"/>
      <c r="V221" s="91"/>
      <c r="W221" s="91"/>
      <c r="X221" s="91"/>
      <c r="Y221" s="91"/>
      <c r="Z221" s="91"/>
      <c r="AA221" s="91"/>
      <c r="AC221" s="91"/>
      <c r="AD221" s="91"/>
      <c r="AE221" s="91"/>
      <c r="AF221" s="91"/>
      <c r="AG221" s="91"/>
      <c r="AH221" s="91"/>
      <c r="AI221" s="91"/>
      <c r="AJ221" s="91"/>
      <c r="AL221" s="91"/>
      <c r="AM221" s="91"/>
      <c r="AN221" s="91"/>
      <c r="AO221" s="91"/>
      <c r="AP221" s="91"/>
      <c r="AQ221" s="91"/>
      <c r="AR221" s="91"/>
      <c r="AS221" s="91"/>
      <c r="AU221" s="91"/>
      <c r="AV221" s="91"/>
      <c r="AW221" s="91"/>
      <c r="AX221" s="91"/>
      <c r="AY221" s="91"/>
      <c r="AZ221" s="91"/>
      <c r="BA221" s="91"/>
      <c r="BB221" s="91"/>
      <c r="BD221" s="91"/>
      <c r="BE221" s="91"/>
      <c r="BF221" s="91"/>
      <c r="BG221" s="91"/>
      <c r="BH221" s="91"/>
      <c r="BI221" s="91"/>
      <c r="BJ221" s="91"/>
      <c r="BK221" s="91"/>
      <c r="BM221" s="91"/>
      <c r="BN221" s="91"/>
      <c r="BO221" s="91"/>
      <c r="BP221" s="91"/>
      <c r="BQ221" s="91"/>
      <c r="BR221" s="91"/>
      <c r="BS221" s="91"/>
      <c r="BT221" s="91"/>
      <c r="BV221" s="91"/>
      <c r="BW221" s="91"/>
      <c r="BX221" s="91"/>
      <c r="BY221" s="91"/>
      <c r="BZ221" s="91"/>
      <c r="CA221" s="91"/>
      <c r="CB221" s="91"/>
      <c r="CC221" s="91"/>
    </row>
    <row r="222" spans="1:81" ht="15">
      <c r="A222" s="1" t="str">
        <f t="shared" ref="A222:I222" si="592">A1</f>
        <v>Pinecrest Academy of Nevada - FY29</v>
      </c>
      <c r="B222" s="1" t="str">
        <f t="shared" si="592"/>
        <v>Operating</v>
      </c>
      <c r="C222" s="1" t="str">
        <f t="shared" si="592"/>
        <v>SPED</v>
      </c>
      <c r="D222" s="1" t="str">
        <f t="shared" si="592"/>
        <v>NSLP</v>
      </c>
      <c r="E222" s="1" t="str">
        <f t="shared" si="592"/>
        <v>Other</v>
      </c>
      <c r="F222" s="1" t="str">
        <f t="shared" si="592"/>
        <v>Title I</v>
      </c>
      <c r="G222" s="1" t="str">
        <f t="shared" si="592"/>
        <v>SGF</v>
      </c>
      <c r="H222" s="1" t="str">
        <f t="shared" si="592"/>
        <v>Title III</v>
      </c>
      <c r="I222" s="1" t="str">
        <f t="shared" si="592"/>
        <v>Horizon</v>
      </c>
      <c r="J222" s="2"/>
      <c r="K222" s="1" t="str">
        <f t="shared" ref="K222:R222" si="593">K1</f>
        <v>Operating</v>
      </c>
      <c r="L222" s="1" t="str">
        <f t="shared" si="593"/>
        <v>SPED</v>
      </c>
      <c r="M222" s="1" t="str">
        <f t="shared" si="593"/>
        <v>NSLP</v>
      </c>
      <c r="N222" s="1" t="str">
        <f t="shared" si="593"/>
        <v>Other</v>
      </c>
      <c r="O222" s="1" t="str">
        <f t="shared" si="593"/>
        <v>Title I</v>
      </c>
      <c r="P222" s="1" t="str">
        <f t="shared" si="593"/>
        <v>SGF</v>
      </c>
      <c r="Q222" s="1" t="str">
        <f t="shared" si="593"/>
        <v>Title III</v>
      </c>
      <c r="R222" s="1" t="str">
        <f t="shared" si="593"/>
        <v>St. Rose</v>
      </c>
      <c r="T222" s="1" t="str">
        <f t="shared" ref="T222:AA222" si="594">T1</f>
        <v>Operating</v>
      </c>
      <c r="U222" s="1" t="str">
        <f t="shared" si="594"/>
        <v>SPED</v>
      </c>
      <c r="V222" s="1" t="str">
        <f t="shared" si="594"/>
        <v>NSLP</v>
      </c>
      <c r="W222" s="1" t="str">
        <f t="shared" si="594"/>
        <v>Other</v>
      </c>
      <c r="X222" s="1" t="str">
        <f t="shared" si="594"/>
        <v>Title I</v>
      </c>
      <c r="Y222" s="1" t="str">
        <f t="shared" si="594"/>
        <v>SGF</v>
      </c>
      <c r="Z222" s="1" t="str">
        <f t="shared" si="594"/>
        <v>Title III</v>
      </c>
      <c r="AA222" s="1" t="str">
        <f t="shared" si="594"/>
        <v>Inspirada</v>
      </c>
      <c r="AC222" s="1" t="str">
        <f t="shared" ref="AC222:AJ222" si="595">AC1</f>
        <v>Operating</v>
      </c>
      <c r="AD222" s="1" t="str">
        <f t="shared" si="595"/>
        <v>SPED</v>
      </c>
      <c r="AE222" s="1" t="str">
        <f t="shared" si="595"/>
        <v>NSLP</v>
      </c>
      <c r="AF222" s="1" t="str">
        <f t="shared" si="595"/>
        <v>Other</v>
      </c>
      <c r="AG222" s="1" t="str">
        <f t="shared" si="595"/>
        <v>Title I</v>
      </c>
      <c r="AH222" s="1" t="str">
        <f t="shared" si="595"/>
        <v>SGF</v>
      </c>
      <c r="AI222" s="1" t="str">
        <f t="shared" si="595"/>
        <v>Title III</v>
      </c>
      <c r="AJ222" s="1" t="str">
        <f t="shared" si="595"/>
        <v>Cadence</v>
      </c>
      <c r="AL222" s="1" t="str">
        <f t="shared" ref="AL222:AS222" si="596">AL1</f>
        <v>Operating</v>
      </c>
      <c r="AM222" s="1" t="str">
        <f t="shared" si="596"/>
        <v>SPED</v>
      </c>
      <c r="AN222" s="1" t="str">
        <f t="shared" si="596"/>
        <v>NSLP</v>
      </c>
      <c r="AO222" s="1" t="str">
        <f t="shared" si="596"/>
        <v>Other</v>
      </c>
      <c r="AP222" s="1" t="str">
        <f t="shared" si="596"/>
        <v>Title I</v>
      </c>
      <c r="AQ222" s="1" t="str">
        <f t="shared" si="596"/>
        <v>SGF</v>
      </c>
      <c r="AR222" s="1" t="str">
        <f t="shared" si="596"/>
        <v>Title III</v>
      </c>
      <c r="AS222" s="1" t="str">
        <f t="shared" si="596"/>
        <v>Sloan</v>
      </c>
      <c r="AU222" s="1" t="str">
        <f t="shared" ref="AU222:BB222" si="597">AU1</f>
        <v>Operating</v>
      </c>
      <c r="AV222" s="1" t="str">
        <f t="shared" si="597"/>
        <v>SPED</v>
      </c>
      <c r="AW222" s="1" t="str">
        <f t="shared" si="597"/>
        <v>NSLP</v>
      </c>
      <c r="AX222" s="1" t="str">
        <f t="shared" si="597"/>
        <v>Other</v>
      </c>
      <c r="AY222" s="1" t="str">
        <f t="shared" si="597"/>
        <v>Title I</v>
      </c>
      <c r="AZ222" s="1" t="str">
        <f t="shared" si="597"/>
        <v>SGF</v>
      </c>
      <c r="BA222" s="1" t="str">
        <f t="shared" si="597"/>
        <v>Title III</v>
      </c>
      <c r="BB222" s="1" t="str">
        <f t="shared" si="597"/>
        <v>Virtual</v>
      </c>
      <c r="BD222" s="1" t="str">
        <f t="shared" ref="BD222:BK222" si="598">BD1</f>
        <v>Operating</v>
      </c>
      <c r="BE222" s="1" t="str">
        <f t="shared" si="598"/>
        <v>SPED</v>
      </c>
      <c r="BF222" s="1" t="str">
        <f t="shared" si="598"/>
        <v>NSLP</v>
      </c>
      <c r="BG222" s="1" t="str">
        <f t="shared" si="598"/>
        <v>Other</v>
      </c>
      <c r="BH222" s="1" t="str">
        <f t="shared" si="598"/>
        <v>Title I</v>
      </c>
      <c r="BI222" s="1" t="str">
        <f t="shared" si="598"/>
        <v>SGF</v>
      </c>
      <c r="BJ222" s="1" t="str">
        <f t="shared" si="598"/>
        <v>Title III</v>
      </c>
      <c r="BK222" s="1" t="str">
        <f t="shared" si="598"/>
        <v>Springs</v>
      </c>
      <c r="BM222" s="1" t="str">
        <f t="shared" ref="BM222:BT222" si="599">BM1</f>
        <v>Operating</v>
      </c>
      <c r="BN222" s="1" t="str">
        <f t="shared" si="599"/>
        <v>SPED</v>
      </c>
      <c r="BO222" s="1" t="str">
        <f t="shared" si="599"/>
        <v>NSLP</v>
      </c>
      <c r="BP222" s="1" t="str">
        <f t="shared" si="599"/>
        <v>Other</v>
      </c>
      <c r="BQ222" s="1" t="str">
        <f t="shared" si="599"/>
        <v>Title I</v>
      </c>
      <c r="BR222" s="1" t="str">
        <f t="shared" si="599"/>
        <v>SGF</v>
      </c>
      <c r="BS222" s="1" t="str">
        <f t="shared" si="599"/>
        <v>Title III</v>
      </c>
      <c r="BT222" s="1" t="str">
        <f t="shared" si="599"/>
        <v>Exec. Office</v>
      </c>
      <c r="BV222" s="1" t="str">
        <f t="shared" ref="BV222:CC222" si="600">BV1</f>
        <v>Operating</v>
      </c>
      <c r="BW222" s="1" t="str">
        <f t="shared" si="600"/>
        <v>SPED</v>
      </c>
      <c r="BX222" s="1" t="str">
        <f t="shared" si="600"/>
        <v>NSLP</v>
      </c>
      <c r="BY222" s="1" t="str">
        <f t="shared" si="600"/>
        <v>Other</v>
      </c>
      <c r="BZ222" s="1" t="str">
        <f t="shared" si="600"/>
        <v>Title I</v>
      </c>
      <c r="CA222" s="1" t="str">
        <f t="shared" si="600"/>
        <v>SGF</v>
      </c>
      <c r="CB222" s="1" t="str">
        <f t="shared" si="600"/>
        <v>Title III</v>
      </c>
      <c r="CC222" s="1" t="str">
        <f t="shared" si="600"/>
        <v>Systemwide</v>
      </c>
    </row>
    <row r="224" spans="1:81" s="14" customFormat="1">
      <c r="A224" s="7"/>
      <c r="B224" s="92"/>
      <c r="C224" s="92"/>
      <c r="D224" s="92"/>
      <c r="E224" s="92"/>
      <c r="F224" s="92"/>
      <c r="G224" s="92"/>
      <c r="H224" s="92"/>
      <c r="I224" s="92"/>
      <c r="K224" s="92"/>
      <c r="L224" s="92"/>
      <c r="M224" s="92"/>
      <c r="N224" s="92"/>
      <c r="O224" s="92"/>
      <c r="P224" s="92"/>
      <c r="Q224" s="92"/>
      <c r="R224" s="92"/>
      <c r="T224" s="92"/>
      <c r="U224" s="92"/>
      <c r="V224" s="92"/>
      <c r="W224" s="92"/>
      <c r="X224" s="92"/>
      <c r="Y224" s="92"/>
      <c r="Z224" s="92"/>
      <c r="AA224" s="92"/>
      <c r="AC224" s="92"/>
      <c r="AD224" s="92"/>
      <c r="AE224" s="92"/>
      <c r="AF224" s="92"/>
      <c r="AG224" s="92"/>
      <c r="AH224" s="92"/>
      <c r="AI224" s="92"/>
      <c r="AJ224" s="92"/>
      <c r="AL224" s="92"/>
      <c r="AM224" s="92"/>
      <c r="AN224" s="92"/>
      <c r="AO224" s="92"/>
      <c r="AP224" s="92"/>
      <c r="AQ224" s="92"/>
      <c r="AR224" s="92"/>
      <c r="AS224" s="92"/>
      <c r="AU224" s="92"/>
      <c r="AV224" s="92"/>
      <c r="AW224" s="92"/>
      <c r="AX224" s="92"/>
      <c r="AY224" s="92"/>
      <c r="AZ224" s="92"/>
      <c r="BA224" s="92"/>
      <c r="BB224" s="92"/>
      <c r="BD224" s="92"/>
      <c r="BE224" s="92"/>
      <c r="BF224" s="92"/>
      <c r="BG224" s="92"/>
      <c r="BH224" s="92"/>
      <c r="BI224" s="92"/>
      <c r="BJ224" s="92"/>
      <c r="BK224" s="92"/>
      <c r="BM224" s="92"/>
      <c r="BN224" s="92"/>
      <c r="BO224" s="92"/>
      <c r="BP224" s="92"/>
      <c r="BQ224" s="92"/>
      <c r="BR224" s="92"/>
      <c r="BS224" s="92"/>
      <c r="BT224" s="92"/>
      <c r="BV224" s="92"/>
      <c r="BW224" s="92"/>
      <c r="BX224" s="92"/>
      <c r="BY224" s="92"/>
      <c r="BZ224" s="92"/>
      <c r="CA224" s="92"/>
      <c r="CB224" s="92"/>
      <c r="CC224" s="92"/>
    </row>
    <row r="225" spans="1:81" s="14" customFormat="1">
      <c r="A225" s="7"/>
      <c r="B225" s="137"/>
      <c r="C225" s="138"/>
      <c r="D225" s="138"/>
      <c r="E225" s="139"/>
      <c r="F225" s="95"/>
      <c r="G225" s="95"/>
      <c r="H225" s="95"/>
      <c r="I225" s="95"/>
      <c r="K225" s="92"/>
      <c r="L225" s="95"/>
      <c r="M225" s="95"/>
      <c r="N225" s="95"/>
      <c r="O225" s="95"/>
      <c r="P225" s="95"/>
      <c r="Q225" s="95"/>
      <c r="R225" s="95"/>
      <c r="S225" s="7"/>
      <c r="T225" s="92"/>
      <c r="U225" s="95"/>
      <c r="V225" s="95"/>
      <c r="W225" s="95"/>
      <c r="X225" s="95"/>
      <c r="Y225" s="95"/>
      <c r="Z225" s="95"/>
      <c r="AA225" s="95"/>
      <c r="AB225" s="7"/>
      <c r="AC225" s="92"/>
      <c r="AD225" s="95"/>
      <c r="AE225" s="95"/>
      <c r="AF225" s="95"/>
      <c r="AG225" s="95"/>
      <c r="AH225" s="95"/>
      <c r="AI225" s="95"/>
      <c r="AJ225" s="95"/>
      <c r="AK225" s="7"/>
      <c r="AL225" s="92"/>
      <c r="AM225" s="95"/>
      <c r="AN225" s="95"/>
      <c r="AO225" s="95"/>
      <c r="AP225" s="95"/>
      <c r="AQ225" s="95"/>
      <c r="AR225" s="95"/>
      <c r="AS225" s="95"/>
      <c r="AT225" s="7"/>
      <c r="AU225" s="92"/>
      <c r="AV225" s="95"/>
      <c r="AW225" s="95"/>
      <c r="AX225" s="95"/>
      <c r="AY225" s="95"/>
      <c r="AZ225" s="95"/>
      <c r="BA225" s="95"/>
      <c r="BB225" s="95"/>
      <c r="BC225" s="7"/>
      <c r="BD225" s="92"/>
      <c r="BE225" s="95"/>
      <c r="BF225" s="95"/>
      <c r="BG225" s="95"/>
      <c r="BH225" s="95"/>
      <c r="BI225" s="95"/>
      <c r="BJ225" s="95"/>
      <c r="BK225" s="95"/>
      <c r="BL225" s="7"/>
      <c r="BM225" s="92"/>
      <c r="BN225" s="95"/>
      <c r="BO225" s="95"/>
      <c r="BP225" s="95"/>
      <c r="BQ225" s="95"/>
      <c r="BR225" s="95"/>
      <c r="BS225" s="95"/>
      <c r="BT225" s="95"/>
      <c r="BU225" s="7"/>
      <c r="BV225" s="92"/>
      <c r="BW225" s="95"/>
      <c r="BX225" s="95"/>
      <c r="BY225" s="95"/>
      <c r="BZ225" s="95"/>
      <c r="CA225" s="95"/>
      <c r="CB225" s="95"/>
      <c r="CC225" s="95"/>
    </row>
    <row r="226" spans="1:81">
      <c r="B226" s="139"/>
      <c r="C226" s="138"/>
      <c r="D226" s="138"/>
      <c r="E226" s="139"/>
    </row>
    <row r="227" spans="1:81">
      <c r="B227" s="139"/>
      <c r="C227" s="138"/>
      <c r="D227" s="138"/>
      <c r="E227" s="138"/>
    </row>
  </sheetData>
  <pageMargins left="0.7" right="0.7" top="0.75" bottom="0.75" header="0.3" footer="0.3"/>
  <pageSetup scale="42" fitToHeight="0" orientation="portrait" r:id="rId1"/>
  <rowBreaks count="2" manualBreakCount="2">
    <brk id="80" max="9" man="1"/>
    <brk id="170" max="9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0"/>
  <sheetViews>
    <sheetView tabSelected="1" zoomScale="75" zoomScaleNormal="75" workbookViewId="0">
      <pane xSplit="1" ySplit="1" topLeftCell="B158" activePane="bottomRight" state="frozen"/>
      <selection activeCell="E165" sqref="E164:E165"/>
      <selection pane="topRight" activeCell="E165" sqref="E164:E165"/>
      <selection pane="bottomLeft" activeCell="E165" sqref="E164:E165"/>
      <selection pane="bottomRight" activeCell="A184" sqref="A184"/>
    </sheetView>
  </sheetViews>
  <sheetFormatPr defaultColWidth="8.625" defaultRowHeight="14.25"/>
  <cols>
    <col min="1" max="1" width="56.5" style="7" customWidth="1"/>
    <col min="2" max="7" width="15.625" style="92" customWidth="1"/>
    <col min="8" max="16384" width="8.625" style="7"/>
  </cols>
  <sheetData>
    <row r="1" spans="1:14" s="3" customFormat="1" ht="15">
      <c r="A1" s="1" t="s">
        <v>266</v>
      </c>
      <c r="B1" s="1" t="s">
        <v>257</v>
      </c>
      <c r="C1" s="1" t="s">
        <v>258</v>
      </c>
      <c r="D1" s="1" t="s">
        <v>259</v>
      </c>
      <c r="E1" s="1" t="s">
        <v>260</v>
      </c>
      <c r="F1" s="1" t="s">
        <v>261</v>
      </c>
      <c r="G1" s="1" t="s">
        <v>262</v>
      </c>
    </row>
    <row r="2" spans="1:14">
      <c r="A2" s="4" t="s">
        <v>7</v>
      </c>
      <c r="B2" s="5">
        <f>'23-24'!CC2</f>
        <v>8966</v>
      </c>
      <c r="C2" s="5">
        <f>'24-25'!CC2</f>
        <v>9414</v>
      </c>
      <c r="D2" s="5">
        <f>'25-26'!CC2</f>
        <v>9555</v>
      </c>
      <c r="E2" s="5">
        <f>'26-27'!CC2</f>
        <v>9700</v>
      </c>
      <c r="F2" s="5">
        <f>'27-28'!CC2</f>
        <v>9850</v>
      </c>
      <c r="G2" s="5">
        <f>'28-29'!CC2</f>
        <v>9998</v>
      </c>
      <c r="J2" s="140">
        <f>(C2-B2)/B2</f>
        <v>4.9966540263216598E-2</v>
      </c>
      <c r="K2" s="140">
        <f t="shared" ref="K2:N2" si="0">(D2-C2)/C2</f>
        <v>1.4977692797960485E-2</v>
      </c>
      <c r="L2" s="140">
        <f t="shared" si="0"/>
        <v>1.5175300889586603E-2</v>
      </c>
      <c r="M2" s="140">
        <f t="shared" si="0"/>
        <v>1.5463917525773196E-2</v>
      </c>
      <c r="N2" s="140">
        <f t="shared" si="0"/>
        <v>1.5025380710659899E-2</v>
      </c>
    </row>
    <row r="3" spans="1:14" ht="15">
      <c r="A3" s="8" t="s">
        <v>8</v>
      </c>
      <c r="B3" s="9">
        <f t="shared" ref="B3:G3" si="1">B4+B5+B6+B7+B8+B9+B10+B11+B12+B13+B14+B15+B16</f>
        <v>7858</v>
      </c>
      <c r="C3" s="9">
        <f t="shared" si="1"/>
        <v>8130</v>
      </c>
      <c r="D3" s="9">
        <f t="shared" si="1"/>
        <v>8421</v>
      </c>
      <c r="E3" s="9">
        <f t="shared" si="1"/>
        <v>8654</v>
      </c>
      <c r="F3" s="9">
        <f t="shared" si="1"/>
        <v>8791</v>
      </c>
      <c r="G3" s="9">
        <f t="shared" si="1"/>
        <v>8866</v>
      </c>
    </row>
    <row r="4" spans="1:14">
      <c r="A4" s="10" t="s">
        <v>9</v>
      </c>
      <c r="B4" s="5">
        <f>'23-24'!CC4</f>
        <v>682</v>
      </c>
      <c r="C4" s="5">
        <f>'24-25'!CC4</f>
        <v>695</v>
      </c>
      <c r="D4" s="5">
        <f>'25-26'!CC4</f>
        <v>700</v>
      </c>
      <c r="E4" s="5">
        <f>'26-27'!CC4</f>
        <v>700</v>
      </c>
      <c r="F4" s="5">
        <f>'27-28'!CC4</f>
        <v>700</v>
      </c>
      <c r="G4" s="5">
        <f>'28-29'!CC4</f>
        <v>700</v>
      </c>
      <c r="I4" s="142">
        <f>'23-24'!CD4</f>
        <v>28</v>
      </c>
      <c r="J4" s="142">
        <f>'24-25'!CD4</f>
        <v>28</v>
      </c>
      <c r="K4" s="142">
        <f>'25-26'!CD4</f>
        <v>28</v>
      </c>
      <c r="L4" s="142">
        <f>'26-27'!CD4</f>
        <v>28</v>
      </c>
      <c r="M4" s="142">
        <f>'27-28'!CD4</f>
        <v>28</v>
      </c>
      <c r="N4" s="142">
        <f>'28-29'!CD4</f>
        <v>28</v>
      </c>
    </row>
    <row r="5" spans="1:14">
      <c r="A5" s="8" t="s">
        <v>10</v>
      </c>
      <c r="B5" s="5">
        <f>'23-24'!CC5</f>
        <v>677</v>
      </c>
      <c r="C5" s="5">
        <f>'24-25'!CC5</f>
        <v>712</v>
      </c>
      <c r="D5" s="5">
        <f>'25-26'!CC5</f>
        <v>720</v>
      </c>
      <c r="E5" s="5">
        <f>'26-27'!CC5</f>
        <v>720</v>
      </c>
      <c r="F5" s="5">
        <f>'27-28'!CC5</f>
        <v>720</v>
      </c>
      <c r="G5" s="5">
        <f>'28-29'!CC5</f>
        <v>720</v>
      </c>
      <c r="I5" s="142">
        <f>'23-24'!CD5</f>
        <v>27</v>
      </c>
      <c r="J5" s="142">
        <f>'24-25'!CD5</f>
        <v>28</v>
      </c>
      <c r="K5" s="142">
        <f>'25-26'!CD5</f>
        <v>28</v>
      </c>
      <c r="L5" s="142">
        <f>'26-27'!CD5</f>
        <v>28</v>
      </c>
      <c r="M5" s="142">
        <f>'27-28'!CD5</f>
        <v>28</v>
      </c>
      <c r="N5" s="142">
        <f>'28-29'!CD5</f>
        <v>28</v>
      </c>
    </row>
    <row r="6" spans="1:14">
      <c r="A6" s="8" t="s">
        <v>11</v>
      </c>
      <c r="B6" s="5">
        <f>'23-24'!CC6</f>
        <v>707</v>
      </c>
      <c r="C6" s="5">
        <f>'24-25'!CC6</f>
        <v>704</v>
      </c>
      <c r="D6" s="5">
        <f>'25-26'!CC6</f>
        <v>734</v>
      </c>
      <c r="E6" s="5">
        <f>'26-27'!CC6</f>
        <v>734</v>
      </c>
      <c r="F6" s="5">
        <f>'27-28'!CC6</f>
        <v>734</v>
      </c>
      <c r="G6" s="5">
        <f>'28-29'!CC6</f>
        <v>734</v>
      </c>
      <c r="I6" s="142">
        <f>'23-24'!CD6</f>
        <v>27</v>
      </c>
      <c r="J6" s="142">
        <f>'24-25'!CD6</f>
        <v>27</v>
      </c>
      <c r="K6" s="142">
        <f>'25-26'!CD6</f>
        <v>28</v>
      </c>
      <c r="L6" s="142">
        <f>'26-27'!CD6</f>
        <v>28</v>
      </c>
      <c r="M6" s="142">
        <f>'27-28'!CD6</f>
        <v>28</v>
      </c>
      <c r="N6" s="142">
        <f>'28-29'!CD6</f>
        <v>28</v>
      </c>
    </row>
    <row r="7" spans="1:14">
      <c r="A7" s="13" t="s">
        <v>12</v>
      </c>
      <c r="B7" s="5">
        <f>'23-24'!CC7</f>
        <v>668</v>
      </c>
      <c r="C7" s="5">
        <f>'24-25'!CC7</f>
        <v>708</v>
      </c>
      <c r="D7" s="5">
        <f>'25-26'!CC7</f>
        <v>716</v>
      </c>
      <c r="E7" s="5">
        <f>'26-27'!CC7</f>
        <v>743</v>
      </c>
      <c r="F7" s="5">
        <f>'27-28'!CC7</f>
        <v>743</v>
      </c>
      <c r="G7" s="5">
        <f>'28-29'!CC7</f>
        <v>743</v>
      </c>
      <c r="I7" s="142">
        <f>'23-24'!CD7</f>
        <v>25</v>
      </c>
      <c r="J7" s="142">
        <f>'24-25'!CD7</f>
        <v>27</v>
      </c>
      <c r="K7" s="142">
        <f>'25-26'!CD7</f>
        <v>27</v>
      </c>
      <c r="L7" s="142">
        <f>'26-27'!CD7</f>
        <v>28</v>
      </c>
      <c r="M7" s="142">
        <f>'27-28'!CD7</f>
        <v>28</v>
      </c>
      <c r="N7" s="142">
        <f>'28-29'!CD7</f>
        <v>28</v>
      </c>
    </row>
    <row r="8" spans="1:14">
      <c r="A8" s="13" t="s">
        <v>13</v>
      </c>
      <c r="B8" s="5">
        <f>'23-24'!CC8</f>
        <v>714</v>
      </c>
      <c r="C8" s="5">
        <f>'24-25'!CC8</f>
        <v>673</v>
      </c>
      <c r="D8" s="5">
        <f>'25-26'!CC8</f>
        <v>721</v>
      </c>
      <c r="E8" s="5">
        <f>'26-27'!CC8</f>
        <v>721</v>
      </c>
      <c r="F8" s="5">
        <f>'27-28'!CC8</f>
        <v>748</v>
      </c>
      <c r="G8" s="5">
        <f>'28-29'!CC8</f>
        <v>748</v>
      </c>
      <c r="I8" s="142">
        <f>'23-24'!CD8</f>
        <v>27</v>
      </c>
      <c r="J8" s="142">
        <f>'24-25'!CD8</f>
        <v>25</v>
      </c>
      <c r="K8" s="142">
        <f>'25-26'!CD8</f>
        <v>27</v>
      </c>
      <c r="L8" s="142">
        <f>'26-27'!CD8</f>
        <v>27</v>
      </c>
      <c r="M8" s="142">
        <f>'27-28'!CD8</f>
        <v>28</v>
      </c>
      <c r="N8" s="142">
        <f>'28-29'!CD8</f>
        <v>28</v>
      </c>
    </row>
    <row r="9" spans="1:14">
      <c r="A9" s="13" t="s">
        <v>14</v>
      </c>
      <c r="B9" s="5">
        <f>'23-24'!CC9</f>
        <v>708</v>
      </c>
      <c r="C9" s="5">
        <f>'24-25'!CC9</f>
        <v>725</v>
      </c>
      <c r="D9" s="5">
        <f>'25-26'!CC9</f>
        <v>719</v>
      </c>
      <c r="E9" s="5">
        <f>'26-27'!CC9</f>
        <v>763</v>
      </c>
      <c r="F9" s="5">
        <f>'27-28'!CC9</f>
        <v>763</v>
      </c>
      <c r="G9" s="5">
        <f>'28-29'!CC9</f>
        <v>790</v>
      </c>
      <c r="I9" s="142">
        <f>'23-24'!CD9</f>
        <v>26</v>
      </c>
      <c r="J9" s="142">
        <f>'24-25'!CD9</f>
        <v>27</v>
      </c>
      <c r="K9" s="142">
        <f>'25-26'!CD9</f>
        <v>26</v>
      </c>
      <c r="L9" s="142">
        <f>'26-27'!CD9</f>
        <v>28</v>
      </c>
      <c r="M9" s="142">
        <f>'27-28'!CD9</f>
        <v>28</v>
      </c>
      <c r="N9" s="142">
        <f>'28-29'!CD9</f>
        <v>29</v>
      </c>
    </row>
    <row r="10" spans="1:14">
      <c r="A10" s="13" t="s">
        <v>15</v>
      </c>
      <c r="B10" s="5">
        <f>'23-24'!CC10</f>
        <v>706</v>
      </c>
      <c r="C10" s="5">
        <f>'24-25'!CC10</f>
        <v>689</v>
      </c>
      <c r="D10" s="5">
        <f>'25-26'!CC10</f>
        <v>697</v>
      </c>
      <c r="E10" s="5">
        <f>'26-27'!CC10</f>
        <v>722</v>
      </c>
      <c r="F10" s="5">
        <f>'27-28'!CC10</f>
        <v>745</v>
      </c>
      <c r="G10" s="5">
        <f>'28-29'!CC10</f>
        <v>745</v>
      </c>
      <c r="I10" s="142">
        <f>'23-24'!CD10</f>
        <v>23</v>
      </c>
      <c r="J10" s="142">
        <f>'24-25'!CD10</f>
        <v>22</v>
      </c>
      <c r="K10" s="142">
        <f>'25-26'!CD10</f>
        <v>22</v>
      </c>
      <c r="L10" s="142">
        <f>'26-27'!CD10</f>
        <v>23</v>
      </c>
      <c r="M10" s="142">
        <f>'27-28'!CD10</f>
        <v>24</v>
      </c>
      <c r="N10" s="142">
        <f>'28-29'!CD10</f>
        <v>24</v>
      </c>
    </row>
    <row r="11" spans="1:14">
      <c r="A11" s="13" t="s">
        <v>16</v>
      </c>
      <c r="B11" s="5">
        <f>'23-24'!CC11</f>
        <v>752</v>
      </c>
      <c r="C11" s="5">
        <f>'24-25'!CC11</f>
        <v>706</v>
      </c>
      <c r="D11" s="5">
        <f>'25-26'!CC11</f>
        <v>697</v>
      </c>
      <c r="E11" s="5">
        <f>'26-27'!CC11</f>
        <v>697</v>
      </c>
      <c r="F11" s="5">
        <f>'27-28'!CC11</f>
        <v>722</v>
      </c>
      <c r="G11" s="5">
        <f>'28-29'!CC11</f>
        <v>745</v>
      </c>
      <c r="I11" s="142">
        <f>'23-24'!CD11</f>
        <v>24</v>
      </c>
      <c r="J11" s="142">
        <f>'24-25'!CD11</f>
        <v>23</v>
      </c>
      <c r="K11" s="142">
        <f>'25-26'!CD11</f>
        <v>22</v>
      </c>
      <c r="L11" s="142">
        <f>'26-27'!CD11</f>
        <v>22</v>
      </c>
      <c r="M11" s="142">
        <f>'27-28'!CD11</f>
        <v>23</v>
      </c>
      <c r="N11" s="142">
        <f>'28-29'!CD11</f>
        <v>24</v>
      </c>
    </row>
    <row r="12" spans="1:14">
      <c r="A12" s="13" t="s">
        <v>17</v>
      </c>
      <c r="B12" s="5">
        <f>'23-24'!CC12</f>
        <v>702</v>
      </c>
      <c r="C12" s="5">
        <f>'24-25'!CC12</f>
        <v>741</v>
      </c>
      <c r="D12" s="5">
        <f>'25-26'!CC12</f>
        <v>728</v>
      </c>
      <c r="E12" s="5">
        <f>'26-27'!CC12</f>
        <v>728</v>
      </c>
      <c r="F12" s="5">
        <f>'27-28'!CC12</f>
        <v>728</v>
      </c>
      <c r="G12" s="5">
        <f>'28-29'!CC12</f>
        <v>753</v>
      </c>
      <c r="I12" s="142">
        <f>'23-24'!CD12</f>
        <v>23</v>
      </c>
      <c r="J12" s="142">
        <f>'24-25'!CD12</f>
        <v>25</v>
      </c>
      <c r="K12" s="142">
        <f>'25-26'!CD12</f>
        <v>23</v>
      </c>
      <c r="L12" s="142">
        <f>'26-27'!CD12</f>
        <v>23</v>
      </c>
      <c r="M12" s="142">
        <f>'27-28'!CD12</f>
        <v>23</v>
      </c>
      <c r="N12" s="142">
        <f>'28-29'!CD12</f>
        <v>24</v>
      </c>
    </row>
    <row r="13" spans="1:14">
      <c r="A13" s="13" t="s">
        <v>18</v>
      </c>
      <c r="B13" s="5">
        <f>'23-24'!CC13</f>
        <v>473</v>
      </c>
      <c r="C13" s="5">
        <f>'24-25'!CC13</f>
        <v>527</v>
      </c>
      <c r="D13" s="5">
        <f>'25-26'!CC13</f>
        <v>547</v>
      </c>
      <c r="E13" s="5">
        <f>'26-27'!CC13</f>
        <v>547</v>
      </c>
      <c r="F13" s="5">
        <f>'27-28'!CC13</f>
        <v>547</v>
      </c>
      <c r="G13" s="5">
        <f>'28-29'!CC13</f>
        <v>547</v>
      </c>
      <c r="I13" s="142">
        <f>'23-24'!CD13</f>
        <v>16</v>
      </c>
      <c r="J13" s="142">
        <f>'24-25'!CD13</f>
        <v>16</v>
      </c>
      <c r="K13" s="142">
        <f>'25-26'!CD13</f>
        <v>17</v>
      </c>
      <c r="L13" s="142">
        <f>'26-27'!CD13</f>
        <v>17</v>
      </c>
      <c r="M13" s="142">
        <f>'27-28'!CD13</f>
        <v>17</v>
      </c>
      <c r="N13" s="142">
        <f>'28-29'!CD13</f>
        <v>17</v>
      </c>
    </row>
    <row r="14" spans="1:14">
      <c r="A14" s="13" t="s">
        <v>19</v>
      </c>
      <c r="B14" s="5">
        <f>'23-24'!CC14</f>
        <v>455</v>
      </c>
      <c r="C14" s="5">
        <f>'24-25'!CC14</f>
        <v>470</v>
      </c>
      <c r="D14" s="5">
        <f>'25-26'!CC14</f>
        <v>547</v>
      </c>
      <c r="E14" s="5">
        <f>'26-27'!CC14</f>
        <v>547</v>
      </c>
      <c r="F14" s="5">
        <f>'27-28'!CC14</f>
        <v>547</v>
      </c>
      <c r="G14" s="5">
        <f>'28-29'!CC14</f>
        <v>547</v>
      </c>
      <c r="I14" s="142">
        <f>'23-24'!CD14</f>
        <v>15</v>
      </c>
      <c r="J14" s="142">
        <f>'24-25'!CD14</f>
        <v>15</v>
      </c>
      <c r="K14" s="142">
        <f>'25-26'!CD14</f>
        <v>17</v>
      </c>
      <c r="L14" s="142">
        <f>'26-27'!CD14</f>
        <v>17</v>
      </c>
      <c r="M14" s="142">
        <f>'27-28'!CD14</f>
        <v>17</v>
      </c>
      <c r="N14" s="142">
        <f>'28-29'!CD14</f>
        <v>17</v>
      </c>
    </row>
    <row r="15" spans="1:14">
      <c r="A15" s="13" t="s">
        <v>20</v>
      </c>
      <c r="B15" s="5">
        <f>'23-24'!CC15</f>
        <v>359</v>
      </c>
      <c r="C15" s="5">
        <f>'24-25'!CC15</f>
        <v>445</v>
      </c>
      <c r="D15" s="5">
        <f>'25-26'!CC15</f>
        <v>485</v>
      </c>
      <c r="E15" s="5">
        <f>'26-27'!CC15</f>
        <v>547</v>
      </c>
      <c r="F15" s="5">
        <f>'27-28'!CC15</f>
        <v>547</v>
      </c>
      <c r="G15" s="5">
        <f>'28-29'!CC15</f>
        <v>547</v>
      </c>
      <c r="I15" s="142">
        <f>'23-24'!CD15</f>
        <v>12</v>
      </c>
      <c r="J15" s="142">
        <f>'24-25'!CD15</f>
        <v>15</v>
      </c>
      <c r="K15" s="142">
        <f>'25-26'!CD15</f>
        <v>15</v>
      </c>
      <c r="L15" s="142">
        <f>'26-27'!CD15</f>
        <v>17</v>
      </c>
      <c r="M15" s="142">
        <f>'27-28'!CD15</f>
        <v>17</v>
      </c>
      <c r="N15" s="142">
        <f>'28-29'!CD15</f>
        <v>17</v>
      </c>
    </row>
    <row r="16" spans="1:14">
      <c r="A16" s="13" t="s">
        <v>21</v>
      </c>
      <c r="B16" s="5">
        <f>'23-24'!CC16</f>
        <v>255</v>
      </c>
      <c r="C16" s="5">
        <f>'24-25'!CC16</f>
        <v>335</v>
      </c>
      <c r="D16" s="5">
        <f>'25-26'!CC16</f>
        <v>410</v>
      </c>
      <c r="E16" s="5">
        <f>'26-27'!CC16</f>
        <v>485</v>
      </c>
      <c r="F16" s="5">
        <f>'27-28'!CC16</f>
        <v>547</v>
      </c>
      <c r="G16" s="5">
        <f>'28-29'!CC16</f>
        <v>547</v>
      </c>
      <c r="I16" s="142">
        <f>'23-24'!CD16</f>
        <v>8</v>
      </c>
      <c r="J16" s="142">
        <f>'24-25'!CD16</f>
        <v>10</v>
      </c>
      <c r="K16" s="142">
        <f>'25-26'!CD16</f>
        <v>13</v>
      </c>
      <c r="L16" s="142">
        <f>'26-27'!CD16</f>
        <v>15</v>
      </c>
      <c r="M16" s="142">
        <f>'27-28'!CD16</f>
        <v>17</v>
      </c>
      <c r="N16" s="142">
        <f>'28-29'!CD16</f>
        <v>17</v>
      </c>
    </row>
    <row r="17" spans="1:14" ht="15">
      <c r="A17" s="15" t="s">
        <v>8</v>
      </c>
      <c r="B17" s="9">
        <f t="shared" ref="B17:G17" si="2">SUM(B4:B16)</f>
        <v>7858</v>
      </c>
      <c r="C17" s="9">
        <f t="shared" si="2"/>
        <v>8130</v>
      </c>
      <c r="D17" s="9">
        <f t="shared" si="2"/>
        <v>8421</v>
      </c>
      <c r="E17" s="9">
        <f t="shared" si="2"/>
        <v>8654</v>
      </c>
      <c r="F17" s="9">
        <f t="shared" si="2"/>
        <v>8791</v>
      </c>
      <c r="G17" s="9">
        <f t="shared" si="2"/>
        <v>8866</v>
      </c>
      <c r="I17" s="7" t="b">
        <f>SUM(I4:I16)=B27</f>
        <v>1</v>
      </c>
      <c r="J17" s="7" t="b">
        <f t="shared" ref="J17:N17" si="3">SUM(J4:J16)=C27</f>
        <v>1</v>
      </c>
      <c r="K17" s="7" t="b">
        <f t="shared" si="3"/>
        <v>1</v>
      </c>
      <c r="L17" s="7" t="b">
        <f t="shared" si="3"/>
        <v>1</v>
      </c>
      <c r="M17" s="7" t="b">
        <f t="shared" si="3"/>
        <v>1</v>
      </c>
      <c r="N17" s="7" t="b">
        <f t="shared" si="3"/>
        <v>1</v>
      </c>
    </row>
    <row r="18" spans="1:14">
      <c r="A18" s="13"/>
      <c r="B18" s="5"/>
      <c r="C18" s="5"/>
      <c r="D18" s="5"/>
      <c r="E18" s="5"/>
      <c r="F18" s="5"/>
      <c r="G18" s="5"/>
    </row>
    <row r="19" spans="1:14" ht="15">
      <c r="A19" s="17" t="s">
        <v>22</v>
      </c>
      <c r="B19" s="18" t="str">
        <f t="shared" ref="B19:G19" si="4">B1</f>
        <v>23-24</v>
      </c>
      <c r="C19" s="18" t="str">
        <f t="shared" si="4"/>
        <v>24-25</v>
      </c>
      <c r="D19" s="18" t="str">
        <f t="shared" si="4"/>
        <v>25-26</v>
      </c>
      <c r="E19" s="18" t="str">
        <f t="shared" si="4"/>
        <v>26-27</v>
      </c>
      <c r="F19" s="18" t="str">
        <f t="shared" si="4"/>
        <v>27-28</v>
      </c>
      <c r="G19" s="18" t="str">
        <f t="shared" si="4"/>
        <v>28-29</v>
      </c>
    </row>
    <row r="20" spans="1:14">
      <c r="A20" s="13" t="s">
        <v>23</v>
      </c>
      <c r="B20" s="5">
        <f>'23-24'!CC20</f>
        <v>822</v>
      </c>
      <c r="C20" s="5">
        <f>'24-25'!CC20</f>
        <v>828</v>
      </c>
      <c r="D20" s="5">
        <f>'25-26'!CC20</f>
        <v>855.42838464126237</v>
      </c>
      <c r="E20" s="5">
        <f>'26-27'!CC20</f>
        <v>877.76229050443442</v>
      </c>
      <c r="F20" s="5">
        <f>'27-28'!CC20</f>
        <v>889.14910976824194</v>
      </c>
      <c r="G20" s="5">
        <f>'28-29'!CC20</f>
        <v>893.94234285094865</v>
      </c>
    </row>
    <row r="21" spans="1:14">
      <c r="A21" s="13" t="s">
        <v>24</v>
      </c>
      <c r="B21" s="5">
        <f>'23-24'!CC21</f>
        <v>160</v>
      </c>
      <c r="C21" s="5">
        <f>'24-25'!CC21</f>
        <v>181</v>
      </c>
      <c r="D21" s="5">
        <f>'25-26'!CC21</f>
        <v>191.28732442428714</v>
      </c>
      <c r="E21" s="5">
        <f>'26-27'!CC21</f>
        <v>200.7923271396532</v>
      </c>
      <c r="F21" s="5">
        <f>'27-28'!CC21</f>
        <v>208.11188623165776</v>
      </c>
      <c r="G21" s="5">
        <f>'28-29'!CC21</f>
        <v>214.31489375045476</v>
      </c>
    </row>
    <row r="22" spans="1:14">
      <c r="A22" s="13" t="s">
        <v>25</v>
      </c>
      <c r="B22" s="5">
        <f>'23-24'!CC22</f>
        <v>259</v>
      </c>
      <c r="C22" s="5">
        <f>'24-25'!CC22</f>
        <v>407</v>
      </c>
      <c r="D22" s="5">
        <f>'25-26'!CC22</f>
        <v>417.41887437961526</v>
      </c>
      <c r="E22" s="5">
        <f>'26-27'!CC22</f>
        <v>423.76762191441156</v>
      </c>
      <c r="F22" s="5">
        <f>'27-28'!CC22</f>
        <v>426.17235312005084</v>
      </c>
      <c r="G22" s="5">
        <f>'28-29'!CC22</f>
        <v>426.17235312005084</v>
      </c>
    </row>
    <row r="23" spans="1:14">
      <c r="A23" s="13" t="s">
        <v>26</v>
      </c>
      <c r="B23" s="101">
        <f>'23-24'!CC23</f>
        <v>0.30551428571428568</v>
      </c>
      <c r="C23" s="101">
        <f>'24-25'!CC23</f>
        <v>0.37392857142857139</v>
      </c>
      <c r="D23" s="101">
        <f>'25-26'!CC23</f>
        <v>0.37392857142857139</v>
      </c>
      <c r="E23" s="101">
        <f>'26-27'!CC23</f>
        <v>0.37392857142857139</v>
      </c>
      <c r="F23" s="101">
        <f>'27-28'!CC23</f>
        <v>0.37392857142857139</v>
      </c>
      <c r="G23" s="101">
        <f>'28-29'!CC23</f>
        <v>0.37392857142857139</v>
      </c>
      <c r="J23" s="147">
        <f>C24/B17</f>
        <v>4.428607788241283E-2</v>
      </c>
    </row>
    <row r="24" spans="1:14">
      <c r="A24" s="13" t="s">
        <v>27</v>
      </c>
      <c r="B24" s="5">
        <f>'23-24'!CC24</f>
        <v>1032</v>
      </c>
      <c r="C24" s="5">
        <f>'24-25'!CC24</f>
        <v>348</v>
      </c>
      <c r="D24" s="5">
        <f>'25-26'!CC24</f>
        <v>348</v>
      </c>
      <c r="E24" s="5">
        <f>'26-27'!CC24</f>
        <v>348</v>
      </c>
      <c r="F24" s="5">
        <f>'27-28'!CC24</f>
        <v>348</v>
      </c>
      <c r="G24" s="5">
        <f>'28-29'!CC24</f>
        <v>348</v>
      </c>
      <c r="J24" s="7">
        <f>C21/B17</f>
        <v>2.3033850852634256E-2</v>
      </c>
    </row>
    <row r="25" spans="1:14">
      <c r="A25" s="13"/>
      <c r="B25" s="5"/>
      <c r="C25" s="5"/>
      <c r="D25" s="5"/>
      <c r="E25" s="5"/>
      <c r="F25" s="5"/>
      <c r="G25" s="5"/>
      <c r="J25" s="7">
        <f>B79/B20</f>
        <v>3840</v>
      </c>
    </row>
    <row r="26" spans="1:14" ht="15">
      <c r="A26" s="24" t="s">
        <v>28</v>
      </c>
      <c r="B26" s="18" t="str">
        <f t="shared" ref="B26:G26" si="5">B1</f>
        <v>23-24</v>
      </c>
      <c r="C26" s="18" t="str">
        <f t="shared" si="5"/>
        <v>24-25</v>
      </c>
      <c r="D26" s="18" t="str">
        <f t="shared" si="5"/>
        <v>25-26</v>
      </c>
      <c r="E26" s="18" t="str">
        <f t="shared" si="5"/>
        <v>26-27</v>
      </c>
      <c r="F26" s="18" t="str">
        <f t="shared" si="5"/>
        <v>27-28</v>
      </c>
      <c r="G26" s="18" t="str">
        <f t="shared" si="5"/>
        <v>28-29</v>
      </c>
      <c r="J26" s="7">
        <f>B82/B20</f>
        <v>1274.6411192214111</v>
      </c>
    </row>
    <row r="27" spans="1:14">
      <c r="A27" s="25" t="s">
        <v>29</v>
      </c>
      <c r="B27" s="26">
        <f>'23-24'!CC27</f>
        <v>281</v>
      </c>
      <c r="C27" s="26">
        <f>'24-25'!CC27</f>
        <v>288</v>
      </c>
      <c r="D27" s="26">
        <f>'25-26'!CC27</f>
        <v>293</v>
      </c>
      <c r="E27" s="26">
        <f>'26-27'!CC27</f>
        <v>301</v>
      </c>
      <c r="F27" s="26">
        <f>'27-28'!CC27</f>
        <v>306</v>
      </c>
      <c r="G27" s="26">
        <f>'28-29'!CC27</f>
        <v>309</v>
      </c>
    </row>
    <row r="28" spans="1:14">
      <c r="A28" s="25" t="s">
        <v>30</v>
      </c>
      <c r="B28" s="26">
        <f>'23-24'!CC28</f>
        <v>41</v>
      </c>
      <c r="C28" s="26">
        <f>'24-25'!CC28</f>
        <v>41</v>
      </c>
      <c r="D28" s="26">
        <f>'25-26'!CC28</f>
        <v>41</v>
      </c>
      <c r="E28" s="26">
        <f>'26-27'!CC28</f>
        <v>41</v>
      </c>
      <c r="F28" s="26">
        <f>'27-28'!CC28</f>
        <v>41</v>
      </c>
      <c r="G28" s="26">
        <f>'28-29'!CC28</f>
        <v>42</v>
      </c>
    </row>
    <row r="29" spans="1:14">
      <c r="A29" s="25" t="s">
        <v>31</v>
      </c>
      <c r="B29" s="26">
        <f>'23-24'!CC29</f>
        <v>7</v>
      </c>
      <c r="C29" s="26">
        <f>'24-25'!CC29</f>
        <v>7</v>
      </c>
      <c r="D29" s="26">
        <f>'25-26'!CC29</f>
        <v>7</v>
      </c>
      <c r="E29" s="26">
        <f>'26-27'!CC29</f>
        <v>7</v>
      </c>
      <c r="F29" s="26">
        <f>'27-28'!CC29</f>
        <v>7</v>
      </c>
      <c r="G29" s="26">
        <f>'28-29'!CC29</f>
        <v>7</v>
      </c>
    </row>
    <row r="30" spans="1:14">
      <c r="A30" s="25" t="s">
        <v>32</v>
      </c>
      <c r="B30" s="26">
        <f>'23-24'!CC30</f>
        <v>9</v>
      </c>
      <c r="C30" s="26">
        <f>'24-25'!CC30</f>
        <v>9</v>
      </c>
      <c r="D30" s="26">
        <f>'25-26'!CC30</f>
        <v>9</v>
      </c>
      <c r="E30" s="26">
        <f>'26-27'!CC30</f>
        <v>9</v>
      </c>
      <c r="F30" s="26">
        <f>'27-28'!CC30</f>
        <v>9</v>
      </c>
      <c r="G30" s="26">
        <f>'28-29'!CC30</f>
        <v>9</v>
      </c>
    </row>
    <row r="31" spans="1:14">
      <c r="A31" s="25" t="s">
        <v>33</v>
      </c>
      <c r="B31" s="26">
        <f>'23-24'!CC31</f>
        <v>9</v>
      </c>
      <c r="C31" s="26">
        <f>'24-25'!CC31</f>
        <v>9</v>
      </c>
      <c r="D31" s="26">
        <f>'25-26'!CC31</f>
        <v>9</v>
      </c>
      <c r="E31" s="26">
        <f>'26-27'!CC31</f>
        <v>9</v>
      </c>
      <c r="F31" s="26">
        <f>'27-28'!CC31</f>
        <v>9</v>
      </c>
      <c r="G31" s="26">
        <f>'28-29'!CC31</f>
        <v>9</v>
      </c>
    </row>
    <row r="32" spans="1:14">
      <c r="A32" s="28" t="s">
        <v>34</v>
      </c>
      <c r="B32" s="26">
        <f>'23-24'!CC32</f>
        <v>7</v>
      </c>
      <c r="C32" s="26">
        <f>'24-25'!CC32</f>
        <v>9</v>
      </c>
      <c r="D32" s="26">
        <f>'25-26'!CC32</f>
        <v>9</v>
      </c>
      <c r="E32" s="26">
        <f>'26-27'!CC32</f>
        <v>9</v>
      </c>
      <c r="F32" s="26">
        <f>'27-28'!CC32</f>
        <v>9</v>
      </c>
      <c r="G32" s="26">
        <f>'28-29'!CC32</f>
        <v>9</v>
      </c>
    </row>
    <row r="33" spans="1:7">
      <c r="A33" s="28" t="s">
        <v>35</v>
      </c>
      <c r="B33" s="26">
        <f>'23-24'!CC33</f>
        <v>7</v>
      </c>
      <c r="C33" s="26">
        <f>'24-25'!CC33</f>
        <v>7</v>
      </c>
      <c r="D33" s="26">
        <f>'25-26'!CC33</f>
        <v>7</v>
      </c>
      <c r="E33" s="26">
        <f>'26-27'!CC33</f>
        <v>7</v>
      </c>
      <c r="F33" s="26">
        <f>'27-28'!CC33</f>
        <v>7</v>
      </c>
      <c r="G33" s="26">
        <f>'28-29'!CC33</f>
        <v>7</v>
      </c>
    </row>
    <row r="34" spans="1:7">
      <c r="A34" s="28" t="s">
        <v>36</v>
      </c>
      <c r="B34" s="26">
        <f>'23-24'!CC34</f>
        <v>13</v>
      </c>
      <c r="C34" s="26">
        <f>'24-25'!CC34</f>
        <v>12</v>
      </c>
      <c r="D34" s="26">
        <f>'25-26'!CC34</f>
        <v>12</v>
      </c>
      <c r="E34" s="26">
        <f>'26-27'!CC34</f>
        <v>13</v>
      </c>
      <c r="F34" s="26">
        <f>'27-28'!CC34</f>
        <v>13</v>
      </c>
      <c r="G34" s="26">
        <f>'28-29'!CC34</f>
        <v>13</v>
      </c>
    </row>
    <row r="35" spans="1:7">
      <c r="A35" s="29" t="s">
        <v>37</v>
      </c>
      <c r="B35" s="26">
        <f>'23-24'!CC35</f>
        <v>6.5</v>
      </c>
      <c r="C35" s="26">
        <f>'24-25'!CC35</f>
        <v>6.5</v>
      </c>
      <c r="D35" s="26">
        <f>'25-26'!CC35</f>
        <v>6.5</v>
      </c>
      <c r="E35" s="26">
        <f>'26-27'!CC35</f>
        <v>6.5</v>
      </c>
      <c r="F35" s="26">
        <f>'27-28'!CC35</f>
        <v>6.5</v>
      </c>
      <c r="G35" s="26">
        <f>'28-29'!CC35</f>
        <v>6.5</v>
      </c>
    </row>
    <row r="36" spans="1:7" ht="15">
      <c r="A36" s="24" t="s">
        <v>38</v>
      </c>
      <c r="B36" s="30">
        <f t="shared" ref="B36:G36" si="6">SUM(B27:B35)</f>
        <v>380.5</v>
      </c>
      <c r="C36" s="30">
        <f t="shared" si="6"/>
        <v>388.5</v>
      </c>
      <c r="D36" s="30">
        <f t="shared" si="6"/>
        <v>393.5</v>
      </c>
      <c r="E36" s="30">
        <f t="shared" si="6"/>
        <v>402.5</v>
      </c>
      <c r="F36" s="30">
        <f t="shared" si="6"/>
        <v>407.5</v>
      </c>
      <c r="G36" s="30">
        <f t="shared" si="6"/>
        <v>411.5</v>
      </c>
    </row>
    <row r="37" spans="1:7" ht="15">
      <c r="A37" s="31"/>
      <c r="B37" s="5"/>
      <c r="C37" s="5"/>
      <c r="D37" s="5"/>
      <c r="E37" s="5"/>
      <c r="F37" s="5"/>
      <c r="G37" s="5"/>
    </row>
    <row r="38" spans="1:7" ht="15">
      <c r="A38" s="24" t="s">
        <v>39</v>
      </c>
      <c r="B38" s="18" t="str">
        <f t="shared" ref="B38:G38" si="7">B1</f>
        <v>23-24</v>
      </c>
      <c r="C38" s="18" t="str">
        <f t="shared" si="7"/>
        <v>24-25</v>
      </c>
      <c r="D38" s="18" t="str">
        <f t="shared" si="7"/>
        <v>25-26</v>
      </c>
      <c r="E38" s="18" t="str">
        <f t="shared" si="7"/>
        <v>26-27</v>
      </c>
      <c r="F38" s="18" t="str">
        <f t="shared" si="7"/>
        <v>27-28</v>
      </c>
      <c r="G38" s="18" t="str">
        <f t="shared" si="7"/>
        <v>28-29</v>
      </c>
    </row>
    <row r="39" spans="1:7">
      <c r="A39" s="25" t="s">
        <v>40</v>
      </c>
      <c r="B39" s="26">
        <f>'23-24'!CC39</f>
        <v>6</v>
      </c>
      <c r="C39" s="26">
        <f>'24-25'!CC39</f>
        <v>6</v>
      </c>
      <c r="D39" s="26">
        <f>'25-26'!CC39</f>
        <v>6</v>
      </c>
      <c r="E39" s="26">
        <f>'26-27'!CC39</f>
        <v>6</v>
      </c>
      <c r="F39" s="26">
        <f>'27-28'!CC39</f>
        <v>6</v>
      </c>
      <c r="G39" s="26">
        <f>'28-29'!CC39</f>
        <v>6</v>
      </c>
    </row>
    <row r="40" spans="1:7">
      <c r="A40" s="25" t="s">
        <v>41</v>
      </c>
      <c r="B40" s="26">
        <f>'23-24'!CC40</f>
        <v>19</v>
      </c>
      <c r="C40" s="26">
        <f>'24-25'!CC40</f>
        <v>19</v>
      </c>
      <c r="D40" s="26">
        <f>'25-26'!CC40</f>
        <v>19</v>
      </c>
      <c r="E40" s="26">
        <f>'26-27'!CC40</f>
        <v>19</v>
      </c>
      <c r="F40" s="26">
        <f>'27-28'!CC40</f>
        <v>19</v>
      </c>
      <c r="G40" s="26">
        <f>'28-29'!CC40</f>
        <v>19</v>
      </c>
    </row>
    <row r="41" spans="1:7">
      <c r="A41" s="29" t="s">
        <v>42</v>
      </c>
      <c r="B41" s="26">
        <f>'23-24'!CC41</f>
        <v>1</v>
      </c>
      <c r="C41" s="26">
        <f>'24-25'!CC41</f>
        <v>1</v>
      </c>
      <c r="D41" s="26">
        <f>'25-26'!CC41</f>
        <v>1</v>
      </c>
      <c r="E41" s="26">
        <f>'26-27'!CC41</f>
        <v>1</v>
      </c>
      <c r="F41" s="26">
        <f>'27-28'!CC41</f>
        <v>1</v>
      </c>
      <c r="G41" s="26">
        <f>'28-29'!CC41</f>
        <v>1</v>
      </c>
    </row>
    <row r="42" spans="1:7">
      <c r="A42" s="32" t="s">
        <v>43</v>
      </c>
      <c r="B42" s="26">
        <f>'23-24'!CC42</f>
        <v>7</v>
      </c>
      <c r="C42" s="26">
        <f>'24-25'!CC42</f>
        <v>7</v>
      </c>
      <c r="D42" s="26">
        <f>'25-26'!CC42</f>
        <v>7</v>
      </c>
      <c r="E42" s="26">
        <f>'26-27'!CC42</f>
        <v>7</v>
      </c>
      <c r="F42" s="26">
        <f>'27-28'!CC42</f>
        <v>7</v>
      </c>
      <c r="G42" s="26">
        <f>'28-29'!CC42</f>
        <v>7</v>
      </c>
    </row>
    <row r="43" spans="1:7">
      <c r="A43" s="32" t="s">
        <v>44</v>
      </c>
      <c r="B43" s="26">
        <f>'23-24'!CC43</f>
        <v>9</v>
      </c>
      <c r="C43" s="26">
        <f>'24-25'!CC43</f>
        <v>9</v>
      </c>
      <c r="D43" s="26">
        <f>'25-26'!CC43</f>
        <v>9</v>
      </c>
      <c r="E43" s="26">
        <f>'26-27'!CC43</f>
        <v>9</v>
      </c>
      <c r="F43" s="26">
        <f>'27-28'!CC43</f>
        <v>9</v>
      </c>
      <c r="G43" s="26">
        <f>'28-29'!CC43</f>
        <v>9</v>
      </c>
    </row>
    <row r="44" spans="1:7">
      <c r="A44" s="32" t="s">
        <v>45</v>
      </c>
      <c r="B44" s="26">
        <f>'23-24'!CC44</f>
        <v>7</v>
      </c>
      <c r="C44" s="26">
        <f>'24-25'!CC44</f>
        <v>8</v>
      </c>
      <c r="D44" s="26">
        <f>'25-26'!CC44</f>
        <v>8</v>
      </c>
      <c r="E44" s="26">
        <f>'26-27'!CC44</f>
        <v>8</v>
      </c>
      <c r="F44" s="26">
        <f>'27-28'!CC44</f>
        <v>8</v>
      </c>
      <c r="G44" s="26">
        <f>'28-29'!CC44</f>
        <v>8</v>
      </c>
    </row>
    <row r="45" spans="1:7">
      <c r="A45" s="32" t="s">
        <v>46</v>
      </c>
      <c r="B45" s="26">
        <f>'23-24'!CC45</f>
        <v>0</v>
      </c>
      <c r="C45" s="26">
        <f>'24-25'!CC45</f>
        <v>0</v>
      </c>
      <c r="D45" s="26">
        <f>'25-26'!CC45</f>
        <v>0</v>
      </c>
      <c r="E45" s="26">
        <f>'26-27'!CC45</f>
        <v>0</v>
      </c>
      <c r="F45" s="26">
        <f>'27-28'!CC45</f>
        <v>0</v>
      </c>
      <c r="G45" s="26">
        <f>'28-29'!CC45</f>
        <v>0</v>
      </c>
    </row>
    <row r="46" spans="1:7">
      <c r="A46" s="25" t="s">
        <v>47</v>
      </c>
      <c r="B46" s="26">
        <f>'23-24'!CC46</f>
        <v>10</v>
      </c>
      <c r="C46" s="26">
        <f>'24-25'!CC46</f>
        <v>10</v>
      </c>
      <c r="D46" s="26">
        <f>'25-26'!CC46</f>
        <v>10</v>
      </c>
      <c r="E46" s="26">
        <f>'26-27'!CC46</f>
        <v>10</v>
      </c>
      <c r="F46" s="26">
        <f>'27-28'!CC46</f>
        <v>10</v>
      </c>
      <c r="G46" s="26">
        <f>'28-29'!CC46</f>
        <v>10</v>
      </c>
    </row>
    <row r="47" spans="1:7">
      <c r="A47" s="25" t="s">
        <v>48</v>
      </c>
      <c r="B47" s="26">
        <f>'23-24'!CC47</f>
        <v>7</v>
      </c>
      <c r="C47" s="26">
        <f>'24-25'!CC47</f>
        <v>7</v>
      </c>
      <c r="D47" s="26">
        <f>'25-26'!CC47</f>
        <v>7</v>
      </c>
      <c r="E47" s="26">
        <f>'26-27'!CC47</f>
        <v>7</v>
      </c>
      <c r="F47" s="26">
        <f>'27-28'!CC47</f>
        <v>7</v>
      </c>
      <c r="G47" s="26">
        <f>'28-29'!CC47</f>
        <v>7</v>
      </c>
    </row>
    <row r="48" spans="1:7">
      <c r="A48" s="25" t="s">
        <v>49</v>
      </c>
      <c r="B48" s="26">
        <f>'23-24'!CC48</f>
        <v>8</v>
      </c>
      <c r="C48" s="26">
        <f>'24-25'!CC48</f>
        <v>8</v>
      </c>
      <c r="D48" s="26">
        <f>'25-26'!CC48</f>
        <v>8</v>
      </c>
      <c r="E48" s="26">
        <f>'26-27'!CC48</f>
        <v>8</v>
      </c>
      <c r="F48" s="26">
        <f>'27-28'!CC48</f>
        <v>8</v>
      </c>
      <c r="G48" s="26">
        <f>'28-29'!CC48</f>
        <v>8</v>
      </c>
    </row>
    <row r="49" spans="1:7">
      <c r="A49" s="25" t="s">
        <v>50</v>
      </c>
      <c r="B49" s="26">
        <f>'23-24'!CC49</f>
        <v>16</v>
      </c>
      <c r="C49" s="26">
        <f>'24-25'!CC49</f>
        <v>16</v>
      </c>
      <c r="D49" s="26">
        <f>'25-26'!CC49</f>
        <v>16</v>
      </c>
      <c r="E49" s="26">
        <f>'26-27'!CC49</f>
        <v>16</v>
      </c>
      <c r="F49" s="26">
        <f>'27-28'!CC49</f>
        <v>16</v>
      </c>
      <c r="G49" s="26">
        <f>'28-29'!CC49</f>
        <v>16</v>
      </c>
    </row>
    <row r="50" spans="1:7">
      <c r="A50" s="25" t="s">
        <v>51</v>
      </c>
      <c r="B50" s="26">
        <f>'23-24'!CC50</f>
        <v>83</v>
      </c>
      <c r="C50" s="26">
        <f>'24-25'!CC50</f>
        <v>84.5</v>
      </c>
      <c r="D50" s="26">
        <f>'25-26'!CC50</f>
        <v>84.5</v>
      </c>
      <c r="E50" s="26">
        <f>'26-27'!CC50</f>
        <v>85.5</v>
      </c>
      <c r="F50" s="26">
        <f>'27-28'!CC50</f>
        <v>86.5</v>
      </c>
      <c r="G50" s="26">
        <f>'28-29'!CC50</f>
        <v>87.5</v>
      </c>
    </row>
    <row r="51" spans="1:7">
      <c r="A51" s="25" t="s">
        <v>52</v>
      </c>
      <c r="B51" s="26">
        <f>'23-24'!CC51</f>
        <v>24</v>
      </c>
      <c r="C51" s="26">
        <f>'24-25'!CC51</f>
        <v>24</v>
      </c>
      <c r="D51" s="26">
        <f>'25-26'!CC51</f>
        <v>24</v>
      </c>
      <c r="E51" s="26">
        <f>'26-27'!CC51</f>
        <v>24</v>
      </c>
      <c r="F51" s="26">
        <f>'27-28'!CC51</f>
        <v>24</v>
      </c>
      <c r="G51" s="26">
        <f>'28-29'!CC51</f>
        <v>24</v>
      </c>
    </row>
    <row r="52" spans="1:7">
      <c r="A52" s="25" t="s">
        <v>53</v>
      </c>
      <c r="B52" s="26">
        <f>'23-24'!CC52</f>
        <v>8</v>
      </c>
      <c r="C52" s="26">
        <f>'24-25'!CC52</f>
        <v>8.5</v>
      </c>
      <c r="D52" s="26">
        <f>'25-26'!CC52</f>
        <v>8.5</v>
      </c>
      <c r="E52" s="26">
        <f>'26-27'!CC52</f>
        <v>8.5</v>
      </c>
      <c r="F52" s="26">
        <f>'27-28'!CC52</f>
        <v>8.5</v>
      </c>
      <c r="G52" s="26">
        <f>'28-29'!CC52</f>
        <v>8.5</v>
      </c>
    </row>
    <row r="53" spans="1:7">
      <c r="A53" s="25" t="s">
        <v>54</v>
      </c>
      <c r="B53" s="26">
        <f>'23-24'!CC53</f>
        <v>0</v>
      </c>
      <c r="C53" s="26">
        <f>'24-25'!CC53</f>
        <v>0</v>
      </c>
      <c r="D53" s="26">
        <f>'25-26'!CC53</f>
        <v>0</v>
      </c>
      <c r="E53" s="26">
        <f>'26-27'!CC53</f>
        <v>0</v>
      </c>
      <c r="F53" s="26">
        <f>'27-28'!CC53</f>
        <v>0</v>
      </c>
      <c r="G53" s="26">
        <f>'28-29'!CC53</f>
        <v>0</v>
      </c>
    </row>
    <row r="54" spans="1:7">
      <c r="A54" s="29" t="s">
        <v>55</v>
      </c>
      <c r="B54" s="26">
        <f>'23-24'!CC54</f>
        <v>4</v>
      </c>
      <c r="C54" s="26">
        <f>'24-25'!CC54</f>
        <v>4</v>
      </c>
      <c r="D54" s="26">
        <f>'25-26'!CC54</f>
        <v>4</v>
      </c>
      <c r="E54" s="26">
        <f>'26-27'!CC54</f>
        <v>4</v>
      </c>
      <c r="F54" s="26">
        <f>'27-28'!CC54</f>
        <v>4</v>
      </c>
      <c r="G54" s="26">
        <f>'28-29'!CC54</f>
        <v>4</v>
      </c>
    </row>
    <row r="55" spans="1:7">
      <c r="A55" s="29" t="s">
        <v>56</v>
      </c>
      <c r="B55" s="26">
        <f>'23-24'!CC55</f>
        <v>2</v>
      </c>
      <c r="C55" s="26">
        <f>'24-25'!CC55</f>
        <v>2</v>
      </c>
      <c r="D55" s="26">
        <f>'25-26'!CC55</f>
        <v>2</v>
      </c>
      <c r="E55" s="26">
        <f>'26-27'!CC55</f>
        <v>2</v>
      </c>
      <c r="F55" s="26">
        <f>'27-28'!CC55</f>
        <v>2</v>
      </c>
      <c r="G55" s="26">
        <f>'28-29'!CC55</f>
        <v>2</v>
      </c>
    </row>
    <row r="56" spans="1:7">
      <c r="A56" s="29" t="s">
        <v>57</v>
      </c>
      <c r="B56" s="26">
        <f>'23-24'!CC56</f>
        <v>3</v>
      </c>
      <c r="C56" s="26">
        <f>'24-25'!CC56</f>
        <v>3</v>
      </c>
      <c r="D56" s="26">
        <f>'25-26'!CC56</f>
        <v>3</v>
      </c>
      <c r="E56" s="26">
        <f>'26-27'!CC56</f>
        <v>3</v>
      </c>
      <c r="F56" s="26">
        <f>'27-28'!CC56</f>
        <v>3</v>
      </c>
      <c r="G56" s="26">
        <f>'28-29'!CC56</f>
        <v>3</v>
      </c>
    </row>
    <row r="57" spans="1:7">
      <c r="A57" s="29" t="s">
        <v>58</v>
      </c>
      <c r="B57" s="26">
        <f>'23-24'!CC57</f>
        <v>0.83000000000000007</v>
      </c>
      <c r="C57" s="26">
        <f>'24-25'!CC57</f>
        <v>0.83000000000000007</v>
      </c>
      <c r="D57" s="26">
        <f>'25-26'!CC57</f>
        <v>0.83000000000000007</v>
      </c>
      <c r="E57" s="26">
        <f>'26-27'!CC57</f>
        <v>0.83000000000000007</v>
      </c>
      <c r="F57" s="26">
        <f>'27-28'!CC57</f>
        <v>0.83000000000000007</v>
      </c>
      <c r="G57" s="26">
        <f>'28-29'!CC57</f>
        <v>0.83000000000000007</v>
      </c>
    </row>
    <row r="58" spans="1:7">
      <c r="A58" s="29" t="s">
        <v>59</v>
      </c>
      <c r="B58" s="26">
        <f>'23-24'!CC58</f>
        <v>3</v>
      </c>
      <c r="C58" s="26">
        <f>'24-25'!CC58</f>
        <v>3</v>
      </c>
      <c r="D58" s="26">
        <f>'25-26'!CC58</f>
        <v>3</v>
      </c>
      <c r="E58" s="26">
        <f>'26-27'!CC58</f>
        <v>3</v>
      </c>
      <c r="F58" s="26">
        <f>'27-28'!CC58</f>
        <v>3</v>
      </c>
      <c r="G58" s="26">
        <f>'28-29'!CC58</f>
        <v>3</v>
      </c>
    </row>
    <row r="59" spans="1:7">
      <c r="A59" s="29" t="s">
        <v>60</v>
      </c>
      <c r="B59" s="26">
        <f>'23-24'!CC59</f>
        <v>10</v>
      </c>
      <c r="C59" s="26">
        <f>'24-25'!CC59</f>
        <v>11</v>
      </c>
      <c r="D59" s="26">
        <f>'25-26'!CC59</f>
        <v>11</v>
      </c>
      <c r="E59" s="26">
        <f>'26-27'!CC59</f>
        <v>11</v>
      </c>
      <c r="F59" s="26">
        <f>'27-28'!CC59</f>
        <v>11</v>
      </c>
      <c r="G59" s="26">
        <f>'28-29'!CC59</f>
        <v>11</v>
      </c>
    </row>
    <row r="60" spans="1:7">
      <c r="A60" s="25" t="s">
        <v>61</v>
      </c>
      <c r="B60" s="26">
        <f>'23-24'!CC60</f>
        <v>3</v>
      </c>
      <c r="C60" s="26">
        <f>'24-25'!CC60</f>
        <v>4</v>
      </c>
      <c r="D60" s="26">
        <f>'25-26'!CC60</f>
        <v>4</v>
      </c>
      <c r="E60" s="26">
        <f>'26-27'!CC60</f>
        <v>4</v>
      </c>
      <c r="F60" s="26">
        <f>'27-28'!CC60</f>
        <v>4</v>
      </c>
      <c r="G60" s="26">
        <f>'28-29'!CC60</f>
        <v>4</v>
      </c>
    </row>
    <row r="61" spans="1:7" ht="15">
      <c r="A61" s="24" t="s">
        <v>62</v>
      </c>
      <c r="B61" s="148">
        <f t="shared" ref="B61:G61" si="8">SUM(B39:B60)</f>
        <v>230.83</v>
      </c>
      <c r="C61" s="33">
        <f t="shared" si="8"/>
        <v>235.83</v>
      </c>
      <c r="D61" s="33">
        <f t="shared" si="8"/>
        <v>235.83</v>
      </c>
      <c r="E61" s="33">
        <f t="shared" si="8"/>
        <v>236.83</v>
      </c>
      <c r="F61" s="33">
        <f t="shared" si="8"/>
        <v>237.83</v>
      </c>
      <c r="G61" s="33">
        <f t="shared" si="8"/>
        <v>238.83</v>
      </c>
    </row>
    <row r="62" spans="1:7" ht="15.75" thickBot="1">
      <c r="A62" s="34"/>
      <c r="B62" s="35"/>
      <c r="C62" s="35"/>
      <c r="D62" s="35"/>
      <c r="E62" s="35"/>
      <c r="F62" s="35"/>
      <c r="G62" s="35"/>
    </row>
    <row r="63" spans="1:7" ht="15">
      <c r="A63" s="36" t="s">
        <v>63</v>
      </c>
      <c r="B63" s="37">
        <f t="shared" ref="B63:G63" si="9">B36</f>
        <v>380.5</v>
      </c>
      <c r="C63" s="37">
        <f t="shared" si="9"/>
        <v>388.5</v>
      </c>
      <c r="D63" s="37">
        <f t="shared" si="9"/>
        <v>393.5</v>
      </c>
      <c r="E63" s="37">
        <f t="shared" si="9"/>
        <v>402.5</v>
      </c>
      <c r="F63" s="37">
        <f t="shared" si="9"/>
        <v>407.5</v>
      </c>
      <c r="G63" s="37">
        <f t="shared" si="9"/>
        <v>411.5</v>
      </c>
    </row>
    <row r="64" spans="1:7" ht="15">
      <c r="A64" s="38" t="s">
        <v>64</v>
      </c>
      <c r="B64" s="39">
        <f t="shared" ref="B64:G64" si="10">B61</f>
        <v>230.83</v>
      </c>
      <c r="C64" s="39">
        <f t="shared" si="10"/>
        <v>235.83</v>
      </c>
      <c r="D64" s="39">
        <f t="shared" si="10"/>
        <v>235.83</v>
      </c>
      <c r="E64" s="39">
        <f t="shared" si="10"/>
        <v>236.83</v>
      </c>
      <c r="F64" s="39">
        <f t="shared" si="10"/>
        <v>237.83</v>
      </c>
      <c r="G64" s="39">
        <f t="shared" si="10"/>
        <v>238.83</v>
      </c>
    </row>
    <row r="65" spans="1:9" ht="15.75" thickBot="1">
      <c r="A65" s="40" t="s">
        <v>65</v>
      </c>
      <c r="B65" s="41">
        <f t="shared" ref="B65:G65" si="11">SUM(B63:B64)</f>
        <v>611.33000000000004</v>
      </c>
      <c r="C65" s="41">
        <f t="shared" si="11"/>
        <v>624.33000000000004</v>
      </c>
      <c r="D65" s="41">
        <f t="shared" si="11"/>
        <v>629.33000000000004</v>
      </c>
      <c r="E65" s="41">
        <f t="shared" si="11"/>
        <v>639.33000000000004</v>
      </c>
      <c r="F65" s="41">
        <f t="shared" si="11"/>
        <v>645.33000000000004</v>
      </c>
      <c r="G65" s="41">
        <f t="shared" si="11"/>
        <v>650.33000000000004</v>
      </c>
    </row>
    <row r="66" spans="1:9">
      <c r="A66" s="29"/>
      <c r="B66" s="42"/>
      <c r="C66" s="42"/>
      <c r="D66" s="42"/>
      <c r="E66" s="42"/>
      <c r="F66" s="42"/>
      <c r="G66" s="42"/>
    </row>
    <row r="67" spans="1:9" ht="15">
      <c r="A67" s="43" t="s">
        <v>66</v>
      </c>
      <c r="B67" s="45">
        <f t="shared" ref="B67:G67" si="12">B142/(B211+B213+B214+B215+B216+B217)</f>
        <v>0.59868471307787952</v>
      </c>
      <c r="C67" s="45">
        <f t="shared" si="12"/>
        <v>0.59789024055487527</v>
      </c>
      <c r="D67" s="45">
        <f t="shared" si="12"/>
        <v>0.59328299109481764</v>
      </c>
      <c r="E67" s="45">
        <f t="shared" si="12"/>
        <v>0.59589882042025155</v>
      </c>
      <c r="F67" s="45">
        <f t="shared" si="12"/>
        <v>0.59730230612157176</v>
      </c>
      <c r="G67" s="45">
        <f t="shared" si="12"/>
        <v>0.60050656238794198</v>
      </c>
    </row>
    <row r="68" spans="1:9" ht="15">
      <c r="A68" s="43" t="s">
        <v>67</v>
      </c>
      <c r="B68" s="45">
        <f t="shared" ref="B68:G68" si="13">(B114+B115+B118+B128)/B132</f>
        <v>0.73253406488690331</v>
      </c>
      <c r="C68" s="45">
        <f t="shared" si="13"/>
        <v>0.72924494906393433</v>
      </c>
      <c r="D68" s="45">
        <f t="shared" si="13"/>
        <v>0.73166921788735939</v>
      </c>
      <c r="E68" s="45">
        <f t="shared" si="13"/>
        <v>0.73628176475057394</v>
      </c>
      <c r="F68" s="45">
        <f t="shared" si="13"/>
        <v>0.73899732145404839</v>
      </c>
      <c r="G68" s="45">
        <f t="shared" si="13"/>
        <v>0.74117062971539793</v>
      </c>
    </row>
    <row r="69" spans="1:9" ht="15">
      <c r="A69" s="43" t="s">
        <v>68</v>
      </c>
      <c r="B69" s="45">
        <f t="shared" ref="B69:G69" si="14">(B107+B108+B109+B112+B116+B117+B119+B120++B123+B124+B125+B126+B127+B129+B130)/B132</f>
        <v>0.23087128620052569</v>
      </c>
      <c r="C69" s="45">
        <f t="shared" si="14"/>
        <v>0.23521324368806382</v>
      </c>
      <c r="D69" s="45">
        <f t="shared" si="14"/>
        <v>0.23306501195318968</v>
      </c>
      <c r="E69" s="45">
        <f t="shared" si="14"/>
        <v>0.22901535549536531</v>
      </c>
      <c r="F69" s="45">
        <f t="shared" si="14"/>
        <v>0.2266148539754344</v>
      </c>
      <c r="G69" s="45">
        <f t="shared" si="14"/>
        <v>0.22468477958417271</v>
      </c>
    </row>
    <row r="70" spans="1:9" ht="15">
      <c r="A70" s="43" t="s">
        <v>69</v>
      </c>
      <c r="B70" s="45">
        <f t="shared" ref="B70:G70" si="15">(B214+B215+B216+B217+B213)/B97</f>
        <v>0.10278557671355923</v>
      </c>
      <c r="C70" s="45">
        <f t="shared" si="15"/>
        <v>9.9268655771925896E-2</v>
      </c>
      <c r="D70" s="45">
        <f t="shared" si="15"/>
        <v>9.9812105704577395E-2</v>
      </c>
      <c r="E70" s="45">
        <f t="shared" si="15"/>
        <v>9.8003113823958293E-2</v>
      </c>
      <c r="F70" s="45">
        <f t="shared" si="15"/>
        <v>9.600960875418349E-2</v>
      </c>
      <c r="G70" s="45">
        <f t="shared" si="15"/>
        <v>9.3943002964574973E-2</v>
      </c>
    </row>
    <row r="71" spans="1:9" ht="15" thickBot="1">
      <c r="B71" s="42"/>
      <c r="C71" s="42"/>
      <c r="D71" s="42"/>
      <c r="E71" s="42"/>
      <c r="F71" s="42"/>
      <c r="G71" s="42"/>
    </row>
    <row r="72" spans="1:9" ht="15.75" thickBot="1">
      <c r="A72" s="46" t="s">
        <v>70</v>
      </c>
      <c r="B72" s="47" t="str">
        <f t="shared" ref="B72:G72" si="16">B1</f>
        <v>23-24</v>
      </c>
      <c r="C72" s="47" t="str">
        <f t="shared" si="16"/>
        <v>24-25</v>
      </c>
      <c r="D72" s="47" t="str">
        <f t="shared" si="16"/>
        <v>25-26</v>
      </c>
      <c r="E72" s="47" t="str">
        <f t="shared" si="16"/>
        <v>26-27</v>
      </c>
      <c r="F72" s="47" t="str">
        <f t="shared" si="16"/>
        <v>27-28</v>
      </c>
      <c r="G72" s="47" t="str">
        <f t="shared" si="16"/>
        <v>28-29</v>
      </c>
    </row>
    <row r="73" spans="1:9" ht="15">
      <c r="A73" s="48" t="s">
        <v>71</v>
      </c>
      <c r="B73" s="49"/>
      <c r="C73" s="49"/>
      <c r="D73" s="49"/>
      <c r="E73" s="49"/>
      <c r="F73" s="49"/>
      <c r="G73" s="49"/>
    </row>
    <row r="74" spans="1:9">
      <c r="A74" s="29" t="s">
        <v>72</v>
      </c>
      <c r="B74" s="5">
        <f>'23-24'!CC74</f>
        <v>70634148</v>
      </c>
      <c r="C74" s="5">
        <f>'24-25'!CC74</f>
        <v>76535820</v>
      </c>
      <c r="D74" s="5">
        <f>'25-26'!CC74</f>
        <v>80462655</v>
      </c>
      <c r="E74" s="5">
        <f>'26-27'!CC74</f>
        <v>83943800</v>
      </c>
      <c r="F74" s="5">
        <f>'27-28'!CC74</f>
        <v>86591350</v>
      </c>
      <c r="G74" s="5">
        <f>'28-29'!CC74</f>
        <v>88642268</v>
      </c>
    </row>
    <row r="75" spans="1:9">
      <c r="A75" s="29" t="s">
        <v>73</v>
      </c>
      <c r="B75" s="5">
        <f>'23-24'!CC75</f>
        <v>645440</v>
      </c>
      <c r="C75" s="5">
        <f>'24-25'!CC75</f>
        <v>758434</v>
      </c>
      <c r="D75" s="5">
        <f>'25-26'!CC75</f>
        <v>801872.52590020583</v>
      </c>
      <c r="E75" s="5">
        <f>'26-27'!CC75</f>
        <v>841909.61260284868</v>
      </c>
      <c r="F75" s="5">
        <f>'27-28'!CC75</f>
        <v>872802.21251675626</v>
      </c>
      <c r="G75" s="5">
        <f>'28-29'!CC75</f>
        <v>899078.15236638044</v>
      </c>
    </row>
    <row r="76" spans="1:9">
      <c r="A76" s="29" t="s">
        <v>74</v>
      </c>
      <c r="B76" s="5">
        <f>'23-24'!CC76</f>
        <v>278425</v>
      </c>
      <c r="C76" s="5">
        <f>'24-25'!CC76</f>
        <v>453347</v>
      </c>
      <c r="D76" s="5">
        <f>'25-26'!CC76</f>
        <v>465006.90256956581</v>
      </c>
      <c r="E76" s="5">
        <f>'26-27'!CC76</f>
        <v>472006.57512816065</v>
      </c>
      <c r="F76" s="5">
        <f>'27-28'!CC76</f>
        <v>474637.48495523224</v>
      </c>
      <c r="G76" s="5">
        <f>'28-29'!CC76</f>
        <v>474637.48495523224</v>
      </c>
    </row>
    <row r="77" spans="1:9">
      <c r="A77" s="29" t="s">
        <v>75</v>
      </c>
      <c r="B77" s="5">
        <f>'23-24'!CC77</f>
        <v>637000</v>
      </c>
      <c r="C77" s="5">
        <f>'24-25'!CC77</f>
        <v>1146312</v>
      </c>
      <c r="D77" s="5">
        <f>'25-26'!CC77</f>
        <v>1146312</v>
      </c>
      <c r="E77" s="5">
        <f>'26-27'!CC77</f>
        <v>1146312</v>
      </c>
      <c r="F77" s="5">
        <f>'27-28'!CC77</f>
        <v>1146312</v>
      </c>
      <c r="G77" s="5">
        <f>'28-29'!CC77</f>
        <v>1146312</v>
      </c>
    </row>
    <row r="78" spans="1:9">
      <c r="A78" s="29" t="s">
        <v>76</v>
      </c>
      <c r="B78" s="5">
        <f>'23-24'!CC78</f>
        <v>1248519</v>
      </c>
      <c r="C78" s="5">
        <f>'24-25'!CC78</f>
        <v>1248519</v>
      </c>
      <c r="D78" s="5">
        <f>'25-26'!CC78</f>
        <v>1248519</v>
      </c>
      <c r="E78" s="5">
        <f>'26-27'!CC78</f>
        <v>1248519</v>
      </c>
      <c r="F78" s="5">
        <f>'27-28'!CC78</f>
        <v>1248519</v>
      </c>
      <c r="G78" s="5">
        <f>'28-29'!CC78</f>
        <v>1248519</v>
      </c>
      <c r="I78" s="7">
        <f>B78/B20</f>
        <v>1518.8795620437957</v>
      </c>
    </row>
    <row r="79" spans="1:9">
      <c r="A79" s="29" t="s">
        <v>77</v>
      </c>
      <c r="B79" s="5">
        <f>'23-24'!CC79</f>
        <v>3156480</v>
      </c>
      <c r="C79" s="5">
        <f>'24-25'!CC79</f>
        <v>3179520</v>
      </c>
      <c r="D79" s="5">
        <f>'25-26'!CC79</f>
        <v>3250627.8616367974</v>
      </c>
      <c r="E79" s="5">
        <f>'26-27'!CC79</f>
        <v>3335496.7039168505</v>
      </c>
      <c r="F79" s="5">
        <f>'27-28'!CC79</f>
        <v>3378766.6171193188</v>
      </c>
      <c r="G79" s="5">
        <f>'28-29'!CC79</f>
        <v>3396980.9028336047</v>
      </c>
    </row>
    <row r="80" spans="1:9" ht="15">
      <c r="A80" s="54" t="s">
        <v>78</v>
      </c>
      <c r="B80" s="55">
        <f t="shared" ref="B80:G80" si="17">SUM(B74:B79)</f>
        <v>76600012</v>
      </c>
      <c r="C80" s="55">
        <f t="shared" si="17"/>
        <v>83321952</v>
      </c>
      <c r="D80" s="55">
        <f t="shared" si="17"/>
        <v>87374993.290106565</v>
      </c>
      <c r="E80" s="55">
        <f t="shared" si="17"/>
        <v>90988043.89164786</v>
      </c>
      <c r="F80" s="55">
        <f t="shared" si="17"/>
        <v>93712387.314591303</v>
      </c>
      <c r="G80" s="55">
        <f t="shared" si="17"/>
        <v>95807795.540155232</v>
      </c>
    </row>
    <row r="81" spans="1:7" ht="15">
      <c r="A81" s="56" t="s">
        <v>79</v>
      </c>
      <c r="B81" s="49"/>
      <c r="C81" s="49"/>
      <c r="D81" s="49"/>
      <c r="E81" s="49"/>
      <c r="F81" s="49"/>
      <c r="G81" s="49"/>
    </row>
    <row r="82" spans="1:7">
      <c r="A82" s="29" t="s">
        <v>80</v>
      </c>
      <c r="B82" s="5">
        <f>'23-24'!CC82</f>
        <v>1047755</v>
      </c>
      <c r="C82" s="5">
        <f>'24-25'!CC82</f>
        <v>1060306</v>
      </c>
      <c r="D82" s="5">
        <f>'25-26'!CC82</f>
        <v>940971.22310538869</v>
      </c>
      <c r="E82" s="5">
        <f>'26-27'!CC82</f>
        <v>965538.51955487777</v>
      </c>
      <c r="F82" s="5">
        <f>'27-28'!CC82</f>
        <v>978064.02074506599</v>
      </c>
      <c r="G82" s="5">
        <f>'28-29'!CC82</f>
        <v>983336.57713604334</v>
      </c>
    </row>
    <row r="83" spans="1:7">
      <c r="A83" s="29" t="s">
        <v>81</v>
      </c>
      <c r="B83" s="5">
        <f>'23-24'!CC83</f>
        <v>70227.648000000001</v>
      </c>
      <c r="C83" s="5">
        <f>'24-25'!CC83</f>
        <v>101524.75199999999</v>
      </c>
      <c r="D83" s="5">
        <f>'25-26'!CC83</f>
        <v>132058.51200000002</v>
      </c>
      <c r="E83" s="5">
        <f>'26-27'!CC83</f>
        <v>160683.91200000001</v>
      </c>
      <c r="F83" s="5">
        <f>'27-28'!CC83</f>
        <v>189309.31200000001</v>
      </c>
      <c r="G83" s="5">
        <f>'28-29'!CC83</f>
        <v>217934.712</v>
      </c>
    </row>
    <row r="84" spans="1:7">
      <c r="A84" s="29" t="s">
        <v>82</v>
      </c>
      <c r="B84" s="5">
        <f>'23-24'!CC84</f>
        <v>3227043.3479999993</v>
      </c>
      <c r="C84" s="5">
        <f>'24-25'!CC84</f>
        <v>2368510.8659999999</v>
      </c>
      <c r="D84" s="5">
        <f>'25-26'!CC84</f>
        <v>2485233.81</v>
      </c>
      <c r="E84" s="5">
        <f>'26-27'!CC84</f>
        <v>2591567.352</v>
      </c>
      <c r="F84" s="5">
        <f>'27-28'!CC84</f>
        <v>2666631.3659999995</v>
      </c>
      <c r="G84" s="5">
        <f>'28-29'!CC84</f>
        <v>2723332.7159999995</v>
      </c>
    </row>
    <row r="85" spans="1:7">
      <c r="A85" s="29" t="s">
        <v>4</v>
      </c>
      <c r="B85" s="5">
        <f>'23-24'!CC85</f>
        <v>46193</v>
      </c>
      <c r="C85" s="5">
        <f>'24-25'!CC85</f>
        <v>0</v>
      </c>
      <c r="D85" s="5">
        <f>'25-26'!CC85</f>
        <v>0</v>
      </c>
      <c r="E85" s="5">
        <f>'26-27'!CC85</f>
        <v>0</v>
      </c>
      <c r="F85" s="5">
        <f>'27-28'!CC85</f>
        <v>0</v>
      </c>
      <c r="G85" s="5">
        <f>'28-29'!CC85</f>
        <v>0</v>
      </c>
    </row>
    <row r="86" spans="1:7">
      <c r="A86" s="29" t="s">
        <v>83</v>
      </c>
      <c r="B86" s="5">
        <f>'23-24'!CC86</f>
        <v>0</v>
      </c>
      <c r="C86" s="5">
        <f>'24-25'!CC86</f>
        <v>0</v>
      </c>
      <c r="D86" s="5">
        <f>'25-26'!CC86</f>
        <v>0</v>
      </c>
      <c r="E86" s="5">
        <f>'26-27'!CC86</f>
        <v>0</v>
      </c>
      <c r="F86" s="5">
        <f>'27-28'!CC86</f>
        <v>0</v>
      </c>
      <c r="G86" s="5">
        <f>'28-29'!CC86</f>
        <v>0</v>
      </c>
    </row>
    <row r="87" spans="1:7">
      <c r="A87" s="29" t="s">
        <v>6</v>
      </c>
      <c r="B87" s="5">
        <f>'23-24'!CC87</f>
        <v>0</v>
      </c>
      <c r="C87" s="5">
        <f>'24-25'!CC87</f>
        <v>0</v>
      </c>
      <c r="D87" s="5">
        <f>'25-26'!CC87</f>
        <v>0</v>
      </c>
      <c r="E87" s="5">
        <f>'26-27'!CC87</f>
        <v>0</v>
      </c>
      <c r="F87" s="5">
        <f>'27-28'!CC87</f>
        <v>0</v>
      </c>
      <c r="G87" s="5">
        <f>'28-29'!CC87</f>
        <v>0</v>
      </c>
    </row>
    <row r="88" spans="1:7">
      <c r="A88" s="29" t="s">
        <v>84</v>
      </c>
      <c r="B88" s="5">
        <f>'23-24'!CC88</f>
        <v>0</v>
      </c>
      <c r="C88" s="5">
        <f>'24-25'!CC88</f>
        <v>0</v>
      </c>
      <c r="D88" s="5">
        <f>'25-26'!CC88</f>
        <v>0</v>
      </c>
      <c r="E88" s="5">
        <f>'26-27'!CC88</f>
        <v>0</v>
      </c>
      <c r="F88" s="5">
        <f>'27-28'!CC88</f>
        <v>0</v>
      </c>
      <c r="G88" s="5">
        <f>'28-29'!CC88</f>
        <v>0</v>
      </c>
    </row>
    <row r="89" spans="1:7">
      <c r="A89" s="29" t="s">
        <v>85</v>
      </c>
      <c r="B89" s="5">
        <f>'23-24'!CC89</f>
        <v>0</v>
      </c>
      <c r="C89" s="5">
        <f>'24-25'!CC89</f>
        <v>0</v>
      </c>
      <c r="D89" s="5">
        <f>'25-26'!CC89</f>
        <v>0</v>
      </c>
      <c r="E89" s="5">
        <f>'26-27'!CC89</f>
        <v>0</v>
      </c>
      <c r="F89" s="5">
        <f>'27-28'!CC89</f>
        <v>0</v>
      </c>
      <c r="G89" s="5">
        <f>'28-29'!CC89</f>
        <v>0</v>
      </c>
    </row>
    <row r="90" spans="1:7" ht="15">
      <c r="A90" s="54" t="s">
        <v>86</v>
      </c>
      <c r="B90" s="55">
        <f t="shared" ref="B90:G90" si="18">SUM(B82:B88)</f>
        <v>4391218.9959999993</v>
      </c>
      <c r="C90" s="55">
        <f t="shared" si="18"/>
        <v>3530341.6179999998</v>
      </c>
      <c r="D90" s="55">
        <f t="shared" si="18"/>
        <v>3558263.5451053889</v>
      </c>
      <c r="E90" s="55">
        <f t="shared" si="18"/>
        <v>3717789.7835548776</v>
      </c>
      <c r="F90" s="55">
        <f t="shared" si="18"/>
        <v>3834004.6987450654</v>
      </c>
      <c r="G90" s="55">
        <f t="shared" si="18"/>
        <v>3924604.0051360428</v>
      </c>
    </row>
    <row r="91" spans="1:7" ht="15">
      <c r="A91" s="56" t="s">
        <v>87</v>
      </c>
      <c r="B91" s="49"/>
      <c r="C91" s="49"/>
      <c r="D91" s="49"/>
      <c r="E91" s="49"/>
      <c r="F91" s="49"/>
      <c r="G91" s="49"/>
    </row>
    <row r="92" spans="1:7">
      <c r="A92" s="29" t="s">
        <v>88</v>
      </c>
      <c r="B92" s="5">
        <f>'23-24'!CC92</f>
        <v>0</v>
      </c>
      <c r="C92" s="5">
        <f>'24-25'!CC92</f>
        <v>0</v>
      </c>
      <c r="D92" s="5">
        <f>'25-26'!CC92</f>
        <v>0</v>
      </c>
      <c r="E92" s="5">
        <f>'26-27'!CC92</f>
        <v>0</v>
      </c>
      <c r="F92" s="5">
        <f>'27-28'!CC92</f>
        <v>0</v>
      </c>
      <c r="G92" s="5">
        <f>'28-29'!CC92</f>
        <v>0</v>
      </c>
    </row>
    <row r="93" spans="1:7">
      <c r="A93" s="29" t="s">
        <v>89</v>
      </c>
      <c r="B93" s="5">
        <f>'23-24'!CC93</f>
        <v>4330000</v>
      </c>
      <c r="C93" s="5">
        <f>'24-25'!CC93</f>
        <v>5175000</v>
      </c>
      <c r="D93" s="5">
        <f>'25-26'!CC93</f>
        <v>5175000</v>
      </c>
      <c r="E93" s="5">
        <f>'26-27'!CC93</f>
        <v>5175000</v>
      </c>
      <c r="F93" s="5">
        <f>'27-28'!CC93</f>
        <v>5175000</v>
      </c>
      <c r="G93" s="5">
        <f>'28-29'!CC93</f>
        <v>5175000</v>
      </c>
    </row>
    <row r="94" spans="1:7">
      <c r="A94" s="29" t="s">
        <v>90</v>
      </c>
      <c r="B94" s="5">
        <f>'23-24'!CC94</f>
        <v>0</v>
      </c>
      <c r="C94" s="5">
        <f>'24-25'!CC94</f>
        <v>0</v>
      </c>
      <c r="D94" s="5">
        <f>'25-26'!CC94</f>
        <v>0</v>
      </c>
      <c r="E94" s="5">
        <f>'26-27'!CC94</f>
        <v>0</v>
      </c>
      <c r="F94" s="5">
        <f>'27-28'!CC94</f>
        <v>0</v>
      </c>
      <c r="G94" s="5">
        <f>'28-29'!CC94</f>
        <v>0</v>
      </c>
    </row>
    <row r="95" spans="1:7">
      <c r="A95" s="29" t="s">
        <v>91</v>
      </c>
      <c r="B95" s="5">
        <f>'23-24'!CC95</f>
        <v>592253</v>
      </c>
      <c r="C95" s="5">
        <f>'24-25'!CC95</f>
        <v>470000</v>
      </c>
      <c r="D95" s="5">
        <f>'25-26'!CC95</f>
        <v>470000</v>
      </c>
      <c r="E95" s="5">
        <f>'26-27'!CC95</f>
        <v>470000</v>
      </c>
      <c r="F95" s="5">
        <f>'27-28'!CC95</f>
        <v>470000</v>
      </c>
      <c r="G95" s="5">
        <f>'28-29'!CC95</f>
        <v>470000</v>
      </c>
    </row>
    <row r="96" spans="1:7" ht="15">
      <c r="A96" s="54" t="s">
        <v>92</v>
      </c>
      <c r="B96" s="55">
        <f t="shared" ref="B96:G96" si="19">SUM(B92:B95)</f>
        <v>4922253</v>
      </c>
      <c r="C96" s="55">
        <f t="shared" si="19"/>
        <v>5645000</v>
      </c>
      <c r="D96" s="55">
        <f t="shared" si="19"/>
        <v>5645000</v>
      </c>
      <c r="E96" s="55">
        <f t="shared" si="19"/>
        <v>5645000</v>
      </c>
      <c r="F96" s="55">
        <f t="shared" si="19"/>
        <v>5645000</v>
      </c>
      <c r="G96" s="55">
        <f t="shared" si="19"/>
        <v>5645000</v>
      </c>
    </row>
    <row r="97" spans="1:7" ht="15">
      <c r="A97" s="58" t="s">
        <v>93</v>
      </c>
      <c r="B97" s="59">
        <f t="shared" ref="B97:G97" si="20">B80+B90+B96</f>
        <v>85913483.995999992</v>
      </c>
      <c r="C97" s="59">
        <f t="shared" si="20"/>
        <v>92497293.618000001</v>
      </c>
      <c r="D97" s="59">
        <f t="shared" si="20"/>
        <v>96578256.835211948</v>
      </c>
      <c r="E97" s="59">
        <f t="shared" si="20"/>
        <v>100350833.67520274</v>
      </c>
      <c r="F97" s="59">
        <f t="shared" si="20"/>
        <v>103191392.01333638</v>
      </c>
      <c r="G97" s="59">
        <f t="shared" si="20"/>
        <v>105377399.54529127</v>
      </c>
    </row>
    <row r="98" spans="1:7" ht="15">
      <c r="A98" s="56" t="s">
        <v>94</v>
      </c>
      <c r="B98" s="49"/>
      <c r="C98" s="49"/>
      <c r="D98" s="49"/>
      <c r="E98" s="49"/>
      <c r="F98" s="49"/>
      <c r="G98" s="49"/>
    </row>
    <row r="99" spans="1:7">
      <c r="A99" s="29" t="s">
        <v>95</v>
      </c>
      <c r="B99" s="5">
        <f>'23-24'!CC99</f>
        <v>790000</v>
      </c>
      <c r="C99" s="5">
        <f>'24-25'!CC99</f>
        <v>0</v>
      </c>
      <c r="D99" s="5">
        <f>'25-26'!CC99</f>
        <v>0</v>
      </c>
      <c r="E99" s="5">
        <f>'26-27'!CC99</f>
        <v>0</v>
      </c>
      <c r="F99" s="5">
        <f>'27-28'!CC99</f>
        <v>0</v>
      </c>
      <c r="G99" s="5">
        <f>'28-29'!CC99</f>
        <v>0</v>
      </c>
    </row>
    <row r="100" spans="1:7">
      <c r="A100" s="29" t="s">
        <v>96</v>
      </c>
      <c r="B100" s="5">
        <f>'23-24'!CC100</f>
        <v>0</v>
      </c>
      <c r="C100" s="5">
        <f>'24-25'!CC100</f>
        <v>0</v>
      </c>
      <c r="D100" s="5">
        <f>'25-26'!CC100</f>
        <v>0</v>
      </c>
      <c r="E100" s="5">
        <f>'26-27'!CC100</f>
        <v>0</v>
      </c>
      <c r="F100" s="5">
        <f>'27-28'!CC100</f>
        <v>0</v>
      </c>
      <c r="G100" s="5">
        <f>'28-29'!CC100</f>
        <v>0</v>
      </c>
    </row>
    <row r="101" spans="1:7">
      <c r="A101" s="29" t="s">
        <v>264</v>
      </c>
      <c r="B101" s="5">
        <f>'23-24'!CC101</f>
        <v>545869</v>
      </c>
      <c r="C101" s="5">
        <f>'24-25'!CC101</f>
        <v>150000</v>
      </c>
      <c r="D101" s="5">
        <f>'25-26'!CC101</f>
        <v>0</v>
      </c>
      <c r="E101" s="5">
        <f>'26-27'!CC101</f>
        <v>0</v>
      </c>
      <c r="F101" s="5">
        <f>'27-28'!CC101</f>
        <v>0</v>
      </c>
      <c r="G101" s="5">
        <f>'28-29'!CC101</f>
        <v>0</v>
      </c>
    </row>
    <row r="102" spans="1:7">
      <c r="A102" s="29"/>
      <c r="B102" s="5">
        <f>'23-24'!CC102</f>
        <v>0</v>
      </c>
      <c r="C102" s="5">
        <f>'24-25'!CC102</f>
        <v>0</v>
      </c>
      <c r="D102" s="5">
        <f>'25-26'!CC102</f>
        <v>0</v>
      </c>
      <c r="E102" s="5">
        <f>'26-27'!CC102</f>
        <v>0</v>
      </c>
      <c r="F102" s="5">
        <f>'27-28'!CC102</f>
        <v>0</v>
      </c>
      <c r="G102" s="5">
        <f>'28-29'!CC102</f>
        <v>0</v>
      </c>
    </row>
    <row r="103" spans="1:7" ht="15">
      <c r="A103" s="54" t="s">
        <v>97</v>
      </c>
      <c r="B103" s="55">
        <f t="shared" ref="B103:G103" si="21">SUM(B99:B102)</f>
        <v>1335869</v>
      </c>
      <c r="C103" s="55">
        <f t="shared" si="21"/>
        <v>150000</v>
      </c>
      <c r="D103" s="55">
        <f t="shared" si="21"/>
        <v>0</v>
      </c>
      <c r="E103" s="55">
        <f t="shared" si="21"/>
        <v>0</v>
      </c>
      <c r="F103" s="55">
        <f t="shared" si="21"/>
        <v>0</v>
      </c>
      <c r="G103" s="55">
        <f t="shared" si="21"/>
        <v>0</v>
      </c>
    </row>
    <row r="104" spans="1:7" ht="15" thickBot="1">
      <c r="A104" s="29"/>
      <c r="B104" s="42"/>
      <c r="C104" s="42"/>
      <c r="D104" s="42"/>
      <c r="E104" s="42"/>
      <c r="F104" s="42"/>
      <c r="G104" s="42"/>
    </row>
    <row r="105" spans="1:7" ht="15.75" thickBot="1">
      <c r="A105" s="60" t="s">
        <v>98</v>
      </c>
      <c r="B105" s="61" t="str">
        <f t="shared" ref="B105:G105" si="22">B1</f>
        <v>23-24</v>
      </c>
      <c r="C105" s="61" t="str">
        <f t="shared" si="22"/>
        <v>24-25</v>
      </c>
      <c r="D105" s="61" t="str">
        <f t="shared" si="22"/>
        <v>25-26</v>
      </c>
      <c r="E105" s="61" t="str">
        <f t="shared" si="22"/>
        <v>26-27</v>
      </c>
      <c r="F105" s="61" t="str">
        <f t="shared" si="22"/>
        <v>27-28</v>
      </c>
      <c r="G105" s="61" t="str">
        <f t="shared" si="22"/>
        <v>28-29</v>
      </c>
    </row>
    <row r="106" spans="1:7" ht="15">
      <c r="A106" s="48" t="s">
        <v>99</v>
      </c>
      <c r="B106" s="49"/>
      <c r="C106" s="49"/>
      <c r="D106" s="49"/>
      <c r="E106" s="49"/>
      <c r="F106" s="49"/>
      <c r="G106" s="49"/>
    </row>
    <row r="107" spans="1:7">
      <c r="A107" s="29" t="s">
        <v>40</v>
      </c>
      <c r="B107" s="5">
        <f>'23-24'!CC107</f>
        <v>729456.5</v>
      </c>
      <c r="C107" s="5">
        <f>'24-25'!CC107</f>
        <v>857063</v>
      </c>
      <c r="D107" s="5">
        <f>'25-26'!CC107</f>
        <v>869918.94500000007</v>
      </c>
      <c r="E107" s="5">
        <f>'26-27'!CC107</f>
        <v>882967.72917499987</v>
      </c>
      <c r="F107" s="5">
        <f>'27-28'!CC107</f>
        <v>896212.24511262472</v>
      </c>
      <c r="G107" s="5">
        <f>'28-29'!CC107</f>
        <v>909655.42878931412</v>
      </c>
    </row>
    <row r="108" spans="1:7">
      <c r="A108" s="29" t="s">
        <v>100</v>
      </c>
      <c r="B108" s="5">
        <f>'23-24'!CC108</f>
        <v>2060000</v>
      </c>
      <c r="C108" s="5">
        <f>'24-25'!CC108</f>
        <v>2176390</v>
      </c>
      <c r="D108" s="5">
        <f>'25-26'!CC108</f>
        <v>2209035.8499999996</v>
      </c>
      <c r="E108" s="5">
        <f>'26-27'!CC108</f>
        <v>2242171.3877499998</v>
      </c>
      <c r="F108" s="5">
        <f>'27-28'!CC108</f>
        <v>2275803.9585662493</v>
      </c>
      <c r="G108" s="5">
        <f>'28-29'!CC108</f>
        <v>2309941.0179447429</v>
      </c>
    </row>
    <row r="109" spans="1:7">
      <c r="A109" s="29" t="s">
        <v>42</v>
      </c>
      <c r="B109" s="5">
        <f>'23-24'!CC109</f>
        <v>70000</v>
      </c>
      <c r="C109" s="5">
        <f>'24-25'!CC109</f>
        <v>72100</v>
      </c>
      <c r="D109" s="5">
        <f>'25-26'!CC109</f>
        <v>73181.5</v>
      </c>
      <c r="E109" s="5">
        <f>'26-27'!CC109</f>
        <v>74279.222499999989</v>
      </c>
      <c r="F109" s="5">
        <f>'27-28'!CC109</f>
        <v>75393.410837499978</v>
      </c>
      <c r="G109" s="5">
        <f>'28-29'!CC109</f>
        <v>76524.312000062477</v>
      </c>
    </row>
    <row r="110" spans="1:7">
      <c r="A110" s="32" t="s">
        <v>43</v>
      </c>
      <c r="B110" s="5">
        <f>'23-24'!CC110</f>
        <v>450000</v>
      </c>
      <c r="C110" s="5">
        <f>'24-25'!CC110</f>
        <v>463500</v>
      </c>
      <c r="D110" s="5">
        <f>'25-26'!CC110</f>
        <v>470452.5</v>
      </c>
      <c r="E110" s="5">
        <f>'26-27'!CC110</f>
        <v>477509.28749999992</v>
      </c>
      <c r="F110" s="5">
        <f>'27-28'!CC110</f>
        <v>484671.92681249988</v>
      </c>
      <c r="G110" s="5">
        <f>'28-29'!CC110</f>
        <v>491942.00571468729</v>
      </c>
    </row>
    <row r="111" spans="1:7">
      <c r="A111" s="32" t="s">
        <v>44</v>
      </c>
      <c r="B111" s="5">
        <f>'23-24'!CC111</f>
        <v>734700</v>
      </c>
      <c r="C111" s="5">
        <f>'24-25'!CC111</f>
        <v>756741</v>
      </c>
      <c r="D111" s="5">
        <f>'25-26'!CC111</f>
        <v>768092.11499999987</v>
      </c>
      <c r="E111" s="5">
        <f>'26-27'!CC111</f>
        <v>779613.49672499974</v>
      </c>
      <c r="F111" s="5">
        <f>'27-28'!CC111</f>
        <v>791307.6991758747</v>
      </c>
      <c r="G111" s="5">
        <f>'28-29'!CC111</f>
        <v>803177.31466351275</v>
      </c>
    </row>
    <row r="112" spans="1:7">
      <c r="A112" s="29" t="s">
        <v>101</v>
      </c>
      <c r="B112" s="5">
        <f>'23-24'!CC112</f>
        <v>624400</v>
      </c>
      <c r="C112" s="5">
        <f>'24-25'!CC112</f>
        <v>723472</v>
      </c>
      <c r="D112" s="5">
        <f>'25-26'!CC112</f>
        <v>734324.07999999984</v>
      </c>
      <c r="E112" s="5">
        <f>'26-27'!CC112</f>
        <v>745338.94119999977</v>
      </c>
      <c r="F112" s="5">
        <f>'27-28'!CC112</f>
        <v>756519.02531799977</v>
      </c>
      <c r="G112" s="5">
        <f>'28-29'!CC112</f>
        <v>767866.81069776963</v>
      </c>
    </row>
    <row r="113" spans="1:7">
      <c r="A113" s="29" t="s">
        <v>102</v>
      </c>
      <c r="B113" s="5">
        <f>'23-24'!CC113</f>
        <v>66000</v>
      </c>
      <c r="C113" s="5">
        <f>'24-25'!CC113</f>
        <v>67980</v>
      </c>
      <c r="D113" s="5">
        <f>'25-26'!CC113</f>
        <v>68999.7</v>
      </c>
      <c r="E113" s="5">
        <f>'26-27'!CC113</f>
        <v>70034.695499999987</v>
      </c>
      <c r="F113" s="5">
        <f>'27-28'!CC113</f>
        <v>71085.215932499981</v>
      </c>
      <c r="G113" s="5">
        <f>'28-29'!CC113</f>
        <v>72151.494171487473</v>
      </c>
    </row>
    <row r="114" spans="1:7">
      <c r="A114" s="29" t="s">
        <v>103</v>
      </c>
      <c r="B114" s="5">
        <f>'23-24'!CC114</f>
        <v>19943550</v>
      </c>
      <c r="C114" s="5">
        <f>'24-25'!CC114</f>
        <v>21092550</v>
      </c>
      <c r="D114" s="5">
        <f>'25-26'!CC114</f>
        <v>21686207.5</v>
      </c>
      <c r="E114" s="5">
        <f>'26-27'!CC114</f>
        <v>22610933.112500001</v>
      </c>
      <c r="F114" s="5">
        <f>'27-28'!CC114</f>
        <v>23292677.109187499</v>
      </c>
      <c r="G114" s="5">
        <f>'28-29'!CC114</f>
        <v>23850939.765825313</v>
      </c>
    </row>
    <row r="115" spans="1:7">
      <c r="A115" s="29" t="s">
        <v>30</v>
      </c>
      <c r="B115" s="5">
        <f>'23-24'!CC115</f>
        <v>2474675</v>
      </c>
      <c r="C115" s="5">
        <f>'24-25'!CC115</f>
        <v>2557027.75</v>
      </c>
      <c r="D115" s="5">
        <f>'25-26'!CC115</f>
        <v>2593489.4162499998</v>
      </c>
      <c r="E115" s="5">
        <f>'26-27'!CC115</f>
        <v>2634719.2574937502</v>
      </c>
      <c r="F115" s="5">
        <f>'27-28'!CC115</f>
        <v>2675967.5463561565</v>
      </c>
      <c r="G115" s="5">
        <f>'28-29'!CC115</f>
        <v>2783234.5595514984</v>
      </c>
    </row>
    <row r="116" spans="1:7">
      <c r="A116" s="29" t="s">
        <v>104</v>
      </c>
      <c r="B116" s="5">
        <f>'23-24'!CC116</f>
        <v>971092</v>
      </c>
      <c r="C116" s="5">
        <f>'24-25'!CC116</f>
        <v>997832.76</v>
      </c>
      <c r="D116" s="5">
        <f>'25-26'!CC116</f>
        <v>1012800.2514</v>
      </c>
      <c r="E116" s="5">
        <f>'26-27'!CC116</f>
        <v>1027992.2551709998</v>
      </c>
      <c r="F116" s="5">
        <f>'27-28'!CC116</f>
        <v>1043412.1389985647</v>
      </c>
      <c r="G116" s="5">
        <f>'28-29'!CC116</f>
        <v>1059063.3210835429</v>
      </c>
    </row>
    <row r="117" spans="1:7">
      <c r="A117" s="29" t="s">
        <v>105</v>
      </c>
      <c r="B117" s="5">
        <f>'23-24'!CC117</f>
        <v>704520</v>
      </c>
      <c r="C117" s="5">
        <f>'24-25'!CC117</f>
        <v>740880</v>
      </c>
      <c r="D117" s="5">
        <f>'25-26'!CC117</f>
        <v>749970</v>
      </c>
      <c r="E117" s="5">
        <f>'26-27'!CC117</f>
        <v>759060</v>
      </c>
      <c r="F117" s="5">
        <f>'27-28'!CC117</f>
        <v>768150</v>
      </c>
      <c r="G117" s="5">
        <f>'28-29'!CC117</f>
        <v>777240</v>
      </c>
    </row>
    <row r="118" spans="1:7">
      <c r="A118" s="29" t="s">
        <v>106</v>
      </c>
      <c r="B118" s="5">
        <f>'23-24'!CC118</f>
        <v>2245685.5</v>
      </c>
      <c r="C118" s="5">
        <f>'24-25'!CC118</f>
        <v>2398353.6</v>
      </c>
      <c r="D118" s="5">
        <f>'25-26'!CC118</f>
        <v>2427873</v>
      </c>
      <c r="E118" s="5">
        <f>'26-27'!CC118</f>
        <v>2485554.9</v>
      </c>
      <c r="F118" s="5">
        <f>'27-28'!CC118</f>
        <v>2546754.2999999998</v>
      </c>
      <c r="G118" s="5">
        <f>'28-29'!CC118</f>
        <v>2605294.9500000002</v>
      </c>
    </row>
    <row r="119" spans="1:7">
      <c r="A119" s="29" t="s">
        <v>107</v>
      </c>
      <c r="B119" s="5">
        <f>'23-24'!CC119</f>
        <v>1027679</v>
      </c>
      <c r="C119" s="5">
        <f>'24-25'!CC119</f>
        <v>1088049</v>
      </c>
      <c r="D119" s="5">
        <f>'25-26'!CC119</f>
        <v>1100385.75</v>
      </c>
      <c r="E119" s="5">
        <f>'26-27'!CC119</f>
        <v>1112749.1512500001</v>
      </c>
      <c r="F119" s="5">
        <f>'27-28'!CC119</f>
        <v>1125139.6035187498</v>
      </c>
      <c r="G119" s="5">
        <f>'28-29'!CC119</f>
        <v>1137557.5125715311</v>
      </c>
    </row>
    <row r="120" spans="1:7">
      <c r="A120" s="29" t="s">
        <v>53</v>
      </c>
      <c r="B120" s="5">
        <f>'23-24'!CC120</f>
        <v>239320</v>
      </c>
      <c r="C120" s="5">
        <f>'24-25'!CC120</f>
        <v>280080</v>
      </c>
      <c r="D120" s="5">
        <f>'25-26'!CC120</f>
        <v>283568</v>
      </c>
      <c r="E120" s="5">
        <f>'26-27'!CC120</f>
        <v>286715.27</v>
      </c>
      <c r="F120" s="5">
        <f>'27-28'!CC120</f>
        <v>290221.94905</v>
      </c>
      <c r="G120" s="5">
        <f>'28-29'!CC120</f>
        <v>293563.17828574998</v>
      </c>
    </row>
    <row r="121" spans="1:7" ht="15">
      <c r="A121" s="64" t="s">
        <v>108</v>
      </c>
      <c r="B121" s="65">
        <f t="shared" ref="B121:G121" si="23">SUM(B107:B120)</f>
        <v>32341078</v>
      </c>
      <c r="C121" s="65">
        <f t="shared" si="23"/>
        <v>34272019.109999999</v>
      </c>
      <c r="D121" s="65">
        <f t="shared" si="23"/>
        <v>35048298.607650004</v>
      </c>
      <c r="E121" s="65">
        <f t="shared" si="23"/>
        <v>36189638.70676475</v>
      </c>
      <c r="F121" s="65">
        <f t="shared" si="23"/>
        <v>37093316.128866218</v>
      </c>
      <c r="G121" s="65">
        <f t="shared" si="23"/>
        <v>37938151.671299204</v>
      </c>
    </row>
    <row r="122" spans="1:7" ht="15">
      <c r="A122" s="66" t="s">
        <v>109</v>
      </c>
      <c r="B122" s="49"/>
      <c r="C122" s="49"/>
      <c r="D122" s="49"/>
      <c r="E122" s="49"/>
      <c r="F122" s="49"/>
      <c r="G122" s="49"/>
    </row>
    <row r="123" spans="1:7">
      <c r="A123" s="29" t="s">
        <v>55</v>
      </c>
      <c r="B123" s="5">
        <f>'23-24'!CC123</f>
        <v>302500</v>
      </c>
      <c r="C123" s="5">
        <f>'24-25'!CC123</f>
        <v>311575</v>
      </c>
      <c r="D123" s="5">
        <f>'25-26'!CC123</f>
        <v>316248.62499999994</v>
      </c>
      <c r="E123" s="5">
        <f>'26-27'!CC123</f>
        <v>320992.35437499994</v>
      </c>
      <c r="F123" s="5">
        <f>'27-28'!CC123</f>
        <v>325807.23969062488</v>
      </c>
      <c r="G123" s="5">
        <f>'28-29'!CC123</f>
        <v>330694.34828598425</v>
      </c>
    </row>
    <row r="124" spans="1:7">
      <c r="A124" s="29" t="s">
        <v>56</v>
      </c>
      <c r="B124" s="5">
        <f>'23-24'!CC124</f>
        <v>115250</v>
      </c>
      <c r="C124" s="5">
        <f>'24-25'!CC124</f>
        <v>118707.5</v>
      </c>
      <c r="D124" s="5">
        <f>'25-26'!CC124</f>
        <v>120488.11249999999</v>
      </c>
      <c r="E124" s="5">
        <f>'26-27'!CC124</f>
        <v>122295.43418749998</v>
      </c>
      <c r="F124" s="5">
        <f>'27-28'!CC124</f>
        <v>124129.86570031247</v>
      </c>
      <c r="G124" s="5">
        <f>'28-29'!CC124</f>
        <v>125991.81368581715</v>
      </c>
    </row>
    <row r="125" spans="1:7">
      <c r="A125" s="29" t="s">
        <v>57</v>
      </c>
      <c r="B125" s="5">
        <f>'23-24'!CC125</f>
        <v>273500</v>
      </c>
      <c r="C125" s="5">
        <f>'24-25'!CC125</f>
        <v>281705</v>
      </c>
      <c r="D125" s="5">
        <f>'25-26'!CC125</f>
        <v>285930.57499999995</v>
      </c>
      <c r="E125" s="5">
        <f>'26-27'!CC125</f>
        <v>290219.53362499992</v>
      </c>
      <c r="F125" s="5">
        <f>'27-28'!CC125</f>
        <v>294572.82662937493</v>
      </c>
      <c r="G125" s="5">
        <f>'28-29'!CC125</f>
        <v>298991.41902881552</v>
      </c>
    </row>
    <row r="126" spans="1:7">
      <c r="A126" s="29" t="s">
        <v>110</v>
      </c>
      <c r="B126" s="5">
        <f>'23-24'!CC126</f>
        <v>73000</v>
      </c>
      <c r="C126" s="5">
        <f>'24-25'!CC126</f>
        <v>75190</v>
      </c>
      <c r="D126" s="5">
        <f>'25-26'!CC126</f>
        <v>76317.849999999991</v>
      </c>
      <c r="E126" s="5">
        <f>'26-27'!CC126</f>
        <v>77462.61774999999</v>
      </c>
      <c r="F126" s="5">
        <f>'27-28'!CC126</f>
        <v>78624.557016249979</v>
      </c>
      <c r="G126" s="5">
        <f>'28-29'!CC126</f>
        <v>79803.925371493722</v>
      </c>
    </row>
    <row r="127" spans="1:7">
      <c r="A127" s="29" t="s">
        <v>59</v>
      </c>
      <c r="B127" s="5">
        <f>'23-24'!CC127</f>
        <v>218800</v>
      </c>
      <c r="C127" s="5">
        <f>'24-25'!CC127</f>
        <v>225364</v>
      </c>
      <c r="D127" s="5">
        <f>'25-26'!CC127</f>
        <v>228744.45999999996</v>
      </c>
      <c r="E127" s="5">
        <f>'26-27'!CC127</f>
        <v>232175.62689999992</v>
      </c>
      <c r="F127" s="5">
        <f>'27-28'!CC127</f>
        <v>235658.26130349989</v>
      </c>
      <c r="G127" s="5">
        <f>'28-29'!CC127</f>
        <v>239193.13522305238</v>
      </c>
    </row>
    <row r="128" spans="1:7">
      <c r="A128" s="29" t="s">
        <v>111</v>
      </c>
      <c r="B128" s="5">
        <f>'23-24'!CC128</f>
        <v>372000</v>
      </c>
      <c r="C128" s="5">
        <f>'24-25'!CC128</f>
        <v>383720</v>
      </c>
      <c r="D128" s="5">
        <f>'25-26'!CC128</f>
        <v>420433.29999999993</v>
      </c>
      <c r="E128" s="5">
        <f>'26-27'!CC128</f>
        <v>426739.79949999985</v>
      </c>
      <c r="F128" s="5">
        <f>'27-28'!CC128</f>
        <v>433140.89649249986</v>
      </c>
      <c r="G128" s="5">
        <f>'28-29'!CC128</f>
        <v>439638.00993988727</v>
      </c>
    </row>
    <row r="129" spans="1:9">
      <c r="A129" s="29" t="s">
        <v>112</v>
      </c>
      <c r="B129" s="5">
        <f>'23-24'!CC129</f>
        <v>175000</v>
      </c>
      <c r="C129" s="5">
        <f>'24-25'!CC129</f>
        <v>230450</v>
      </c>
      <c r="D129" s="5">
        <f>'25-26'!CC129</f>
        <v>233906.74999999997</v>
      </c>
      <c r="E129" s="5">
        <f>'26-27'!CC129</f>
        <v>237415.35124999995</v>
      </c>
      <c r="F129" s="5">
        <f>'27-28'!CC129</f>
        <v>240976.58151874994</v>
      </c>
      <c r="G129" s="5">
        <f>'28-29'!CC129</f>
        <v>244591.23024153116</v>
      </c>
    </row>
    <row r="130" spans="1:9">
      <c r="A130" s="29" t="s">
        <v>60</v>
      </c>
      <c r="B130" s="5">
        <f>'23-24'!CC130</f>
        <v>306000</v>
      </c>
      <c r="C130" s="5">
        <f>'24-25'!CC130</f>
        <v>346500</v>
      </c>
      <c r="D130" s="5">
        <f>'25-26'!CC130</f>
        <v>346500</v>
      </c>
      <c r="E130" s="5">
        <f>'26-27'!CC130</f>
        <v>346500</v>
      </c>
      <c r="F130" s="5">
        <f>'27-28'!CC130</f>
        <v>346500</v>
      </c>
      <c r="G130" s="5">
        <f>'28-29'!CC130</f>
        <v>346500</v>
      </c>
    </row>
    <row r="131" spans="1:9" ht="15">
      <c r="A131" s="68" t="s">
        <v>113</v>
      </c>
      <c r="B131" s="69">
        <f t="shared" ref="B131:G131" si="24">SUM(B123:B130)</f>
        <v>1836050</v>
      </c>
      <c r="C131" s="69">
        <f t="shared" si="24"/>
        <v>1973211.5</v>
      </c>
      <c r="D131" s="69">
        <f t="shared" si="24"/>
        <v>2028569.6724999999</v>
      </c>
      <c r="E131" s="69">
        <f t="shared" si="24"/>
        <v>2053800.7175874994</v>
      </c>
      <c r="F131" s="69">
        <f t="shared" si="24"/>
        <v>2079410.228351312</v>
      </c>
      <c r="G131" s="69">
        <f t="shared" si="24"/>
        <v>2105403.8817765815</v>
      </c>
    </row>
    <row r="132" spans="1:9" ht="15">
      <c r="A132" s="70" t="s">
        <v>114</v>
      </c>
      <c r="B132" s="71">
        <f t="shared" ref="B132:G132" si="25">B121+B131</f>
        <v>34177128</v>
      </c>
      <c r="C132" s="71">
        <f t="shared" si="25"/>
        <v>36245230.609999999</v>
      </c>
      <c r="D132" s="71">
        <f t="shared" si="25"/>
        <v>37076868.280150004</v>
      </c>
      <c r="E132" s="71">
        <f t="shared" si="25"/>
        <v>38243439.424352251</v>
      </c>
      <c r="F132" s="71">
        <f t="shared" si="25"/>
        <v>39172726.357217528</v>
      </c>
      <c r="G132" s="71">
        <f t="shared" si="25"/>
        <v>40043555.553075783</v>
      </c>
    </row>
    <row r="133" spans="1:9">
      <c r="A133" s="29" t="s">
        <v>115</v>
      </c>
      <c r="B133" s="5">
        <f>'23-24'!CC133</f>
        <v>11399555.380000001</v>
      </c>
      <c r="C133" s="5">
        <f>'24-25'!CC133</f>
        <v>12097399.78435</v>
      </c>
      <c r="D133" s="5">
        <f>'25-26'!CC133</f>
        <v>12375327.116800252</v>
      </c>
      <c r="E133" s="5">
        <f>'26-27'!CC133</f>
        <v>12765447.093752256</v>
      </c>
      <c r="F133" s="5">
        <f>'27-28'!CC133</f>
        <v>13076066.639561038</v>
      </c>
      <c r="G133" s="5">
        <f>'28-29'!CC133</f>
        <v>13367092.46982195</v>
      </c>
    </row>
    <row r="134" spans="1:9">
      <c r="A134" s="29" t="s">
        <v>116</v>
      </c>
      <c r="B134" s="5">
        <f>'23-24'!CC134</f>
        <v>4918548.1977500003</v>
      </c>
      <c r="C134" s="5">
        <f>'24-25'!CC134</f>
        <v>5364896.6532000005</v>
      </c>
      <c r="D134" s="5">
        <f>'25-26'!CC134</f>
        <v>5561530.2420225013</v>
      </c>
      <c r="E134" s="5">
        <f>'26-27'!CC134</f>
        <v>5832124.5122137181</v>
      </c>
      <c r="F134" s="5">
        <f>'27-28'!CC134</f>
        <v>6071772.585368718</v>
      </c>
      <c r="G134" s="5">
        <f>'28-29'!CC134</f>
        <v>6306859.9996094387</v>
      </c>
      <c r="I134" s="140" cm="1">
        <f t="array" ref="I134">SUM(B133:B134/B132)</f>
        <v>0.47745684124628618</v>
      </c>
    </row>
    <row r="135" spans="1:9">
      <c r="A135" s="29" t="s">
        <v>117</v>
      </c>
      <c r="B135" s="5">
        <f>'23-24'!CC135</f>
        <v>600306.37</v>
      </c>
      <c r="C135" s="5">
        <f>'24-25'!CC135</f>
        <v>647784.87</v>
      </c>
      <c r="D135" s="5">
        <f>'25-26'!CC135</f>
        <v>652602.87</v>
      </c>
      <c r="E135" s="5">
        <f>'26-27'!CC135</f>
        <v>662067.87</v>
      </c>
      <c r="F135" s="5">
        <f>'27-28'!CC135</f>
        <v>667285.87</v>
      </c>
      <c r="G135" s="5">
        <f>'28-29'!CC135</f>
        <v>671525.87</v>
      </c>
    </row>
    <row r="136" spans="1:9">
      <c r="A136" s="29" t="s">
        <v>118</v>
      </c>
      <c r="B136" s="5">
        <f>'23-24'!CC136</f>
        <v>115124.5</v>
      </c>
      <c r="C136" s="5">
        <f>'24-25'!CC136</f>
        <v>119599.5</v>
      </c>
      <c r="D136" s="5">
        <f>'25-26'!CC136</f>
        <v>120349.5</v>
      </c>
      <c r="E136" s="5">
        <f>'26-27'!CC136</f>
        <v>121849.5</v>
      </c>
      <c r="F136" s="5">
        <f>'27-28'!CC136</f>
        <v>122749.5</v>
      </c>
      <c r="G136" s="5">
        <f>'28-29'!CC136</f>
        <v>123499.5</v>
      </c>
    </row>
    <row r="137" spans="1:9">
      <c r="A137" s="29" t="s">
        <v>119</v>
      </c>
      <c r="B137" s="5">
        <f>'23-24'!CC137</f>
        <v>209500</v>
      </c>
      <c r="C137" s="5">
        <f>'24-25'!CC137</f>
        <v>265600</v>
      </c>
      <c r="D137" s="5">
        <f>'25-26'!CC137</f>
        <v>272500</v>
      </c>
      <c r="E137" s="5">
        <f>'26-27'!CC137</f>
        <v>272500</v>
      </c>
      <c r="F137" s="5">
        <f>'27-28'!CC137</f>
        <v>272500</v>
      </c>
      <c r="G137" s="5">
        <f>'28-29'!CC137</f>
        <v>272500</v>
      </c>
    </row>
    <row r="138" spans="1:9">
      <c r="A138" s="29" t="s">
        <v>120</v>
      </c>
      <c r="B138" s="5">
        <f>'23-24'!CC138</f>
        <v>0</v>
      </c>
      <c r="C138" s="5">
        <f>'24-25'!CC138</f>
        <v>0</v>
      </c>
      <c r="D138" s="5">
        <f>'25-26'!CC138</f>
        <v>0</v>
      </c>
      <c r="E138" s="5">
        <f>'26-27'!CC138</f>
        <v>0</v>
      </c>
      <c r="F138" s="5">
        <f>'27-28'!CC138</f>
        <v>0</v>
      </c>
      <c r="G138" s="5">
        <f>'28-29'!CC138</f>
        <v>0</v>
      </c>
    </row>
    <row r="139" spans="1:9">
      <c r="A139" s="29" t="s">
        <v>121</v>
      </c>
      <c r="B139" s="5">
        <f>'23-24'!CC139</f>
        <v>84000</v>
      </c>
      <c r="C139" s="5">
        <f>'24-25'!CC139</f>
        <v>67000</v>
      </c>
      <c r="D139" s="5">
        <f>'25-26'!CC139</f>
        <v>67000</v>
      </c>
      <c r="E139" s="5">
        <f>'26-27'!CC139</f>
        <v>67000</v>
      </c>
      <c r="F139" s="5">
        <f>'27-28'!CC139</f>
        <v>67000</v>
      </c>
      <c r="G139" s="5">
        <f>'28-29'!CC139</f>
        <v>67000</v>
      </c>
    </row>
    <row r="140" spans="1:9">
      <c r="A140" s="29" t="s">
        <v>122</v>
      </c>
      <c r="B140" s="5">
        <f>'23-24'!CC140</f>
        <v>466282.5</v>
      </c>
      <c r="C140" s="5">
        <f>'24-25'!CC140</f>
        <v>463375</v>
      </c>
      <c r="D140" s="5">
        <f>'25-26'!CC140</f>
        <v>473825</v>
      </c>
      <c r="E140" s="5">
        <f>'26-27'!CC140</f>
        <v>492635</v>
      </c>
      <c r="F140" s="5">
        <f>'27-28'!CC140</f>
        <v>503085</v>
      </c>
      <c r="G140" s="5">
        <f>'28-29'!CC140</f>
        <v>511445</v>
      </c>
    </row>
    <row r="141" spans="1:9" ht="15">
      <c r="A141" s="73" t="s">
        <v>123</v>
      </c>
      <c r="B141" s="74">
        <f t="shared" ref="B141:G141" si="26">SUM(B133:B140)</f>
        <v>17793316.947750002</v>
      </c>
      <c r="C141" s="74">
        <f t="shared" si="26"/>
        <v>19025655.807550002</v>
      </c>
      <c r="D141" s="74">
        <f t="shared" si="26"/>
        <v>19523134.728822757</v>
      </c>
      <c r="E141" s="74">
        <f t="shared" si="26"/>
        <v>20213623.975965973</v>
      </c>
      <c r="F141" s="74">
        <f t="shared" si="26"/>
        <v>20780459.594929758</v>
      </c>
      <c r="G141" s="74">
        <f t="shared" si="26"/>
        <v>21319922.83943139</v>
      </c>
    </row>
    <row r="142" spans="1:9" ht="15">
      <c r="A142" s="70" t="s">
        <v>124</v>
      </c>
      <c r="B142" s="71">
        <f t="shared" ref="B142:G142" si="27">B132+B141</f>
        <v>51970444.947750002</v>
      </c>
      <c r="C142" s="71">
        <f t="shared" si="27"/>
        <v>55270886.417549998</v>
      </c>
      <c r="D142" s="71">
        <f t="shared" si="27"/>
        <v>56600003.008972764</v>
      </c>
      <c r="E142" s="71">
        <f t="shared" si="27"/>
        <v>58457063.40031822</v>
      </c>
      <c r="F142" s="71">
        <f t="shared" si="27"/>
        <v>59953185.95214729</v>
      </c>
      <c r="G142" s="71">
        <f t="shared" si="27"/>
        <v>61363478.392507173</v>
      </c>
    </row>
    <row r="143" spans="1:9" ht="15">
      <c r="A143" s="75" t="s">
        <v>125</v>
      </c>
      <c r="B143" s="18" t="str">
        <f t="shared" ref="B143:G143" si="28">B1</f>
        <v>23-24</v>
      </c>
      <c r="C143" s="18" t="str">
        <f t="shared" si="28"/>
        <v>24-25</v>
      </c>
      <c r="D143" s="18" t="str">
        <f t="shared" si="28"/>
        <v>25-26</v>
      </c>
      <c r="E143" s="18" t="str">
        <f t="shared" si="28"/>
        <v>26-27</v>
      </c>
      <c r="F143" s="18" t="str">
        <f t="shared" si="28"/>
        <v>27-28</v>
      </c>
      <c r="G143" s="18" t="str">
        <f t="shared" si="28"/>
        <v>28-29</v>
      </c>
    </row>
    <row r="144" spans="1:9">
      <c r="A144" s="76" t="s">
        <v>126</v>
      </c>
      <c r="B144" s="5">
        <f>'23-24'!CC144</f>
        <v>1552600</v>
      </c>
      <c r="C144" s="5">
        <f>'24-25'!CC144</f>
        <v>1759080</v>
      </c>
      <c r="D144" s="5">
        <f>'25-26'!CC144</f>
        <v>1768410</v>
      </c>
      <c r="E144" s="5">
        <f>'26-27'!CC144</f>
        <v>1817340</v>
      </c>
      <c r="F144" s="5">
        <f>'27-28'!CC144</f>
        <v>1846110</v>
      </c>
      <c r="G144" s="5">
        <f>'28-29'!CC144</f>
        <v>1861860</v>
      </c>
    </row>
    <row r="145" spans="1:13">
      <c r="A145" s="77" t="s">
        <v>127</v>
      </c>
      <c r="B145" s="5">
        <f>'23-24'!CC145</f>
        <v>369600</v>
      </c>
      <c r="C145" s="5">
        <f>'24-25'!CC145</f>
        <v>376000</v>
      </c>
      <c r="D145" s="5">
        <f>'25-26'!CC145</f>
        <v>376000</v>
      </c>
      <c r="E145" s="5">
        <f>'26-27'!CC145</f>
        <v>376000</v>
      </c>
      <c r="F145" s="5">
        <f>'27-28'!CC145</f>
        <v>376000</v>
      </c>
      <c r="G145" s="5">
        <f>'28-29'!CC145</f>
        <v>376000</v>
      </c>
    </row>
    <row r="146" spans="1:13">
      <c r="A146" s="29" t="s">
        <v>128</v>
      </c>
      <c r="B146" s="5">
        <f>'23-24'!CC146</f>
        <v>795500</v>
      </c>
      <c r="C146" s="5">
        <f>'24-25'!CC146</f>
        <v>420000</v>
      </c>
      <c r="D146" s="5">
        <f>'25-26'!CC146</f>
        <v>420000</v>
      </c>
      <c r="E146" s="5">
        <f>'26-27'!CC146</f>
        <v>420000</v>
      </c>
      <c r="F146" s="5">
        <f>'27-28'!CC146</f>
        <v>420000</v>
      </c>
      <c r="G146" s="5">
        <f>'28-29'!CC146</f>
        <v>420000</v>
      </c>
    </row>
    <row r="147" spans="1:13">
      <c r="A147" s="29" t="s">
        <v>129</v>
      </c>
      <c r="B147" s="5">
        <f>'23-24'!CC147</f>
        <v>215450</v>
      </c>
      <c r="C147" s="5">
        <f>'24-25'!CC147</f>
        <v>218750</v>
      </c>
      <c r="D147" s="5">
        <f>'25-26'!CC147</f>
        <v>226025</v>
      </c>
      <c r="E147" s="5">
        <f>'26-27'!CC147</f>
        <v>231850</v>
      </c>
      <c r="F147" s="5">
        <f>'27-28'!CC147</f>
        <v>235275</v>
      </c>
      <c r="G147" s="5">
        <f>'28-29'!CC147</f>
        <v>237150</v>
      </c>
    </row>
    <row r="148" spans="1:13">
      <c r="A148" s="29" t="s">
        <v>130</v>
      </c>
      <c r="B148" s="5">
        <f>'23-24'!CC148</f>
        <v>311920</v>
      </c>
      <c r="C148" s="5">
        <f>'24-25'!CC148</f>
        <v>322500</v>
      </c>
      <c r="D148" s="5">
        <f>'25-26'!CC148</f>
        <v>334040</v>
      </c>
      <c r="E148" s="5">
        <f>'26-27'!CC148</f>
        <v>343360</v>
      </c>
      <c r="F148" s="5">
        <f>'27-28'!CC148</f>
        <v>348840</v>
      </c>
      <c r="G148" s="5">
        <f>'28-29'!CC148</f>
        <v>351840</v>
      </c>
    </row>
    <row r="149" spans="1:13">
      <c r="A149" s="29" t="s">
        <v>131</v>
      </c>
      <c r="B149" s="5">
        <f>'23-24'!CC149</f>
        <v>117870</v>
      </c>
      <c r="C149" s="5">
        <f>'24-25'!CC149</f>
        <v>121950</v>
      </c>
      <c r="D149" s="5">
        <f>'25-26'!CC149</f>
        <v>126315</v>
      </c>
      <c r="E149" s="5">
        <f>'26-27'!CC149</f>
        <v>129810</v>
      </c>
      <c r="F149" s="5">
        <f>'27-28'!CC149</f>
        <v>131865</v>
      </c>
      <c r="G149" s="5">
        <f>'28-29'!CC149</f>
        <v>132990</v>
      </c>
    </row>
    <row r="150" spans="1:13">
      <c r="A150" s="29" t="s">
        <v>132</v>
      </c>
      <c r="B150" s="5">
        <f>'23-24'!CC150</f>
        <v>61904</v>
      </c>
      <c r="C150" s="5">
        <f>'24-25'!CC150</f>
        <v>63960</v>
      </c>
      <c r="D150" s="5">
        <f>'25-26'!CC150</f>
        <v>66248</v>
      </c>
      <c r="E150" s="5">
        <f>'26-27'!CC150</f>
        <v>68112</v>
      </c>
      <c r="F150" s="5">
        <f>'27-28'!CC150</f>
        <v>69208</v>
      </c>
      <c r="G150" s="5">
        <f>'28-29'!CC150</f>
        <v>69808</v>
      </c>
    </row>
    <row r="151" spans="1:13">
      <c r="A151" s="29" t="s">
        <v>133</v>
      </c>
      <c r="B151" s="5">
        <f>'23-24'!CC151</f>
        <v>123300</v>
      </c>
      <c r="C151" s="5">
        <f>'24-25'!CC151</f>
        <v>124200</v>
      </c>
      <c r="D151" s="5">
        <f>'25-26'!CC151</f>
        <v>128314.25769618938</v>
      </c>
      <c r="E151" s="5">
        <f>'26-27'!CC151</f>
        <v>131664.34357566515</v>
      </c>
      <c r="F151" s="5">
        <f>'27-28'!CC151</f>
        <v>133372.36646523626</v>
      </c>
      <c r="G151" s="5">
        <f>'28-29'!CC151</f>
        <v>134091.35142764228</v>
      </c>
    </row>
    <row r="152" spans="1:13">
      <c r="A152" s="29" t="s">
        <v>134</v>
      </c>
      <c r="B152" s="5">
        <f>'23-24'!CC152</f>
        <v>200000</v>
      </c>
      <c r="C152" s="5">
        <f>'24-25'!CC152</f>
        <v>210000</v>
      </c>
      <c r="D152" s="5">
        <f>'25-26'!CC152</f>
        <v>210000</v>
      </c>
      <c r="E152" s="5">
        <f>'26-27'!CC152</f>
        <v>210000</v>
      </c>
      <c r="F152" s="5">
        <f>'27-28'!CC152</f>
        <v>210000</v>
      </c>
      <c r="G152" s="5">
        <f>'28-29'!CC152</f>
        <v>210000</v>
      </c>
    </row>
    <row r="153" spans="1:13">
      <c r="A153" s="78" t="s">
        <v>135</v>
      </c>
      <c r="B153" s="5">
        <f>'23-24'!CC153</f>
        <v>324996</v>
      </c>
      <c r="C153" s="5">
        <f>'24-25'!CC153</f>
        <v>369410</v>
      </c>
      <c r="D153" s="5">
        <f>'25-26'!CC153</f>
        <v>382350</v>
      </c>
      <c r="E153" s="5">
        <f>'26-27'!CC153</f>
        <v>392940</v>
      </c>
      <c r="F153" s="5">
        <f>'27-28'!CC153</f>
        <v>399105</v>
      </c>
      <c r="G153" s="5">
        <f>'28-29'!CC153</f>
        <v>402480</v>
      </c>
    </row>
    <row r="154" spans="1:13" ht="15">
      <c r="A154" s="70" t="s">
        <v>136</v>
      </c>
      <c r="B154" s="71">
        <f t="shared" ref="B154:G154" si="29">SUM(B144:B153)</f>
        <v>4073140</v>
      </c>
      <c r="C154" s="71">
        <f t="shared" si="29"/>
        <v>3985850</v>
      </c>
      <c r="D154" s="71">
        <f t="shared" si="29"/>
        <v>4037702.2576961895</v>
      </c>
      <c r="E154" s="71">
        <f t="shared" si="29"/>
        <v>4121076.3435756653</v>
      </c>
      <c r="F154" s="71">
        <f t="shared" si="29"/>
        <v>4169775.3664652361</v>
      </c>
      <c r="G154" s="71">
        <f t="shared" si="29"/>
        <v>4196219.3514276426</v>
      </c>
    </row>
    <row r="155" spans="1:13" ht="15">
      <c r="A155" s="75" t="s">
        <v>137</v>
      </c>
      <c r="B155" s="18" t="str">
        <f t="shared" ref="B155:G155" si="30">B1</f>
        <v>23-24</v>
      </c>
      <c r="C155" s="18" t="str">
        <f t="shared" si="30"/>
        <v>24-25</v>
      </c>
      <c r="D155" s="18" t="str">
        <f t="shared" si="30"/>
        <v>25-26</v>
      </c>
      <c r="E155" s="18" t="str">
        <f t="shared" si="30"/>
        <v>26-27</v>
      </c>
      <c r="F155" s="18" t="str">
        <f t="shared" si="30"/>
        <v>27-28</v>
      </c>
      <c r="G155" s="18" t="str">
        <f t="shared" si="30"/>
        <v>28-29</v>
      </c>
    </row>
    <row r="156" spans="1:13">
      <c r="A156" s="29" t="s">
        <v>138</v>
      </c>
      <c r="B156" s="5">
        <f>'23-24'!CC156</f>
        <v>128725</v>
      </c>
      <c r="C156" s="5">
        <f>'24-25'!CC156</f>
        <v>132700</v>
      </c>
      <c r="D156" s="5">
        <f>'25-26'!CC156</f>
        <v>139335</v>
      </c>
      <c r="E156" s="5">
        <f>'26-27'!CC156</f>
        <v>146301.75</v>
      </c>
      <c r="F156" s="5">
        <f>'27-28'!CC156</f>
        <v>153616.83749999999</v>
      </c>
      <c r="G156" s="5">
        <f>'28-29'!CC156</f>
        <v>157491.03562500002</v>
      </c>
      <c r="M156" s="7">
        <f>260/12</f>
        <v>21.666666666666668</v>
      </c>
    </row>
    <row r="157" spans="1:13">
      <c r="A157" s="29" t="s">
        <v>139</v>
      </c>
      <c r="B157" s="5">
        <f>'23-24'!CC157</f>
        <v>1778310</v>
      </c>
      <c r="C157" s="5">
        <f>'24-25'!CC157</f>
        <v>1904130</v>
      </c>
      <c r="D157" s="5">
        <f>'25-26'!CC157</f>
        <v>1996020</v>
      </c>
      <c r="E157" s="5">
        <f>'26-27'!CC157</f>
        <v>2088795</v>
      </c>
      <c r="F157" s="5">
        <f>'27-28'!CC157</f>
        <v>2156360</v>
      </c>
      <c r="G157" s="5">
        <f>'28-29'!CC157</f>
        <v>2212610</v>
      </c>
      <c r="I157" s="7">
        <f>B157/B20</f>
        <v>2163.3941605839418</v>
      </c>
    </row>
    <row r="158" spans="1:13">
      <c r="A158" s="29" t="s">
        <v>279</v>
      </c>
      <c r="B158" s="5">
        <f>'23-24'!CC158</f>
        <v>157600</v>
      </c>
      <c r="C158" s="5">
        <f>'24-25'!CC158</f>
        <v>197123</v>
      </c>
      <c r="D158" s="5">
        <f>'25-26'!CC158</f>
        <v>203123</v>
      </c>
      <c r="E158" s="5">
        <f>'26-27'!CC158</f>
        <v>203123</v>
      </c>
      <c r="F158" s="5">
        <f>'27-28'!CC158</f>
        <v>203123</v>
      </c>
      <c r="G158" s="5">
        <f>'28-29'!CC158</f>
        <v>203123</v>
      </c>
    </row>
    <row r="159" spans="1:13">
      <c r="A159" s="29" t="s">
        <v>280</v>
      </c>
      <c r="B159" s="5">
        <f>'23-24'!CC159</f>
        <v>90000</v>
      </c>
      <c r="C159" s="5">
        <f>'24-25'!CC159</f>
        <v>108000</v>
      </c>
      <c r="D159" s="5">
        <f>'25-26'!CC159</f>
        <v>112000</v>
      </c>
      <c r="E159" s="5">
        <f>'26-27'!CC159</f>
        <v>112000</v>
      </c>
      <c r="F159" s="5">
        <f>'27-28'!CC159</f>
        <v>112000</v>
      </c>
      <c r="G159" s="5">
        <f>'28-29'!CC159</f>
        <v>112000</v>
      </c>
      <c r="I159" s="7">
        <f>B161/B65</f>
        <v>263.46654016652218</v>
      </c>
      <c r="J159" s="7">
        <f>I159/12</f>
        <v>21.955545013876847</v>
      </c>
    </row>
    <row r="160" spans="1:13">
      <c r="A160" s="29" t="s">
        <v>140</v>
      </c>
      <c r="B160" s="5">
        <f>'23-24'!CC160</f>
        <v>3889710</v>
      </c>
      <c r="C160" s="5">
        <f>'24-25'!CC160</f>
        <v>4024350</v>
      </c>
      <c r="D160" s="5">
        <f>'25-26'!CC160</f>
        <v>4168395</v>
      </c>
      <c r="E160" s="5">
        <f>'26-27'!CC160</f>
        <v>4283730</v>
      </c>
      <c r="F160" s="5">
        <f>'27-28'!CC160</f>
        <v>4351545</v>
      </c>
      <c r="G160" s="5">
        <f>'28-29'!CC160</f>
        <v>4388670</v>
      </c>
    </row>
    <row r="161" spans="1:7">
      <c r="A161" s="29" t="s">
        <v>141</v>
      </c>
      <c r="B161" s="5">
        <f>'23-24'!CC161</f>
        <v>161065</v>
      </c>
      <c r="C161" s="5">
        <f>'24-25'!CC161</f>
        <v>187850</v>
      </c>
      <c r="D161" s="5">
        <f>'25-26'!CC161</f>
        <v>197242.5</v>
      </c>
      <c r="E161" s="5">
        <f>'26-27'!CC161</f>
        <v>206889.375</v>
      </c>
      <c r="F161" s="5">
        <f>'27-28'!CC161</f>
        <v>217233.84375</v>
      </c>
      <c r="G161" s="5">
        <f>'28-29'!CC161</f>
        <v>228095.53593750001</v>
      </c>
    </row>
    <row r="162" spans="1:7">
      <c r="A162" s="29" t="s">
        <v>142</v>
      </c>
      <c r="B162" s="5">
        <f>'23-24'!CC162</f>
        <v>107500</v>
      </c>
      <c r="C162" s="5">
        <f>'24-25'!CC162</f>
        <v>128000</v>
      </c>
      <c r="D162" s="5">
        <f>'25-26'!CC162</f>
        <v>134400</v>
      </c>
      <c r="E162" s="5">
        <f>'26-27'!CC162</f>
        <v>140043.75</v>
      </c>
      <c r="F162" s="5">
        <f>'27-28'!CC162</f>
        <v>147045.9375</v>
      </c>
      <c r="G162" s="5">
        <f>'28-29'!CC162</f>
        <v>154398.234375</v>
      </c>
    </row>
    <row r="163" spans="1:7">
      <c r="A163" s="29" t="s">
        <v>143</v>
      </c>
      <c r="B163" s="5">
        <f>'23-24'!CC163</f>
        <v>56000</v>
      </c>
      <c r="C163" s="5">
        <f>'24-25'!CC163</f>
        <v>53500</v>
      </c>
      <c r="D163" s="5">
        <f>'25-26'!CC163</f>
        <v>53500</v>
      </c>
      <c r="E163" s="5">
        <f>'26-27'!CC163</f>
        <v>53500</v>
      </c>
      <c r="F163" s="5">
        <f>'27-28'!CC163</f>
        <v>53500</v>
      </c>
      <c r="G163" s="5">
        <f>'28-29'!CC163</f>
        <v>53500</v>
      </c>
    </row>
    <row r="164" spans="1:7">
      <c r="A164" s="29" t="s">
        <v>144</v>
      </c>
      <c r="B164" s="5">
        <f>'23-24'!CC164</f>
        <v>382224</v>
      </c>
      <c r="C164" s="5">
        <f>'24-25'!CC164</f>
        <v>395280</v>
      </c>
      <c r="D164" s="5">
        <f>'25-26'!CC164</f>
        <v>409248</v>
      </c>
      <c r="E164" s="5">
        <f>'26-27'!CC164</f>
        <v>420432</v>
      </c>
      <c r="F164" s="5">
        <f>'27-28'!CC164</f>
        <v>427008</v>
      </c>
      <c r="G164" s="5">
        <f>'28-29'!CC164</f>
        <v>430608</v>
      </c>
    </row>
    <row r="165" spans="1:7">
      <c r="A165" s="29" t="s">
        <v>145</v>
      </c>
      <c r="B165" s="5">
        <f>'23-24'!CC165</f>
        <v>178000</v>
      </c>
      <c r="C165" s="5">
        <f>'24-25'!CC165</f>
        <v>180500</v>
      </c>
      <c r="D165" s="5">
        <f>'25-26'!CC165</f>
        <v>180500</v>
      </c>
      <c r="E165" s="5">
        <f>'26-27'!CC165</f>
        <v>180500</v>
      </c>
      <c r="F165" s="5">
        <f>'27-28'!CC165</f>
        <v>180500</v>
      </c>
      <c r="G165" s="5">
        <f>'28-29'!CC165</f>
        <v>180500</v>
      </c>
    </row>
    <row r="166" spans="1:7">
      <c r="A166" s="29" t="s">
        <v>146</v>
      </c>
      <c r="B166" s="5">
        <f>'23-24'!CC166</f>
        <v>882926.85000000009</v>
      </c>
      <c r="C166" s="5">
        <f>'24-25'!CC166</f>
        <v>956697.75</v>
      </c>
      <c r="D166" s="5">
        <f>'25-26'!CC166</f>
        <v>1005783.1875</v>
      </c>
      <c r="E166" s="5">
        <f>'26-27'!CC166</f>
        <v>1049297.5</v>
      </c>
      <c r="F166" s="5">
        <f>'27-28'!CC166</f>
        <v>1082391.875</v>
      </c>
      <c r="G166" s="5">
        <f>'28-29'!CC166</f>
        <v>1108028.3500000001</v>
      </c>
    </row>
    <row r="167" spans="1:7">
      <c r="A167" s="29" t="s">
        <v>147</v>
      </c>
      <c r="B167" s="5">
        <f>'23-24'!CC167</f>
        <v>353170.73999999993</v>
      </c>
      <c r="C167" s="5">
        <f>'24-25'!CC167</f>
        <v>382679.10000000003</v>
      </c>
      <c r="D167" s="5">
        <f>'25-26'!CC167</f>
        <v>402313.27500000002</v>
      </c>
      <c r="E167" s="5">
        <f>'26-27'!CC167</f>
        <v>419719</v>
      </c>
      <c r="F167" s="5">
        <f>'27-28'!CC167</f>
        <v>432956.75</v>
      </c>
      <c r="G167" s="5">
        <f>'28-29'!CC167</f>
        <v>443211.33999999991</v>
      </c>
    </row>
    <row r="168" spans="1:7">
      <c r="A168" s="29" t="s">
        <v>148</v>
      </c>
      <c r="B168" s="5">
        <f>'23-24'!CC168</f>
        <v>353170.73999999993</v>
      </c>
      <c r="C168" s="5">
        <f>'24-25'!CC168</f>
        <v>382679.10000000003</v>
      </c>
      <c r="D168" s="5">
        <f>'25-26'!CC168</f>
        <v>402313.27500000002</v>
      </c>
      <c r="E168" s="5">
        <f>'26-27'!CC168</f>
        <v>419719</v>
      </c>
      <c r="F168" s="5">
        <f>'27-28'!CC168</f>
        <v>432956.75</v>
      </c>
      <c r="G168" s="5">
        <f>'28-29'!CC168</f>
        <v>443211.33999999991</v>
      </c>
    </row>
    <row r="169" spans="1:7">
      <c r="A169" s="78" t="s">
        <v>149</v>
      </c>
      <c r="B169" s="5">
        <f>'23-24'!CC169</f>
        <v>0</v>
      </c>
      <c r="C169" s="5">
        <f>'24-25'!CC169</f>
        <v>0</v>
      </c>
      <c r="D169" s="5">
        <f>'25-26'!CC169</f>
        <v>0</v>
      </c>
      <c r="E169" s="5">
        <f>'26-27'!CC169</f>
        <v>0</v>
      </c>
      <c r="F169" s="5">
        <f>'27-28'!CC169</f>
        <v>0</v>
      </c>
      <c r="G169" s="5">
        <f>'28-29'!CC169</f>
        <v>0</v>
      </c>
    </row>
    <row r="170" spans="1:7" ht="15">
      <c r="A170" s="70" t="s">
        <v>150</v>
      </c>
      <c r="B170" s="71">
        <f t="shared" ref="B170:G170" si="31">SUM(B156:B169)</f>
        <v>8518402.3300000001</v>
      </c>
      <c r="C170" s="71">
        <f t="shared" si="31"/>
        <v>9033488.9499999993</v>
      </c>
      <c r="D170" s="71">
        <f t="shared" si="31"/>
        <v>9404173.2375000007</v>
      </c>
      <c r="E170" s="71">
        <f t="shared" si="31"/>
        <v>9724050.375</v>
      </c>
      <c r="F170" s="71">
        <f t="shared" si="31"/>
        <v>9950237.9937500004</v>
      </c>
      <c r="G170" s="71">
        <f t="shared" si="31"/>
        <v>10115446.8359375</v>
      </c>
    </row>
    <row r="171" spans="1:7" ht="15">
      <c r="A171" s="75" t="s">
        <v>151</v>
      </c>
      <c r="B171" s="18" t="str">
        <f t="shared" ref="B171:G171" si="32">B1</f>
        <v>23-24</v>
      </c>
      <c r="C171" s="18" t="str">
        <f t="shared" si="32"/>
        <v>24-25</v>
      </c>
      <c r="D171" s="18" t="str">
        <f t="shared" si="32"/>
        <v>25-26</v>
      </c>
      <c r="E171" s="18" t="str">
        <f t="shared" si="32"/>
        <v>26-27</v>
      </c>
      <c r="F171" s="18" t="str">
        <f t="shared" si="32"/>
        <v>27-28</v>
      </c>
      <c r="G171" s="18" t="str">
        <f t="shared" si="32"/>
        <v>28-29</v>
      </c>
    </row>
    <row r="172" spans="1:7">
      <c r="A172" s="81" t="s">
        <v>152</v>
      </c>
      <c r="B172" s="5">
        <f>'23-24'!CC172</f>
        <v>35927.5</v>
      </c>
      <c r="C172" s="5">
        <f>'24-25'!CC172</f>
        <v>24712.5</v>
      </c>
      <c r="D172" s="5">
        <f>'25-26'!CC172</f>
        <v>25948.125</v>
      </c>
      <c r="E172" s="5">
        <f>'26-27'!CC172</f>
        <v>27245.53125</v>
      </c>
      <c r="F172" s="5">
        <f>'27-28'!CC172</f>
        <v>28607.807812500003</v>
      </c>
      <c r="G172" s="5">
        <f>'28-29'!CC172</f>
        <v>30038.198203125001</v>
      </c>
    </row>
    <row r="173" spans="1:7">
      <c r="A173" s="29" t="s">
        <v>153</v>
      </c>
      <c r="B173" s="5">
        <f>'23-24'!CC173</f>
        <v>128734</v>
      </c>
      <c r="C173" s="5">
        <f>'24-25'!CC173</f>
        <v>101880</v>
      </c>
      <c r="D173" s="5">
        <f>'25-26'!CC173</f>
        <v>106974</v>
      </c>
      <c r="E173" s="5">
        <f>'26-27'!CC173</f>
        <v>112322.7</v>
      </c>
      <c r="F173" s="5">
        <f>'27-28'!CC173</f>
        <v>117938.83500000001</v>
      </c>
      <c r="G173" s="5">
        <f>'28-29'!CC173</f>
        <v>123835.77675000002</v>
      </c>
    </row>
    <row r="174" spans="1:7">
      <c r="A174" s="29" t="s">
        <v>154</v>
      </c>
      <c r="B174" s="5">
        <f>'23-24'!CC174</f>
        <v>0</v>
      </c>
      <c r="C174" s="5">
        <f>'24-25'!CC174</f>
        <v>0</v>
      </c>
      <c r="D174" s="5">
        <f>'25-26'!CC174</f>
        <v>0</v>
      </c>
      <c r="E174" s="5">
        <f>'26-27'!CC174</f>
        <v>0</v>
      </c>
      <c r="F174" s="5">
        <f>'27-28'!CC174</f>
        <v>0</v>
      </c>
      <c r="G174" s="5">
        <f>'28-29'!CC174</f>
        <v>0</v>
      </c>
    </row>
    <row r="175" spans="1:7">
      <c r="A175" s="29" t="s">
        <v>155</v>
      </c>
      <c r="B175" s="5">
        <f>'23-24'!CC175</f>
        <v>7850</v>
      </c>
      <c r="C175" s="5">
        <f>'24-25'!CC175</f>
        <v>7850</v>
      </c>
      <c r="D175" s="5">
        <f>'25-26'!CC175</f>
        <v>7850</v>
      </c>
      <c r="E175" s="5">
        <f>'26-27'!CC175</f>
        <v>7850</v>
      </c>
      <c r="F175" s="5">
        <f>'27-28'!CC175</f>
        <v>7850</v>
      </c>
      <c r="G175" s="5">
        <f>'28-29'!CC175</f>
        <v>7850</v>
      </c>
    </row>
    <row r="176" spans="1:7">
      <c r="A176" s="29" t="s">
        <v>156</v>
      </c>
      <c r="B176" s="5">
        <f>'23-24'!CC176</f>
        <v>38500</v>
      </c>
      <c r="C176" s="5">
        <f>'24-25'!CC176</f>
        <v>44500</v>
      </c>
      <c r="D176" s="5">
        <f>'25-26'!CC176</f>
        <v>46725</v>
      </c>
      <c r="E176" s="5">
        <f>'26-27'!CC176</f>
        <v>49061.25</v>
      </c>
      <c r="F176" s="5">
        <f>'27-28'!CC176</f>
        <v>51514.3125</v>
      </c>
      <c r="G176" s="5">
        <f>'28-29'!CC176</f>
        <v>54090.028125000004</v>
      </c>
    </row>
    <row r="177" spans="1:7">
      <c r="A177" s="29" t="s">
        <v>157</v>
      </c>
      <c r="B177" s="5">
        <f>'23-24'!CC177</f>
        <v>350500</v>
      </c>
      <c r="C177" s="5">
        <f>'24-25'!CC177</f>
        <v>362500</v>
      </c>
      <c r="D177" s="5">
        <f>'25-26'!CC177</f>
        <v>380625</v>
      </c>
      <c r="E177" s="5">
        <f>'26-27'!CC177</f>
        <v>399656.25</v>
      </c>
      <c r="F177" s="5">
        <f>'27-28'!CC177</f>
        <v>419639.0625</v>
      </c>
      <c r="G177" s="5">
        <f>'28-29'!CC177</f>
        <v>440621.015625</v>
      </c>
    </row>
    <row r="178" spans="1:7">
      <c r="A178" s="29" t="s">
        <v>158</v>
      </c>
      <c r="B178" s="5">
        <f>'23-24'!CC178</f>
        <v>30145</v>
      </c>
      <c r="C178" s="5">
        <f>'24-25'!CC178</f>
        <v>47000</v>
      </c>
      <c r="D178" s="5">
        <f>'25-26'!CC178</f>
        <v>49310</v>
      </c>
      <c r="E178" s="5">
        <f>'26-27'!CC178</f>
        <v>51735.500000000007</v>
      </c>
      <c r="F178" s="5">
        <f>'27-28'!CC178</f>
        <v>54282.275000000001</v>
      </c>
      <c r="G178" s="5">
        <f>'28-29'!CC178</f>
        <v>56956.388750000006</v>
      </c>
    </row>
    <row r="179" spans="1:7">
      <c r="A179" s="29" t="s">
        <v>159</v>
      </c>
      <c r="B179" s="5">
        <f>'23-24'!CC179</f>
        <v>0</v>
      </c>
      <c r="C179" s="5">
        <f>'24-25'!CC179</f>
        <v>0</v>
      </c>
      <c r="D179" s="5">
        <f>'25-26'!CC179</f>
        <v>0</v>
      </c>
      <c r="E179" s="5">
        <f>'26-27'!CC179</f>
        <v>0</v>
      </c>
      <c r="F179" s="5">
        <f>'27-28'!CC179</f>
        <v>0</v>
      </c>
      <c r="G179" s="5">
        <f>'28-29'!CC179</f>
        <v>0</v>
      </c>
    </row>
    <row r="180" spans="1:7">
      <c r="A180" s="29" t="s">
        <v>160</v>
      </c>
      <c r="B180" s="5">
        <f>'23-24'!CC180</f>
        <v>0</v>
      </c>
      <c r="C180" s="5">
        <f>'24-25'!CC180</f>
        <v>0</v>
      </c>
      <c r="D180" s="5">
        <f>'25-26'!CC180</f>
        <v>0</v>
      </c>
      <c r="E180" s="5">
        <f>'26-27'!CC180</f>
        <v>0</v>
      </c>
      <c r="F180" s="5">
        <f>'27-28'!CC180</f>
        <v>0</v>
      </c>
      <c r="G180" s="5">
        <f>'28-29'!CC180</f>
        <v>0</v>
      </c>
    </row>
    <row r="181" spans="1:7">
      <c r="A181" s="29" t="s">
        <v>161</v>
      </c>
      <c r="B181" s="5">
        <f>'23-24'!CC181</f>
        <v>421390</v>
      </c>
      <c r="C181" s="5">
        <f>'24-25'!CC181</f>
        <v>453725</v>
      </c>
      <c r="D181" s="5">
        <f>'25-26'!CC181</f>
        <v>476411.25</v>
      </c>
      <c r="E181" s="5">
        <f>'26-27'!CC181</f>
        <v>500231.8125</v>
      </c>
      <c r="F181" s="5">
        <f>'27-28'!CC181</f>
        <v>525243.40312499995</v>
      </c>
      <c r="G181" s="5">
        <f>'28-29'!CC181</f>
        <v>551505.57328124996</v>
      </c>
    </row>
    <row r="182" spans="1:7">
      <c r="A182" s="29" t="s">
        <v>162</v>
      </c>
      <c r="B182" s="5">
        <f>'23-24'!CC182</f>
        <v>71605.439999999988</v>
      </c>
      <c r="C182" s="5">
        <f>'24-25'!CC182</f>
        <v>102415.32</v>
      </c>
      <c r="D182" s="5">
        <f>'25-26'!CC182</f>
        <v>133216.92000000001</v>
      </c>
      <c r="E182" s="5">
        <f>'26-27'!CC182</f>
        <v>162093.42000000001</v>
      </c>
      <c r="F182" s="5">
        <f>'27-28'!CC182</f>
        <v>190969.91999999998</v>
      </c>
      <c r="G182" s="5">
        <f>'28-29'!CC182</f>
        <v>219846.41999999998</v>
      </c>
    </row>
    <row r="183" spans="1:7">
      <c r="A183" s="29" t="s">
        <v>163</v>
      </c>
      <c r="B183" s="5">
        <f>'23-24'!CC183</f>
        <v>2758650.75</v>
      </c>
      <c r="C183" s="5">
        <f>'24-25'!CC183</f>
        <v>2004017.625</v>
      </c>
      <c r="D183" s="5">
        <f>'25-26'!CC183</f>
        <v>2103924.375</v>
      </c>
      <c r="E183" s="5">
        <f>'26-27'!CC183</f>
        <v>2194948.125</v>
      </c>
      <c r="F183" s="5">
        <f>'27-28'!CC183</f>
        <v>2259538.875</v>
      </c>
      <c r="G183" s="5">
        <f>'28-29'!CC183</f>
        <v>2308645.125</v>
      </c>
    </row>
    <row r="184" spans="1:7">
      <c r="A184" s="29" t="s">
        <v>164</v>
      </c>
      <c r="B184" s="5">
        <f>'23-24'!CC184</f>
        <v>60000</v>
      </c>
      <c r="C184" s="5">
        <f>'24-25'!CC184</f>
        <v>60000</v>
      </c>
      <c r="D184" s="5">
        <f>'25-26'!CC184</f>
        <v>60000</v>
      </c>
      <c r="E184" s="5">
        <f>'26-27'!CC184</f>
        <v>60000</v>
      </c>
      <c r="F184" s="5">
        <f>'27-28'!CC184</f>
        <v>60000</v>
      </c>
      <c r="G184" s="5">
        <f>'28-29'!CC184</f>
        <v>60000</v>
      </c>
    </row>
    <row r="185" spans="1:7">
      <c r="A185" s="29" t="s">
        <v>165</v>
      </c>
      <c r="B185" s="5">
        <f>'23-24'!CC185</f>
        <v>12800</v>
      </c>
      <c r="C185" s="5">
        <f>'24-25'!CC185</f>
        <v>15200</v>
      </c>
      <c r="D185" s="5">
        <f>'25-26'!CC185</f>
        <v>15200</v>
      </c>
      <c r="E185" s="5">
        <f>'26-27'!CC185</f>
        <v>15200</v>
      </c>
      <c r="F185" s="5">
        <f>'27-28'!CC185</f>
        <v>15200</v>
      </c>
      <c r="G185" s="5">
        <f>'28-29'!CC185</f>
        <v>15200</v>
      </c>
    </row>
    <row r="186" spans="1:7">
      <c r="A186" s="29" t="s">
        <v>166</v>
      </c>
      <c r="B186" s="5">
        <f>'23-24'!CC186</f>
        <v>13050</v>
      </c>
      <c r="C186" s="5">
        <f>'24-25'!CC186</f>
        <v>13050</v>
      </c>
      <c r="D186" s="5">
        <f>'25-26'!CC186</f>
        <v>13050</v>
      </c>
      <c r="E186" s="5">
        <f>'26-27'!CC186</f>
        <v>13050</v>
      </c>
      <c r="F186" s="5">
        <f>'27-28'!CC186</f>
        <v>13050</v>
      </c>
      <c r="G186" s="5">
        <f>'28-29'!CC186</f>
        <v>13050</v>
      </c>
    </row>
    <row r="187" spans="1:7">
      <c r="A187" s="29" t="s">
        <v>167</v>
      </c>
      <c r="B187" s="5">
        <f>'23-24'!CC187</f>
        <v>91390</v>
      </c>
      <c r="C187" s="5">
        <f>'24-25'!CC187</f>
        <v>95250</v>
      </c>
      <c r="D187" s="5">
        <f>'25-26'!CC187</f>
        <v>96705</v>
      </c>
      <c r="E187" s="5">
        <f>'26-27'!CC187</f>
        <v>97870</v>
      </c>
      <c r="F187" s="5">
        <f>'27-28'!CC187</f>
        <v>98555</v>
      </c>
      <c r="G187" s="5">
        <f>'28-29'!CC187</f>
        <v>98930</v>
      </c>
    </row>
    <row r="188" spans="1:7">
      <c r="A188" s="29" t="s">
        <v>168</v>
      </c>
      <c r="B188" s="5">
        <f>'23-24'!CC188</f>
        <v>0</v>
      </c>
      <c r="C188" s="5">
        <f>'24-25'!CC188</f>
        <v>0</v>
      </c>
      <c r="D188" s="5">
        <f>'25-26'!CC188</f>
        <v>0</v>
      </c>
      <c r="E188" s="5">
        <f>'26-27'!CC188</f>
        <v>0</v>
      </c>
      <c r="F188" s="5">
        <f>'27-28'!CC188</f>
        <v>0</v>
      </c>
      <c r="G188" s="5">
        <f>'28-29'!CC188</f>
        <v>0</v>
      </c>
    </row>
    <row r="189" spans="1:7">
      <c r="A189" s="29" t="s">
        <v>169</v>
      </c>
      <c r="B189" s="5">
        <f>'23-24'!CC189</f>
        <v>60000</v>
      </c>
      <c r="C189" s="5">
        <f>'24-25'!CC189</f>
        <v>60000</v>
      </c>
      <c r="D189" s="5">
        <f>'25-26'!CC189</f>
        <v>60000</v>
      </c>
      <c r="E189" s="5">
        <f>'26-27'!CC189</f>
        <v>60000</v>
      </c>
      <c r="F189" s="5">
        <f>'27-28'!CC189</f>
        <v>60000</v>
      </c>
      <c r="G189" s="5">
        <f>'28-29'!CC189</f>
        <v>60000</v>
      </c>
    </row>
    <row r="190" spans="1:7">
      <c r="A190" s="29" t="s">
        <v>170</v>
      </c>
      <c r="B190" s="5">
        <f>'23-24'!CC190</f>
        <v>0</v>
      </c>
      <c r="C190" s="5">
        <f>'24-25'!CC190</f>
        <v>0</v>
      </c>
      <c r="D190" s="5">
        <f>'25-26'!CC190</f>
        <v>0</v>
      </c>
      <c r="E190" s="5">
        <f>'26-27'!CC190</f>
        <v>0</v>
      </c>
      <c r="F190" s="5">
        <f>'27-28'!CC190</f>
        <v>0</v>
      </c>
      <c r="G190" s="5">
        <f>'28-29'!CC190</f>
        <v>0</v>
      </c>
    </row>
    <row r="191" spans="1:7">
      <c r="A191" s="29" t="s">
        <v>171</v>
      </c>
      <c r="B191" s="5">
        <f>'23-24'!CC191</f>
        <v>212300</v>
      </c>
      <c r="C191" s="5">
        <f>'24-25'!CC191</f>
        <v>185000</v>
      </c>
      <c r="D191" s="5">
        <f>'25-26'!CC191</f>
        <v>295000</v>
      </c>
      <c r="E191" s="5">
        <f>'26-27'!CC191</f>
        <v>120000</v>
      </c>
      <c r="F191" s="5">
        <f>'27-28'!CC191</f>
        <v>100000</v>
      </c>
      <c r="G191" s="5">
        <f>'28-29'!CC191</f>
        <v>0</v>
      </c>
    </row>
    <row r="192" spans="1:7">
      <c r="A192" s="29" t="s">
        <v>172</v>
      </c>
      <c r="B192" s="5">
        <f>'23-24'!CC192</f>
        <v>0</v>
      </c>
      <c r="C192" s="5">
        <f>'24-25'!CC192</f>
        <v>0</v>
      </c>
      <c r="D192" s="5">
        <f>'25-26'!CC192</f>
        <v>0</v>
      </c>
      <c r="E192" s="5">
        <f>'26-27'!CC192</f>
        <v>0</v>
      </c>
      <c r="F192" s="5">
        <f>'27-28'!CC192</f>
        <v>0</v>
      </c>
      <c r="G192" s="5">
        <f>'28-29'!CC192</f>
        <v>0</v>
      </c>
    </row>
    <row r="193" spans="1:14">
      <c r="A193" s="29" t="s">
        <v>173</v>
      </c>
      <c r="B193" s="5">
        <f>'23-24'!CC193</f>
        <v>0</v>
      </c>
      <c r="C193" s="5">
        <f>'24-25'!CC193</f>
        <v>0</v>
      </c>
      <c r="D193" s="5">
        <f>'25-26'!CC193</f>
        <v>0</v>
      </c>
      <c r="E193" s="5">
        <f>'26-27'!CC193</f>
        <v>0</v>
      </c>
      <c r="F193" s="5">
        <f>'27-28'!CC193</f>
        <v>0</v>
      </c>
      <c r="G193" s="5">
        <f>'28-29'!CC193</f>
        <v>0</v>
      </c>
    </row>
    <row r="194" spans="1:14">
      <c r="A194" s="29" t="s">
        <v>174</v>
      </c>
      <c r="B194" s="5">
        <f>'23-24'!CC194</f>
        <v>4330000</v>
      </c>
      <c r="C194" s="5">
        <f>'24-25'!CC194</f>
        <v>5175000</v>
      </c>
      <c r="D194" s="5">
        <f>'25-26'!CC194</f>
        <v>5175000</v>
      </c>
      <c r="E194" s="5">
        <f>'26-27'!CC194</f>
        <v>5175000</v>
      </c>
      <c r="F194" s="5">
        <f>'27-28'!CC194</f>
        <v>5175000</v>
      </c>
      <c r="G194" s="5">
        <f>'28-29'!CC194</f>
        <v>5175000</v>
      </c>
    </row>
    <row r="195" spans="1:14">
      <c r="A195" s="29" t="s">
        <v>175</v>
      </c>
      <c r="B195" s="5">
        <f>'23-24'!CC195</f>
        <v>80500</v>
      </c>
      <c r="C195" s="5">
        <f>'24-25'!CC195</f>
        <v>76500</v>
      </c>
      <c r="D195" s="5">
        <f>'25-26'!CC195</f>
        <v>76500</v>
      </c>
      <c r="E195" s="5">
        <f>'26-27'!CC195</f>
        <v>76500</v>
      </c>
      <c r="F195" s="5">
        <f>'27-28'!CC195</f>
        <v>76500</v>
      </c>
      <c r="G195" s="5">
        <f>'28-29'!CC195</f>
        <v>76500</v>
      </c>
    </row>
    <row r="196" spans="1:14">
      <c r="A196" s="78" t="s">
        <v>176</v>
      </c>
      <c r="B196" s="5">
        <f>'23-24'!CC196</f>
        <v>531594.14</v>
      </c>
      <c r="C196" s="5">
        <f>'24-25'!CC196</f>
        <v>2362961.0700000003</v>
      </c>
      <c r="D196" s="5">
        <f>'25-26'!CC196</f>
        <v>2878133.2124999999</v>
      </c>
      <c r="E196" s="5">
        <f>'26-27'!CC196</f>
        <v>3029916.25</v>
      </c>
      <c r="F196" s="5">
        <f>'27-28'!CC196</f>
        <v>3236463.75</v>
      </c>
      <c r="G196" s="5">
        <f>'28-29'!CC196</f>
        <v>3322585.35</v>
      </c>
      <c r="I196" s="140">
        <f>B196/B74</f>
        <v>7.5260218329525263E-3</v>
      </c>
      <c r="J196" s="140">
        <f t="shared" ref="J196:N196" si="33">C196/C74</f>
        <v>3.0873923739237395E-2</v>
      </c>
      <c r="K196" s="140">
        <f t="shared" si="33"/>
        <v>3.5769801686260538E-2</v>
      </c>
      <c r="L196" s="140">
        <f t="shared" si="33"/>
        <v>3.6094580540790386E-2</v>
      </c>
      <c r="M196" s="140">
        <f t="shared" si="33"/>
        <v>3.7376293936981005E-2</v>
      </c>
      <c r="N196" s="140">
        <f t="shared" si="33"/>
        <v>3.7483081434694338E-2</v>
      </c>
    </row>
    <row r="197" spans="1:14" ht="15">
      <c r="A197" s="70" t="s">
        <v>177</v>
      </c>
      <c r="B197" s="71">
        <f t="shared" ref="B197:G197" si="34">SUM(B172:B196)</f>
        <v>9234936.8300000001</v>
      </c>
      <c r="C197" s="71">
        <f t="shared" si="34"/>
        <v>11191561.515000001</v>
      </c>
      <c r="D197" s="71">
        <f t="shared" si="34"/>
        <v>12000572.8825</v>
      </c>
      <c r="E197" s="71">
        <f t="shared" si="34"/>
        <v>12152680.838750001</v>
      </c>
      <c r="F197" s="71">
        <f t="shared" si="34"/>
        <v>12490353.240937499</v>
      </c>
      <c r="G197" s="71">
        <f t="shared" si="34"/>
        <v>12614653.875734376</v>
      </c>
    </row>
    <row r="198" spans="1:14" ht="15">
      <c r="A198" s="75" t="s">
        <v>178</v>
      </c>
      <c r="B198" s="18" t="str">
        <f t="shared" ref="B198:G198" si="35">B1</f>
        <v>23-24</v>
      </c>
      <c r="C198" s="18" t="str">
        <f t="shared" si="35"/>
        <v>24-25</v>
      </c>
      <c r="D198" s="18" t="str">
        <f t="shared" si="35"/>
        <v>25-26</v>
      </c>
      <c r="E198" s="18" t="str">
        <f t="shared" si="35"/>
        <v>26-27</v>
      </c>
      <c r="F198" s="18" t="str">
        <f t="shared" si="35"/>
        <v>27-28</v>
      </c>
      <c r="G198" s="18" t="str">
        <f t="shared" si="35"/>
        <v>28-29</v>
      </c>
    </row>
    <row r="199" spans="1:14">
      <c r="A199" s="81" t="s">
        <v>179</v>
      </c>
      <c r="B199" s="5">
        <f>'23-24'!CC199</f>
        <v>948000</v>
      </c>
      <c r="C199" s="5">
        <f>'24-25'!CC199</f>
        <v>940500</v>
      </c>
      <c r="D199" s="5">
        <f>'25-26'!CC199</f>
        <v>969800</v>
      </c>
      <c r="E199" s="5">
        <f>'26-27'!CC199</f>
        <v>999235</v>
      </c>
      <c r="F199" s="5">
        <f>'27-28'!CC199</f>
        <v>1029570.1000000001</v>
      </c>
      <c r="G199" s="5">
        <f>'28-29'!CC199</f>
        <v>1060457.203</v>
      </c>
    </row>
    <row r="200" spans="1:14">
      <c r="A200" s="29" t="s">
        <v>180</v>
      </c>
      <c r="B200" s="5">
        <f>'23-24'!CC200</f>
        <v>5450</v>
      </c>
      <c r="C200" s="5">
        <f>'24-25'!CC200</f>
        <v>9750</v>
      </c>
      <c r="D200" s="5">
        <f>'25-26'!CC200</f>
        <v>10130</v>
      </c>
      <c r="E200" s="5">
        <f>'26-27'!CC200</f>
        <v>10461.4</v>
      </c>
      <c r="F200" s="5">
        <f>'27-28'!CC200</f>
        <v>10804.117</v>
      </c>
      <c r="G200" s="5">
        <f>'28-29'!CC200</f>
        <v>11128.24051</v>
      </c>
    </row>
    <row r="201" spans="1:14">
      <c r="A201" s="29" t="s">
        <v>181</v>
      </c>
      <c r="B201" s="5">
        <f>'23-24'!CC201</f>
        <v>179000</v>
      </c>
      <c r="C201" s="5">
        <f>'24-25'!CC201</f>
        <v>185500</v>
      </c>
      <c r="D201" s="5">
        <f>'25-26'!CC201</f>
        <v>192045</v>
      </c>
      <c r="E201" s="5">
        <f>'26-27'!CC201</f>
        <v>198114.35</v>
      </c>
      <c r="F201" s="5">
        <f>'27-28'!CC201</f>
        <v>204381.18050000002</v>
      </c>
      <c r="G201" s="5">
        <f>'28-29'!CC201</f>
        <v>210512.61591500003</v>
      </c>
    </row>
    <row r="202" spans="1:14">
      <c r="A202" s="29" t="s">
        <v>182</v>
      </c>
      <c r="B202" s="5">
        <f>'23-24'!CC202</f>
        <v>217500</v>
      </c>
      <c r="C202" s="5">
        <f>'24-25'!CC202</f>
        <v>214000</v>
      </c>
      <c r="D202" s="5">
        <f>'25-26'!CC202</f>
        <v>221365</v>
      </c>
      <c r="E202" s="5">
        <f>'26-27'!CC202</f>
        <v>228302.95</v>
      </c>
      <c r="F202" s="5">
        <f>'27-28'!CC202</f>
        <v>235463.8885</v>
      </c>
      <c r="G202" s="5">
        <f>'28-29'!CC202</f>
        <v>242527.80515500004</v>
      </c>
    </row>
    <row r="203" spans="1:14">
      <c r="A203" s="29" t="s">
        <v>183</v>
      </c>
      <c r="B203" s="5">
        <f>'23-24'!CC203</f>
        <v>75310</v>
      </c>
      <c r="C203" s="5">
        <f>'24-25'!CC203</f>
        <v>91980</v>
      </c>
      <c r="D203" s="5">
        <f>'25-26'!CC203</f>
        <v>95159.4</v>
      </c>
      <c r="E203" s="5">
        <f>'26-27'!CC203</f>
        <v>98146.182000000001</v>
      </c>
      <c r="F203" s="5">
        <f>'27-28'!CC203</f>
        <v>101229.16746</v>
      </c>
      <c r="G203" s="5">
        <f>'28-29'!CC203</f>
        <v>104266.0424838</v>
      </c>
    </row>
    <row r="204" spans="1:14">
      <c r="A204" s="29" t="s">
        <v>184</v>
      </c>
      <c r="B204" s="5">
        <f>'23-24'!CC204</f>
        <v>934070</v>
      </c>
      <c r="C204" s="5">
        <f>'24-25'!CC204</f>
        <v>1100600</v>
      </c>
      <c r="D204" s="5">
        <f>'25-26'!CC204</f>
        <v>1133618</v>
      </c>
      <c r="E204" s="5">
        <f>'26-27'!CC204</f>
        <v>1167626.54</v>
      </c>
      <c r="F204" s="5">
        <f>'27-28'!CC204</f>
        <v>1202655.3362</v>
      </c>
      <c r="G204" s="5">
        <f>'28-29'!CC204</f>
        <v>1238734.9962860001</v>
      </c>
    </row>
    <row r="205" spans="1:14">
      <c r="A205" s="29" t="s">
        <v>185</v>
      </c>
      <c r="B205" s="5">
        <f>'23-24'!CC205</f>
        <v>1532369</v>
      </c>
      <c r="C205" s="5">
        <f>'24-25'!CC205</f>
        <v>900000</v>
      </c>
      <c r="D205" s="5">
        <f>'25-26'!CC205</f>
        <v>750000</v>
      </c>
      <c r="E205" s="5">
        <f>'26-27'!CC205</f>
        <v>750000</v>
      </c>
      <c r="F205" s="5">
        <f>'27-28'!CC205</f>
        <v>750000</v>
      </c>
      <c r="G205" s="5">
        <f>'28-29'!CC205</f>
        <v>750000</v>
      </c>
    </row>
    <row r="206" spans="1:14">
      <c r="A206" s="29" t="s">
        <v>186</v>
      </c>
      <c r="B206" s="5">
        <f>'23-24'!CC206</f>
        <v>0</v>
      </c>
      <c r="C206" s="5">
        <f>'24-25'!CC206</f>
        <v>0</v>
      </c>
      <c r="D206" s="5">
        <f>'25-26'!CC206</f>
        <v>0</v>
      </c>
      <c r="E206" s="5">
        <f>'26-27'!CC206</f>
        <v>0</v>
      </c>
      <c r="F206" s="5">
        <f>'27-28'!CC206</f>
        <v>0</v>
      </c>
      <c r="G206" s="5">
        <f>'28-29'!CC206</f>
        <v>0</v>
      </c>
    </row>
    <row r="207" spans="1:14">
      <c r="A207" s="29" t="s">
        <v>187</v>
      </c>
      <c r="B207" s="5">
        <f>'23-24'!CC207</f>
        <v>120660</v>
      </c>
      <c r="C207" s="5">
        <f>'24-25'!CC207</f>
        <v>145149</v>
      </c>
      <c r="D207" s="5">
        <f>'25-26'!CC207</f>
        <v>149503.46999999997</v>
      </c>
      <c r="E207" s="5">
        <f>'26-27'!CC207</f>
        <v>153988.5741</v>
      </c>
      <c r="F207" s="5">
        <f>'27-28'!CC207</f>
        <v>158608.23132299999</v>
      </c>
      <c r="G207" s="5">
        <f>'28-29'!CC207</f>
        <v>163366.47826269001</v>
      </c>
    </row>
    <row r="208" spans="1:14">
      <c r="A208" s="78" t="s">
        <v>188</v>
      </c>
      <c r="B208" s="5">
        <f>'23-24'!CC208</f>
        <v>167753.19999999998</v>
      </c>
      <c r="C208" s="5">
        <f>'24-25'!CC208</f>
        <v>191851</v>
      </c>
      <c r="D208" s="5">
        <f>'25-26'!CC208</f>
        <v>197606.53</v>
      </c>
      <c r="E208" s="5">
        <f>'26-27'!CC208</f>
        <v>203534.72589999999</v>
      </c>
      <c r="F208" s="5">
        <f>'27-28'!CC208</f>
        <v>209640.76767700003</v>
      </c>
      <c r="G208" s="5">
        <f>'28-29'!CC208</f>
        <v>215929.99070731</v>
      </c>
    </row>
    <row r="209" spans="1:9" ht="15">
      <c r="A209" s="70" t="s">
        <v>189</v>
      </c>
      <c r="B209" s="71">
        <f t="shared" ref="B209:G209" si="36">SUM(B199:B208)</f>
        <v>4180112.2</v>
      </c>
      <c r="C209" s="71">
        <f t="shared" si="36"/>
        <v>3779330</v>
      </c>
      <c r="D209" s="71">
        <f t="shared" si="36"/>
        <v>3719227.4</v>
      </c>
      <c r="E209" s="71">
        <f t="shared" si="36"/>
        <v>3809409.7220000001</v>
      </c>
      <c r="F209" s="71">
        <f t="shared" si="36"/>
        <v>3902352.7886600001</v>
      </c>
      <c r="G209" s="71">
        <f t="shared" si="36"/>
        <v>3996923.3723197998</v>
      </c>
    </row>
    <row r="210" spans="1:9">
      <c r="A210" s="85"/>
      <c r="B210" s="5"/>
      <c r="C210" s="5"/>
      <c r="D210" s="5"/>
      <c r="E210" s="5"/>
      <c r="F210" s="5"/>
      <c r="G210" s="5"/>
    </row>
    <row r="211" spans="1:9" ht="15">
      <c r="A211" s="70" t="s">
        <v>190</v>
      </c>
      <c r="B211" s="71">
        <f t="shared" ref="B211:G211" si="37">B142+B154+B170+B197+B209</f>
        <v>77977036.307750002</v>
      </c>
      <c r="C211" s="71">
        <f t="shared" si="37"/>
        <v>83261116.882550001</v>
      </c>
      <c r="D211" s="71">
        <f t="shared" si="37"/>
        <v>85761678.786668956</v>
      </c>
      <c r="E211" s="71">
        <f t="shared" si="37"/>
        <v>88264280.679643899</v>
      </c>
      <c r="F211" s="71">
        <f t="shared" si="37"/>
        <v>90465905.341960028</v>
      </c>
      <c r="G211" s="71">
        <f t="shared" si="37"/>
        <v>92286721.827926487</v>
      </c>
    </row>
    <row r="212" spans="1:9">
      <c r="A212" s="86"/>
      <c r="B212" s="52"/>
      <c r="C212" s="52"/>
      <c r="D212" s="52"/>
      <c r="E212" s="52"/>
      <c r="F212" s="52"/>
      <c r="G212" s="52"/>
    </row>
    <row r="213" spans="1:9" ht="15">
      <c r="A213" s="43" t="s">
        <v>191</v>
      </c>
      <c r="B213" s="9">
        <f>'23-24'!CC213</f>
        <v>119600</v>
      </c>
      <c r="C213" s="9">
        <f>'24-25'!CC213</f>
        <v>6084200</v>
      </c>
      <c r="D213" s="9">
        <f>'25-26'!CC213</f>
        <v>6537300.0099999998</v>
      </c>
      <c r="E213" s="9">
        <f>'26-27'!CC213</f>
        <v>6734210.8449999997</v>
      </c>
      <c r="F213" s="9">
        <f>'27-28'!CC213</f>
        <v>6806631.8340000007</v>
      </c>
      <c r="G213" s="9">
        <f>'28-29'!CC213</f>
        <v>6791131.8578824997</v>
      </c>
    </row>
    <row r="214" spans="1:9" ht="15">
      <c r="A214" s="43" t="s">
        <v>192</v>
      </c>
      <c r="B214" s="9">
        <f>'23-24'!CC214</f>
        <v>1709769</v>
      </c>
      <c r="C214" s="9">
        <f>'24-25'!CC214</f>
        <v>801668</v>
      </c>
      <c r="D214" s="9">
        <f>'25-26'!CC214</f>
        <v>846249.96</v>
      </c>
      <c r="E214" s="9">
        <f>'26-27'!CC214</f>
        <v>886666.7</v>
      </c>
      <c r="F214" s="9">
        <f>'27-28'!CC214</f>
        <v>931250.04</v>
      </c>
      <c r="G214" s="9">
        <f>'28-29'!CC214</f>
        <v>985416.67</v>
      </c>
    </row>
    <row r="215" spans="1:9" ht="15">
      <c r="A215" s="43" t="s">
        <v>193</v>
      </c>
      <c r="B215" s="9">
        <f>'23-24'!CC215</f>
        <v>6959298</v>
      </c>
      <c r="C215" s="9">
        <f>'24-25'!CC215</f>
        <v>2251214</v>
      </c>
      <c r="D215" s="9">
        <f>'25-26'!CC215</f>
        <v>2211129.21</v>
      </c>
      <c r="E215" s="9">
        <f>'26-27'!CC215</f>
        <v>2168816.63</v>
      </c>
      <c r="F215" s="9">
        <f>'27-28'!CC215</f>
        <v>2124483.2999999998</v>
      </c>
      <c r="G215" s="9">
        <f>'28-29'!CC215</f>
        <v>2077920.83</v>
      </c>
    </row>
    <row r="216" spans="1:9" ht="15">
      <c r="A216" s="43" t="s">
        <v>194</v>
      </c>
      <c r="B216" s="9">
        <f>'23-24'!CC216</f>
        <v>42000</v>
      </c>
      <c r="C216" s="9">
        <f>'24-25'!CC216</f>
        <v>45000</v>
      </c>
      <c r="D216" s="9">
        <f>'25-26'!CC216</f>
        <v>45000</v>
      </c>
      <c r="E216" s="9">
        <f>'26-27'!CC216</f>
        <v>45000</v>
      </c>
      <c r="F216" s="9">
        <f>'27-28'!CC216</f>
        <v>45000</v>
      </c>
      <c r="G216" s="9">
        <f>'28-29'!CC216</f>
        <v>45000</v>
      </c>
    </row>
    <row r="217" spans="1:9" ht="15">
      <c r="B217" s="9">
        <f>'23-24'!CC217</f>
        <v>0</v>
      </c>
      <c r="C217" s="9">
        <f>'24-25'!CC217</f>
        <v>0</v>
      </c>
      <c r="D217" s="9">
        <f>'25-26'!CC217</f>
        <v>0</v>
      </c>
      <c r="E217" s="9">
        <f>'26-27'!CC217</f>
        <v>0</v>
      </c>
      <c r="F217" s="9">
        <f>'27-28'!CC217</f>
        <v>0</v>
      </c>
      <c r="G217" s="9">
        <f>'28-29'!CC217</f>
        <v>0</v>
      </c>
    </row>
    <row r="218" spans="1:9" ht="15.75" thickBot="1">
      <c r="A218" s="43"/>
      <c r="B218" s="35"/>
      <c r="C218" s="35"/>
      <c r="D218" s="35"/>
      <c r="E218" s="35"/>
      <c r="F218" s="35"/>
      <c r="G218" s="35"/>
    </row>
    <row r="219" spans="1:9" ht="15.75" thickBot="1">
      <c r="A219" s="87" t="s">
        <v>195</v>
      </c>
      <c r="B219" s="88">
        <f t="shared" ref="B219:G219" si="38">(B97+B103)-B211-B213-B214-B216-B215</f>
        <v>441649.68824999034</v>
      </c>
      <c r="C219" s="88">
        <f t="shared" si="38"/>
        <v>204094.73544999957</v>
      </c>
      <c r="D219" s="88">
        <f t="shared" si="38"/>
        <v>1176898.8685429916</v>
      </c>
      <c r="E219" s="88">
        <f t="shared" si="38"/>
        <v>2251858.8205588432</v>
      </c>
      <c r="F219" s="88">
        <f t="shared" si="38"/>
        <v>2818121.497376347</v>
      </c>
      <c r="G219" s="88">
        <f t="shared" si="38"/>
        <v>3191208.3594822884</v>
      </c>
    </row>
    <row r="220" spans="1:9">
      <c r="A220" s="89"/>
      <c r="B220" s="90">
        <f t="shared" ref="B220:G220" si="39">B219/(B97)</f>
        <v>5.1406329682841508E-3</v>
      </c>
      <c r="C220" s="90">
        <f t="shared" si="39"/>
        <v>2.2064941304432142E-3</v>
      </c>
      <c r="D220" s="90">
        <f t="shared" si="39"/>
        <v>1.2185960972054946E-2</v>
      </c>
      <c r="E220" s="90">
        <f t="shared" si="39"/>
        <v>2.2439861614376305E-2</v>
      </c>
      <c r="F220" s="90">
        <f t="shared" si="39"/>
        <v>2.7309656768775201E-2</v>
      </c>
      <c r="G220" s="90">
        <f t="shared" si="39"/>
        <v>3.0283612740991058E-2</v>
      </c>
    </row>
    <row r="221" spans="1:9">
      <c r="B221" s="91"/>
      <c r="C221" s="91"/>
      <c r="D221" s="91"/>
      <c r="E221" s="91"/>
      <c r="F221" s="91"/>
      <c r="G221" s="91"/>
    </row>
    <row r="222" spans="1:9" ht="15">
      <c r="A222" s="1" t="str">
        <f t="shared" ref="A222:G222" si="40">A1</f>
        <v>Pinecrest Academy of Nevada - Systemwide</v>
      </c>
      <c r="B222" s="1" t="str">
        <f t="shared" si="40"/>
        <v>23-24</v>
      </c>
      <c r="C222" s="1" t="str">
        <f t="shared" si="40"/>
        <v>24-25</v>
      </c>
      <c r="D222" s="1" t="str">
        <f t="shared" si="40"/>
        <v>25-26</v>
      </c>
      <c r="E222" s="1" t="str">
        <f t="shared" si="40"/>
        <v>26-27</v>
      </c>
      <c r="F222" s="1" t="str">
        <f t="shared" si="40"/>
        <v>27-28</v>
      </c>
      <c r="G222" s="1" t="str">
        <f t="shared" si="40"/>
        <v>28-29</v>
      </c>
    </row>
    <row r="223" spans="1:9">
      <c r="B223" s="92" t="b">
        <f>B219='23-24'!CC219</f>
        <v>1</v>
      </c>
      <c r="C223" s="92" t="b">
        <f>C219='24-25'!CC219</f>
        <v>1</v>
      </c>
      <c r="D223" s="92" t="b">
        <f>D219='25-26'!CC219</f>
        <v>1</v>
      </c>
      <c r="E223" s="92" t="b">
        <f>E219='26-27'!CC219</f>
        <v>1</v>
      </c>
      <c r="F223" s="92" t="b">
        <f>F219='27-28'!CC219</f>
        <v>1</v>
      </c>
      <c r="G223" s="92" t="b">
        <f>G219='28-29'!CC219</f>
        <v>1</v>
      </c>
    </row>
    <row r="224" spans="1:9" s="14" customFormat="1" ht="15">
      <c r="A224" s="7"/>
      <c r="B224" s="92"/>
      <c r="C224" s="92"/>
      <c r="D224" s="92"/>
      <c r="E224" s="92"/>
      <c r="F224" s="92"/>
      <c r="G224" s="92"/>
      <c r="H224" s="7"/>
      <c r="I224" s="3" t="s">
        <v>267</v>
      </c>
    </row>
    <row r="225" spans="1:9" s="14" customFormat="1">
      <c r="A225" s="143" t="s">
        <v>268</v>
      </c>
      <c r="B225" s="144">
        <f>B132/SUM(B211:B216)</f>
        <v>0.39371077332659649</v>
      </c>
      <c r="C225" s="144">
        <f t="shared" ref="C225:G225" si="41">C132/SUM(C211:C216)</f>
        <v>0.39208109464115282</v>
      </c>
      <c r="D225" s="144">
        <f t="shared" si="41"/>
        <v>0.38864088594109752</v>
      </c>
      <c r="E225" s="144">
        <f t="shared" si="41"/>
        <v>0.38984545435891321</v>
      </c>
      <c r="F225" s="144">
        <f t="shared" si="41"/>
        <v>0.39027049886741305</v>
      </c>
      <c r="G225" s="144">
        <f t="shared" si="41"/>
        <v>0.39186855962038042</v>
      </c>
      <c r="H225" s="7"/>
      <c r="I225" s="145">
        <f>AVERAGE(B225:G225)</f>
        <v>0.3910695444592589</v>
      </c>
    </row>
    <row r="226" spans="1:9">
      <c r="A226" s="143" t="s">
        <v>269</v>
      </c>
      <c r="B226" s="144">
        <f>(B141-B140)/SUM(B211:B216)</f>
        <v>0.19960249825205412</v>
      </c>
      <c r="C226" s="144">
        <f t="shared" ref="C226:G226" si="42">(C141-C140)/SUM(C211:C216)</f>
        <v>0.20079660842474267</v>
      </c>
      <c r="D226" s="144">
        <f t="shared" si="42"/>
        <v>0.19967545677366719</v>
      </c>
      <c r="E226" s="144">
        <f t="shared" si="42"/>
        <v>0.20103155007671727</v>
      </c>
      <c r="F226" s="144">
        <f t="shared" si="42"/>
        <v>0.20201966609930797</v>
      </c>
      <c r="G226" s="144">
        <f t="shared" si="42"/>
        <v>0.20363297230243715</v>
      </c>
      <c r="I226" s="145">
        <f t="shared" ref="I226:I238" si="43">AVERAGE(B226:G226)</f>
        <v>0.20112645865482107</v>
      </c>
    </row>
    <row r="227" spans="1:9">
      <c r="A227" s="143" t="s">
        <v>141</v>
      </c>
      <c r="B227" s="144">
        <f>(B161)/SUM(B211:B216)</f>
        <v>1.8554228929314441E-3</v>
      </c>
      <c r="C227" s="144">
        <f t="shared" ref="C227:G227" si="44">(C161)/SUM(C211:C216)</f>
        <v>2.0320586291985125E-3</v>
      </c>
      <c r="D227" s="144">
        <f t="shared" si="44"/>
        <v>2.0675020167837863E-3</v>
      </c>
      <c r="E227" s="144">
        <f t="shared" si="44"/>
        <v>2.108986106190753E-3</v>
      </c>
      <c r="F227" s="144">
        <f t="shared" si="44"/>
        <v>2.1642598934290811E-3</v>
      </c>
      <c r="G227" s="144">
        <f t="shared" si="44"/>
        <v>2.2321561581911333E-3</v>
      </c>
      <c r="H227" s="144"/>
      <c r="I227" s="145">
        <f t="shared" si="43"/>
        <v>2.0767309494541179E-3</v>
      </c>
    </row>
    <row r="228" spans="1:9">
      <c r="A228" s="143" t="s">
        <v>270</v>
      </c>
      <c r="B228" s="144">
        <f>(B160+B167+B168)/SUM(B211:B216)</f>
        <v>5.2945203073811481E-2</v>
      </c>
      <c r="C228" s="144">
        <f t="shared" ref="C228:G228" si="45">(C160+C167+C168)/SUM(C211:C216)</f>
        <v>5.1812445457295034E-2</v>
      </c>
      <c r="D228" s="144">
        <f t="shared" si="45"/>
        <v>5.2127366486098246E-2</v>
      </c>
      <c r="E228" s="144">
        <f t="shared" si="45"/>
        <v>5.2224480506459392E-2</v>
      </c>
      <c r="F228" s="144">
        <f t="shared" si="45"/>
        <v>5.1980556907034216E-2</v>
      </c>
      <c r="G228" s="144">
        <f t="shared" si="45"/>
        <v>5.1622363244835115E-2</v>
      </c>
      <c r="I228" s="145">
        <f t="shared" si="43"/>
        <v>5.211873594592225E-2</v>
      </c>
    </row>
    <row r="229" spans="1:9">
      <c r="A229" s="143" t="s">
        <v>271</v>
      </c>
      <c r="B229" s="144">
        <f>(B140+B156+B157+B158+B159)/SUM(B211:B216)</f>
        <v>3.0192222580850268E-2</v>
      </c>
      <c r="C229" s="144">
        <f t="shared" ref="C229:G229" si="46">(C140+C156+C157+C158+C159)/SUM(C211:C216)</f>
        <v>3.0346505031313305E-2</v>
      </c>
      <c r="D229" s="144">
        <f t="shared" si="46"/>
        <v>3.0652634955381709E-2</v>
      </c>
      <c r="E229" s="144">
        <f t="shared" si="46"/>
        <v>3.1018211500259674E-2</v>
      </c>
      <c r="F229" s="144">
        <f t="shared" si="46"/>
        <v>3.1165516690049438E-2</v>
      </c>
      <c r="G229" s="144">
        <f t="shared" si="46"/>
        <v>3.1282788785153726E-2</v>
      </c>
      <c r="I229" s="145">
        <f t="shared" si="43"/>
        <v>3.0776313257168019E-2</v>
      </c>
    </row>
    <row r="230" spans="1:9">
      <c r="A230" s="143" t="s">
        <v>272</v>
      </c>
      <c r="B230" s="144">
        <f>(B177+B191+B192+B193)/SUM(B211:B216)</f>
        <v>6.4832955896179604E-3</v>
      </c>
      <c r="C230" s="144">
        <f t="shared" ref="C230:G230" si="47">(C177+C191+C192+C193)/SUM(C211:C216)</f>
        <v>5.9225557598412857E-3</v>
      </c>
      <c r="D230" s="144">
        <f t="shared" si="47"/>
        <v>7.0819222535181093E-3</v>
      </c>
      <c r="E230" s="144">
        <f t="shared" si="47"/>
        <v>5.2972648365590957E-3</v>
      </c>
      <c r="F230" s="144">
        <f t="shared" si="47"/>
        <v>5.1770661634202089E-3</v>
      </c>
      <c r="G230" s="144">
        <f t="shared" si="47"/>
        <v>4.3119428419031913E-3</v>
      </c>
      <c r="I230" s="145">
        <f t="shared" si="43"/>
        <v>5.7123412408099754E-3</v>
      </c>
    </row>
    <row r="231" spans="1:9">
      <c r="A231" s="143" t="s">
        <v>273</v>
      </c>
      <c r="B231" s="144">
        <f>(B154)/SUM(B211:B216)</f>
        <v>4.692141186548774E-2</v>
      </c>
      <c r="C231" s="144">
        <f t="shared" ref="C231:G231" si="48">(C154)/SUM(C211:C216)</f>
        <v>4.3116746804316687E-2</v>
      </c>
      <c r="D231" s="144">
        <f t="shared" si="48"/>
        <v>4.2323320587395311E-2</v>
      </c>
      <c r="E231" s="144">
        <f t="shared" si="48"/>
        <v>4.2009372164000532E-2</v>
      </c>
      <c r="F231" s="144">
        <f t="shared" si="48"/>
        <v>4.1542687062311207E-2</v>
      </c>
      <c r="G231" s="144">
        <f t="shared" si="48"/>
        <v>4.106444621071647E-2</v>
      </c>
      <c r="I231" s="145">
        <f t="shared" si="43"/>
        <v>4.2829664115704658E-2</v>
      </c>
    </row>
    <row r="232" spans="1:9">
      <c r="A232" s="143" t="s">
        <v>2</v>
      </c>
      <c r="B232" s="144">
        <f>(B182+B183)/SUM(B211:B216)</f>
        <v>3.2603744623517998E-2</v>
      </c>
      <c r="C232" s="144">
        <f t="shared" ref="C232:G232" si="49">(C182+C183)/SUM(C211:C216)</f>
        <v>2.2786240312564734E-2</v>
      </c>
      <c r="D232" s="144">
        <f t="shared" si="49"/>
        <v>2.344978460140584E-2</v>
      </c>
      <c r="E232" s="144">
        <f t="shared" si="49"/>
        <v>2.4027178148319051E-2</v>
      </c>
      <c r="F232" s="144">
        <f t="shared" si="49"/>
        <v>2.4413957843590961E-2</v>
      </c>
      <c r="G232" s="144">
        <f t="shared" si="49"/>
        <v>2.4743965066692318E-2</v>
      </c>
      <c r="I232" s="145">
        <f t="shared" si="43"/>
        <v>2.5337478432681818E-2</v>
      </c>
    </row>
    <row r="233" spans="1:9">
      <c r="A233" s="143" t="s">
        <v>274</v>
      </c>
      <c r="B233" s="144">
        <f>(B209+B213+B214+B215+B216)/SUM(B211:B216)</f>
        <v>0.14988046802568067</v>
      </c>
      <c r="C233" s="144">
        <f t="shared" ref="C233:G233" si="50">(C209+C213+C214+C215+C216)/SUM(C211:C216)</f>
        <v>0.14020947086077801</v>
      </c>
      <c r="D233" s="144">
        <f t="shared" si="50"/>
        <v>0.14002847406708088</v>
      </c>
      <c r="E233" s="144">
        <f t="shared" si="50"/>
        <v>0.13908508133970682</v>
      </c>
      <c r="F233" s="144">
        <f t="shared" si="50"/>
        <v>0.13758362053634748</v>
      </c>
      <c r="G233" s="144">
        <f t="shared" si="50"/>
        <v>0.13599090609937664</v>
      </c>
      <c r="I233" s="145">
        <f t="shared" si="43"/>
        <v>0.14046300348816176</v>
      </c>
    </row>
    <row r="234" spans="1:9">
      <c r="A234" s="143" t="s">
        <v>275</v>
      </c>
      <c r="B234" s="144">
        <f>(B179+B180+B181)/SUM(B211:B216)</f>
        <v>4.8542926945790909E-3</v>
      </c>
      <c r="C234" s="144">
        <f t="shared" ref="C234:G234" si="51">(C179+C180+C181)/SUM(C211:C216)</f>
        <v>4.9081490632584242E-3</v>
      </c>
      <c r="D234" s="144">
        <f t="shared" si="51"/>
        <v>4.993757532953013E-3</v>
      </c>
      <c r="E234" s="144">
        <f t="shared" si="51"/>
        <v>5.0992562688978961E-3</v>
      </c>
      <c r="F234" s="144">
        <f t="shared" si="51"/>
        <v>5.232901154112366E-3</v>
      </c>
      <c r="G234" s="144">
        <f t="shared" si="51"/>
        <v>5.3970655612207595E-3</v>
      </c>
      <c r="I234" s="145">
        <f t="shared" si="43"/>
        <v>5.080903712503592E-3</v>
      </c>
    </row>
    <row r="235" spans="1:9">
      <c r="A235" s="143" t="s">
        <v>276</v>
      </c>
      <c r="B235" s="144">
        <f>(B185)/SUM(B211:B216)</f>
        <v>1.4745235171838999E-4</v>
      </c>
      <c r="C235" s="144">
        <f t="shared" ref="C235:G235" si="52">(C185)/SUM(C211:C216)</f>
        <v>1.6442529232801376E-4</v>
      </c>
      <c r="D235" s="144">
        <f t="shared" si="52"/>
        <v>1.5932687253058318E-4</v>
      </c>
      <c r="E235" s="144">
        <f t="shared" si="52"/>
        <v>1.5494555394204968E-4</v>
      </c>
      <c r="F235" s="144">
        <f t="shared" si="52"/>
        <v>1.5143473876925328E-4</v>
      </c>
      <c r="G235" s="144">
        <f t="shared" si="52"/>
        <v>1.4874808253065495E-4</v>
      </c>
      <c r="I235" s="145">
        <f t="shared" si="43"/>
        <v>1.5438881530315747E-4</v>
      </c>
    </row>
    <row r="236" spans="1:9">
      <c r="A236" s="143" t="s">
        <v>277</v>
      </c>
      <c r="B236" s="144">
        <f>(B162+B163)/SUM(B211:B216)</f>
        <v>1.8834733989028722E-3</v>
      </c>
      <c r="C236" s="144">
        <f t="shared" ref="C236:G236" si="53">(C162+C163)/SUM(C211:C216)</f>
        <v>1.963367799837796E-3</v>
      </c>
      <c r="D236" s="144">
        <f t="shared" si="53"/>
        <v>1.9695736413484592E-3</v>
      </c>
      <c r="E236" s="144">
        <f t="shared" si="53"/>
        <v>1.9729436549849721E-3</v>
      </c>
      <c r="F236" s="144">
        <f t="shared" si="53"/>
        <v>1.9980014247728615E-3</v>
      </c>
      <c r="G236" s="144">
        <f t="shared" si="53"/>
        <v>2.0345041924203912E-3</v>
      </c>
      <c r="I236" s="145">
        <f t="shared" si="43"/>
        <v>1.9703106853778923E-3</v>
      </c>
    </row>
    <row r="237" spans="1:9">
      <c r="A237" s="143" t="s">
        <v>278</v>
      </c>
      <c r="B237" s="144">
        <f>(B164+B165+B172+B173+B176+B178)/SUM(B211:B216)</f>
        <v>9.1412451863492096E-3</v>
      </c>
      <c r="C237" s="144">
        <f t="shared" ref="C237:G237" si="54">(C164+C165+C172+C173+C176+C178)/SUM(C211:C216)</f>
        <v>8.5876788081362572E-3</v>
      </c>
      <c r="D237" s="144">
        <f t="shared" si="54"/>
        <v>8.5816925717769853E-3</v>
      </c>
      <c r="E237" s="144">
        <f t="shared" si="54"/>
        <v>8.5760017624707512E-3</v>
      </c>
      <c r="F237" s="144">
        <f t="shared" si="54"/>
        <v>8.5665359501838467E-3</v>
      </c>
      <c r="G237" s="144">
        <f t="shared" si="54"/>
        <v>8.5728647057136103E-3</v>
      </c>
      <c r="I237" s="145">
        <f t="shared" si="43"/>
        <v>8.6710031641051098E-3</v>
      </c>
    </row>
    <row r="238" spans="1:9">
      <c r="A238" s="143" t="s">
        <v>3</v>
      </c>
      <c r="B238" s="144">
        <f>(B166+B169+B175+B184+B186+B187+B189+B194+B195+B196)/SUM(B211:B216)</f>
        <v>6.9778496137902268E-2</v>
      </c>
      <c r="C238" s="144">
        <f t="shared" ref="C238:G238" si="55">(C166+C169+C175+C184+C186+C187+C189+C194+C195+C196)/SUM(C211:C216)</f>
        <v>9.5272653115236458E-2</v>
      </c>
      <c r="D238" s="144">
        <f t="shared" si="55"/>
        <v>9.8248301698962398E-2</v>
      </c>
      <c r="E238" s="144">
        <f t="shared" si="55"/>
        <v>9.7549273722578475E-2</v>
      </c>
      <c r="F238" s="144">
        <f t="shared" si="55"/>
        <v>9.773329666925791E-2</v>
      </c>
      <c r="G238" s="144">
        <f t="shared" si="55"/>
        <v>9.7096717128428406E-2</v>
      </c>
      <c r="I238" s="145">
        <f t="shared" si="43"/>
        <v>9.2613123078727655E-2</v>
      </c>
    </row>
    <row r="239" spans="1:9">
      <c r="A239"/>
      <c r="B239"/>
      <c r="C239"/>
      <c r="D239"/>
    </row>
    <row r="240" spans="1:9">
      <c r="A240"/>
      <c r="B240" s="146">
        <f>SUM(B225:B239)</f>
        <v>0.99999999999999978</v>
      </c>
      <c r="C240" s="146">
        <f t="shared" ref="C240:I240" si="56">SUM(C225:C239)</f>
        <v>0.99999999999999978</v>
      </c>
      <c r="D240" s="146">
        <f t="shared" si="56"/>
        <v>1</v>
      </c>
      <c r="E240" s="146">
        <f t="shared" si="56"/>
        <v>0.99999999999999989</v>
      </c>
      <c r="F240" s="146">
        <f t="shared" si="56"/>
        <v>0.99999999999999978</v>
      </c>
      <c r="G240" s="146">
        <f t="shared" si="56"/>
        <v>1</v>
      </c>
      <c r="I240" s="146">
        <f t="shared" si="56"/>
        <v>1</v>
      </c>
    </row>
  </sheetData>
  <pageMargins left="0.7" right="0.7" top="0.75" bottom="0.75" header="0.3" footer="0.3"/>
  <pageSetup scale="56" fitToHeight="0" orientation="portrait" r:id="rId1"/>
  <rowBreaks count="2" manualBreakCount="2">
    <brk id="71" max="7" man="1"/>
    <brk id="14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0"/>
  <sheetViews>
    <sheetView zoomScale="75" zoomScaleNormal="75" workbookViewId="0">
      <pane xSplit="1" ySplit="1" topLeftCell="B2" activePane="bottomRight" state="frozen"/>
      <selection activeCell="E165" sqref="E164:E165"/>
      <selection pane="topRight" activeCell="E165" sqref="E164:E165"/>
      <selection pane="bottomLeft" activeCell="E165" sqref="E164:E165"/>
      <selection pane="bottomRight" activeCell="O16" sqref="O16"/>
    </sheetView>
  </sheetViews>
  <sheetFormatPr defaultColWidth="8.625" defaultRowHeight="14.25"/>
  <cols>
    <col min="1" max="1" width="56.5" style="7" customWidth="1"/>
    <col min="2" max="7" width="15.625" style="92" customWidth="1"/>
    <col min="8" max="16384" width="8.625" style="7"/>
  </cols>
  <sheetData>
    <row r="1" spans="1:14" s="3" customFormat="1" ht="15">
      <c r="A1" s="1" t="s">
        <v>263</v>
      </c>
      <c r="B1" s="1" t="s">
        <v>257</v>
      </c>
      <c r="C1" s="1" t="s">
        <v>258</v>
      </c>
      <c r="D1" s="1" t="s">
        <v>259</v>
      </c>
      <c r="E1" s="1" t="s">
        <v>260</v>
      </c>
      <c r="F1" s="1" t="s">
        <v>261</v>
      </c>
      <c r="G1" s="1" t="s">
        <v>262</v>
      </c>
    </row>
    <row r="2" spans="1:14">
      <c r="A2" s="4" t="s">
        <v>7</v>
      </c>
      <c r="B2" s="5">
        <f>'23-24'!BB2</f>
        <v>8966</v>
      </c>
      <c r="C2" s="5">
        <f>'24-25'!BB2</f>
        <v>9414</v>
      </c>
      <c r="D2" s="5">
        <f>'25-26'!BB2</f>
        <v>9555</v>
      </c>
      <c r="E2" s="5">
        <f>'26-27'!BB2</f>
        <v>9700</v>
      </c>
      <c r="F2" s="5">
        <f>'27-28'!BB2</f>
        <v>9850</v>
      </c>
      <c r="G2" s="5">
        <f>'28-29'!BB2</f>
        <v>9998</v>
      </c>
      <c r="J2" s="140">
        <f>(C2-B2)/B2</f>
        <v>4.9966540263216598E-2</v>
      </c>
      <c r="K2" s="140">
        <f t="shared" ref="K2:N2" si="0">(D2-C2)/C2</f>
        <v>1.4977692797960485E-2</v>
      </c>
      <c r="L2" s="140">
        <f t="shared" si="0"/>
        <v>1.5175300889586603E-2</v>
      </c>
      <c r="M2" s="140">
        <f t="shared" si="0"/>
        <v>1.5463917525773196E-2</v>
      </c>
      <c r="N2" s="140">
        <f t="shared" si="0"/>
        <v>1.5025380710659899E-2</v>
      </c>
    </row>
    <row r="3" spans="1:14" ht="15">
      <c r="A3" s="8" t="s">
        <v>8</v>
      </c>
      <c r="B3" s="9">
        <f t="shared" ref="B3:C3" si="1">B4+B5+B6+B7+B8+B9+B10+B11+B12+B13+B14+B15+B16</f>
        <v>120</v>
      </c>
      <c r="C3" s="9">
        <f t="shared" si="1"/>
        <v>135</v>
      </c>
      <c r="D3" s="9">
        <f t="shared" ref="D3:F3" si="2">D4+D5+D6+D7+D8+D9+D10+D11+D12+D13+D14+D15+D16</f>
        <v>140</v>
      </c>
      <c r="E3" s="9">
        <f t="shared" si="2"/>
        <v>140</v>
      </c>
      <c r="F3" s="9">
        <f t="shared" si="2"/>
        <v>140</v>
      </c>
      <c r="G3" s="9">
        <f t="shared" ref="G3" si="3">G4+G5+G6+G7+G8+G9+G10+G11+G12+G13+G14+G15+G16</f>
        <v>140</v>
      </c>
    </row>
    <row r="4" spans="1:14">
      <c r="A4" s="10" t="s">
        <v>9</v>
      </c>
      <c r="B4" s="5">
        <f>'23-24'!BB4</f>
        <v>0</v>
      </c>
      <c r="C4" s="5">
        <f>'24-25'!BB4</f>
        <v>0</v>
      </c>
      <c r="D4" s="5">
        <f>'25-26'!BB4</f>
        <v>0</v>
      </c>
      <c r="E4" s="5">
        <f>'26-27'!BB4</f>
        <v>0</v>
      </c>
      <c r="F4" s="5">
        <f>'27-28'!BB4</f>
        <v>0</v>
      </c>
      <c r="G4" s="5">
        <f>'28-29'!BB4</f>
        <v>0</v>
      </c>
    </row>
    <row r="5" spans="1:14">
      <c r="A5" s="8" t="s">
        <v>10</v>
      </c>
      <c r="B5" s="5">
        <f>'23-24'!BB5</f>
        <v>0</v>
      </c>
      <c r="C5" s="5">
        <f>'24-25'!BB5</f>
        <v>0</v>
      </c>
      <c r="D5" s="5">
        <f>'25-26'!BB5</f>
        <v>0</v>
      </c>
      <c r="E5" s="5">
        <f>'26-27'!BB5</f>
        <v>0</v>
      </c>
      <c r="F5" s="5">
        <f>'27-28'!BB5</f>
        <v>0</v>
      </c>
      <c r="G5" s="5">
        <f>'28-29'!BB5</f>
        <v>0</v>
      </c>
    </row>
    <row r="6" spans="1:14">
      <c r="A6" s="8" t="s">
        <v>11</v>
      </c>
      <c r="B6" s="5">
        <f>'23-24'!BB6</f>
        <v>0</v>
      </c>
      <c r="C6" s="5">
        <f>'24-25'!BB6</f>
        <v>0</v>
      </c>
      <c r="D6" s="5">
        <f>'25-26'!BB6</f>
        <v>0</v>
      </c>
      <c r="E6" s="5">
        <f>'26-27'!BB6</f>
        <v>0</v>
      </c>
      <c r="F6" s="5">
        <f>'27-28'!BB6</f>
        <v>0</v>
      </c>
      <c r="G6" s="5">
        <f>'28-29'!BB6</f>
        <v>0</v>
      </c>
    </row>
    <row r="7" spans="1:14">
      <c r="A7" s="13" t="s">
        <v>12</v>
      </c>
      <c r="B7" s="5">
        <f>'23-24'!BB7</f>
        <v>0</v>
      </c>
      <c r="C7" s="5">
        <f>'24-25'!BB7</f>
        <v>0</v>
      </c>
      <c r="D7" s="5">
        <f>'25-26'!BB7</f>
        <v>0</v>
      </c>
      <c r="E7" s="5">
        <f>'26-27'!BB7</f>
        <v>0</v>
      </c>
      <c r="F7" s="5">
        <f>'27-28'!BB7</f>
        <v>0</v>
      </c>
      <c r="G7" s="5">
        <f>'28-29'!BB7</f>
        <v>0</v>
      </c>
    </row>
    <row r="8" spans="1:14">
      <c r="A8" s="13" t="s">
        <v>13</v>
      </c>
      <c r="B8" s="5">
        <f>'23-24'!BB8</f>
        <v>0</v>
      </c>
      <c r="C8" s="5">
        <f>'24-25'!BB8</f>
        <v>0</v>
      </c>
      <c r="D8" s="5">
        <f>'25-26'!BB8</f>
        <v>0</v>
      </c>
      <c r="E8" s="5">
        <f>'26-27'!BB8</f>
        <v>0</v>
      </c>
      <c r="F8" s="5">
        <f>'27-28'!BB8</f>
        <v>0</v>
      </c>
      <c r="G8" s="5">
        <f>'28-29'!BB8</f>
        <v>0</v>
      </c>
    </row>
    <row r="9" spans="1:14">
      <c r="A9" s="13" t="s">
        <v>14</v>
      </c>
      <c r="B9" s="5">
        <f>'23-24'!BB9</f>
        <v>0</v>
      </c>
      <c r="C9" s="5">
        <f>'24-25'!BB9</f>
        <v>0</v>
      </c>
      <c r="D9" s="5">
        <f>'25-26'!BB9</f>
        <v>0</v>
      </c>
      <c r="E9" s="5">
        <f>'26-27'!BB9</f>
        <v>0</v>
      </c>
      <c r="F9" s="5">
        <f>'27-28'!BB9</f>
        <v>0</v>
      </c>
      <c r="G9" s="5">
        <f>'28-29'!BB9</f>
        <v>0</v>
      </c>
    </row>
    <row r="10" spans="1:14">
      <c r="A10" s="13" t="s">
        <v>15</v>
      </c>
      <c r="B10" s="5">
        <f>'23-24'!BB10</f>
        <v>15</v>
      </c>
      <c r="C10" s="5">
        <f>'24-25'!BB10</f>
        <v>24</v>
      </c>
      <c r="D10" s="5">
        <f>'25-26'!BB10</f>
        <v>20</v>
      </c>
      <c r="E10" s="5">
        <f>'26-27'!BB10</f>
        <v>20</v>
      </c>
      <c r="F10" s="5">
        <f>'27-28'!BB10</f>
        <v>20</v>
      </c>
      <c r="G10" s="5">
        <f>'28-29'!BB10</f>
        <v>20</v>
      </c>
    </row>
    <row r="11" spans="1:14">
      <c r="A11" s="13" t="s">
        <v>16</v>
      </c>
      <c r="B11" s="5">
        <f>'23-24'!BB11</f>
        <v>25</v>
      </c>
      <c r="C11" s="5">
        <f>'24-25'!BB11</f>
        <v>24</v>
      </c>
      <c r="D11" s="5">
        <f>'25-26'!BB11</f>
        <v>20</v>
      </c>
      <c r="E11" s="5">
        <f>'26-27'!BB11</f>
        <v>20</v>
      </c>
      <c r="F11" s="5">
        <f>'27-28'!BB11</f>
        <v>20</v>
      </c>
      <c r="G11" s="5">
        <f>'28-29'!BB11</f>
        <v>20</v>
      </c>
    </row>
    <row r="12" spans="1:14">
      <c r="A12" s="13" t="s">
        <v>17</v>
      </c>
      <c r="B12" s="5">
        <f>'23-24'!BB12</f>
        <v>18</v>
      </c>
      <c r="C12" s="5">
        <f>'24-25'!BB12</f>
        <v>22</v>
      </c>
      <c r="D12" s="5">
        <f>'25-26'!BB12</f>
        <v>20</v>
      </c>
      <c r="E12" s="5">
        <f>'26-27'!BB12</f>
        <v>20</v>
      </c>
      <c r="F12" s="5">
        <f>'27-28'!BB12</f>
        <v>20</v>
      </c>
      <c r="G12" s="5">
        <f>'28-29'!BB12</f>
        <v>20</v>
      </c>
    </row>
    <row r="13" spans="1:14">
      <c r="A13" s="13" t="s">
        <v>18</v>
      </c>
      <c r="B13" s="5">
        <f>'23-24'!BB13</f>
        <v>21</v>
      </c>
      <c r="C13" s="5">
        <f>'24-25'!BB13</f>
        <v>20</v>
      </c>
      <c r="D13" s="5">
        <f>'25-26'!BB13</f>
        <v>20</v>
      </c>
      <c r="E13" s="5">
        <f>'26-27'!BB13</f>
        <v>20</v>
      </c>
      <c r="F13" s="5">
        <f>'27-28'!BB13</f>
        <v>20</v>
      </c>
      <c r="G13" s="5">
        <f>'28-29'!BB13</f>
        <v>20</v>
      </c>
    </row>
    <row r="14" spans="1:14">
      <c r="A14" s="13" t="s">
        <v>19</v>
      </c>
      <c r="B14" s="5">
        <f>'23-24'!BB14</f>
        <v>15</v>
      </c>
      <c r="C14" s="5">
        <f>'24-25'!BB14</f>
        <v>20</v>
      </c>
      <c r="D14" s="5">
        <f>'25-26'!BB14</f>
        <v>20</v>
      </c>
      <c r="E14" s="5">
        <f>'26-27'!BB14</f>
        <v>20</v>
      </c>
      <c r="F14" s="5">
        <f>'27-28'!BB14</f>
        <v>20</v>
      </c>
      <c r="G14" s="5">
        <f>'28-29'!BB14</f>
        <v>20</v>
      </c>
    </row>
    <row r="15" spans="1:14">
      <c r="A15" s="13" t="s">
        <v>20</v>
      </c>
      <c r="B15" s="5">
        <f>'23-24'!BB15</f>
        <v>26</v>
      </c>
      <c r="C15" s="5">
        <f>'24-25'!BB15</f>
        <v>15</v>
      </c>
      <c r="D15" s="5">
        <f>'25-26'!BB15</f>
        <v>20</v>
      </c>
      <c r="E15" s="5">
        <f>'26-27'!BB15</f>
        <v>20</v>
      </c>
      <c r="F15" s="5">
        <f>'27-28'!BB15</f>
        <v>20</v>
      </c>
      <c r="G15" s="5">
        <f>'28-29'!BB15</f>
        <v>20</v>
      </c>
    </row>
    <row r="16" spans="1:14">
      <c r="A16" s="13" t="s">
        <v>21</v>
      </c>
      <c r="B16" s="5">
        <f>'23-24'!BB16</f>
        <v>0</v>
      </c>
      <c r="C16" s="5">
        <f>'24-25'!BB16</f>
        <v>10</v>
      </c>
      <c r="D16" s="5">
        <f>'25-26'!BB16</f>
        <v>20</v>
      </c>
      <c r="E16" s="5">
        <f>'26-27'!BB16</f>
        <v>20</v>
      </c>
      <c r="F16" s="5">
        <f>'27-28'!BB16</f>
        <v>20</v>
      </c>
      <c r="G16" s="5">
        <f>'28-29'!BB16</f>
        <v>20</v>
      </c>
    </row>
    <row r="17" spans="1:7" ht="15">
      <c r="A17" s="15" t="s">
        <v>8</v>
      </c>
      <c r="B17" s="9">
        <f t="shared" ref="B17:C17" si="4">SUM(B4:B16)</f>
        <v>120</v>
      </c>
      <c r="C17" s="9">
        <f t="shared" si="4"/>
        <v>135</v>
      </c>
      <c r="D17" s="9">
        <f t="shared" ref="D17:F17" si="5">SUM(D4:D16)</f>
        <v>140</v>
      </c>
      <c r="E17" s="9">
        <f t="shared" si="5"/>
        <v>140</v>
      </c>
      <c r="F17" s="9">
        <f t="shared" si="5"/>
        <v>140</v>
      </c>
      <c r="G17" s="9">
        <f t="shared" ref="G17" si="6">SUM(G4:G16)</f>
        <v>140</v>
      </c>
    </row>
    <row r="18" spans="1:7">
      <c r="A18" s="13"/>
      <c r="B18" s="5"/>
      <c r="C18" s="5"/>
      <c r="D18" s="5"/>
      <c r="E18" s="5"/>
      <c r="F18" s="5"/>
      <c r="G18" s="5"/>
    </row>
    <row r="19" spans="1:7" ht="15">
      <c r="A19" s="17" t="s">
        <v>22</v>
      </c>
      <c r="B19" s="18" t="str">
        <f t="shared" ref="B19:C19" si="7">B1</f>
        <v>23-24</v>
      </c>
      <c r="C19" s="18" t="str">
        <f t="shared" si="7"/>
        <v>24-25</v>
      </c>
      <c r="D19" s="18" t="str">
        <f t="shared" ref="D19:F19" si="8">D1</f>
        <v>25-26</v>
      </c>
      <c r="E19" s="18" t="str">
        <f t="shared" si="8"/>
        <v>26-27</v>
      </c>
      <c r="F19" s="18" t="str">
        <f t="shared" si="8"/>
        <v>27-28</v>
      </c>
      <c r="G19" s="18" t="str">
        <f t="shared" ref="G19" si="9">G1</f>
        <v>28-29</v>
      </c>
    </row>
    <row r="20" spans="1:7">
      <c r="A20" s="13" t="s">
        <v>23</v>
      </c>
      <c r="B20" s="5">
        <f>'23-24'!BB20</f>
        <v>10</v>
      </c>
      <c r="C20" s="5">
        <f>'24-25'!BB20</f>
        <v>18</v>
      </c>
      <c r="D20" s="5">
        <f>'25-26'!BB20</f>
        <v>18.666666666666668</v>
      </c>
      <c r="E20" s="5">
        <f>'26-27'!BB20</f>
        <v>18.666666666666668</v>
      </c>
      <c r="F20" s="5">
        <f>'27-28'!BB20</f>
        <v>18.666666666666668</v>
      </c>
      <c r="G20" s="5">
        <f>'28-29'!BB20</f>
        <v>18.666666666666668</v>
      </c>
    </row>
    <row r="21" spans="1:7">
      <c r="A21" s="13" t="s">
        <v>24</v>
      </c>
      <c r="B21" s="5">
        <f>'23-24'!BB21</f>
        <v>0</v>
      </c>
      <c r="C21" s="5">
        <f>'24-25'!BB21</f>
        <v>1</v>
      </c>
      <c r="D21" s="5">
        <f>'25-26'!BB21</f>
        <v>1.037037037037037</v>
      </c>
      <c r="E21" s="5">
        <f>'26-27'!BB21</f>
        <v>1.037037037037037</v>
      </c>
      <c r="F21" s="5">
        <f>'27-28'!BB21</f>
        <v>1.037037037037037</v>
      </c>
      <c r="G21" s="5">
        <f>'28-29'!BB21</f>
        <v>1.037037037037037</v>
      </c>
    </row>
    <row r="22" spans="1:7">
      <c r="A22" s="13" t="s">
        <v>25</v>
      </c>
      <c r="B22" s="5">
        <f>'23-24'!BB22</f>
        <v>0</v>
      </c>
      <c r="C22" s="5">
        <f>'24-25'!BB22</f>
        <v>0</v>
      </c>
      <c r="D22" s="5">
        <f>'25-26'!BB22</f>
        <v>0</v>
      </c>
      <c r="E22" s="5">
        <f>'26-27'!BB22</f>
        <v>0</v>
      </c>
      <c r="F22" s="5">
        <f>'27-28'!BB22</f>
        <v>0</v>
      </c>
      <c r="G22" s="5">
        <f>'28-29'!BB22</f>
        <v>0</v>
      </c>
    </row>
    <row r="23" spans="1:7">
      <c r="A23" s="13" t="s">
        <v>26</v>
      </c>
      <c r="B23" s="101">
        <f>'23-24'!BB23</f>
        <v>0.24360000000000001</v>
      </c>
      <c r="C23" s="101">
        <f>'24-25'!BB23</f>
        <v>0.24360000000000001</v>
      </c>
      <c r="D23" s="101">
        <f>'25-26'!BB23</f>
        <v>0.24360000000000001</v>
      </c>
      <c r="E23" s="101">
        <f>'26-27'!BB23</f>
        <v>0.24360000000000001</v>
      </c>
      <c r="F23" s="101">
        <f>'27-28'!BB23</f>
        <v>0.24360000000000001</v>
      </c>
      <c r="G23" s="101">
        <f>'28-29'!BB23</f>
        <v>0.24360000000000001</v>
      </c>
    </row>
    <row r="24" spans="1:7">
      <c r="A24" s="13" t="s">
        <v>27</v>
      </c>
      <c r="B24" s="5">
        <f>'23-24'!BB24</f>
        <v>16</v>
      </c>
      <c r="C24" s="5">
        <f>'24-25'!BB24</f>
        <v>39</v>
      </c>
      <c r="D24" s="5">
        <f>'25-26'!BB24</f>
        <v>39</v>
      </c>
      <c r="E24" s="5">
        <f>'26-27'!BB24</f>
        <v>39</v>
      </c>
      <c r="F24" s="5">
        <f>'27-28'!BB24</f>
        <v>39</v>
      </c>
      <c r="G24" s="5">
        <f>'28-29'!BB24</f>
        <v>39</v>
      </c>
    </row>
    <row r="25" spans="1:7">
      <c r="A25" s="13"/>
      <c r="B25" s="5"/>
      <c r="C25" s="5"/>
      <c r="D25" s="5"/>
      <c r="E25" s="5"/>
      <c r="F25" s="5"/>
      <c r="G25" s="5"/>
    </row>
    <row r="26" spans="1:7" ht="15">
      <c r="A26" s="24" t="s">
        <v>28</v>
      </c>
      <c r="B26" s="18" t="str">
        <f t="shared" ref="B26:C26" si="10">B1</f>
        <v>23-24</v>
      </c>
      <c r="C26" s="18" t="str">
        <f t="shared" si="10"/>
        <v>24-25</v>
      </c>
      <c r="D26" s="18" t="str">
        <f t="shared" ref="D26:F26" si="11">D1</f>
        <v>25-26</v>
      </c>
      <c r="E26" s="18" t="str">
        <f t="shared" si="11"/>
        <v>26-27</v>
      </c>
      <c r="F26" s="18" t="str">
        <f t="shared" si="11"/>
        <v>27-28</v>
      </c>
      <c r="G26" s="18" t="str">
        <f t="shared" ref="G26" si="12">G1</f>
        <v>28-29</v>
      </c>
    </row>
    <row r="27" spans="1:7">
      <c r="A27" s="25" t="s">
        <v>29</v>
      </c>
      <c r="B27" s="26">
        <f>'23-24'!BB27</f>
        <v>0</v>
      </c>
      <c r="C27" s="26">
        <f>'24-25'!BB27</f>
        <v>0</v>
      </c>
      <c r="D27" s="26">
        <f>'25-26'!BB27</f>
        <v>0</v>
      </c>
      <c r="E27" s="26">
        <f>'26-27'!BB27</f>
        <v>0</v>
      </c>
      <c r="F27" s="26">
        <f>'27-28'!BB27</f>
        <v>0</v>
      </c>
      <c r="G27" s="26">
        <f>'28-29'!BB27</f>
        <v>0</v>
      </c>
    </row>
    <row r="28" spans="1:7">
      <c r="A28" s="25" t="s">
        <v>30</v>
      </c>
      <c r="B28" s="26">
        <f>'23-24'!BB28</f>
        <v>1</v>
      </c>
      <c r="C28" s="26">
        <f>'24-25'!BB28</f>
        <v>1</v>
      </c>
      <c r="D28" s="26">
        <f>'25-26'!BB28</f>
        <v>1</v>
      </c>
      <c r="E28" s="26">
        <f>'26-27'!BB28</f>
        <v>1</v>
      </c>
      <c r="F28" s="26">
        <f>'27-28'!BB28</f>
        <v>1</v>
      </c>
      <c r="G28" s="26">
        <f>'28-29'!BB28</f>
        <v>1</v>
      </c>
    </row>
    <row r="29" spans="1:7">
      <c r="A29" s="25" t="s">
        <v>31</v>
      </c>
      <c r="B29" s="26">
        <f>'23-24'!BB29</f>
        <v>0</v>
      </c>
      <c r="C29" s="26">
        <f>'24-25'!BB29</f>
        <v>0</v>
      </c>
      <c r="D29" s="26">
        <f>'25-26'!BB29</f>
        <v>0</v>
      </c>
      <c r="E29" s="26">
        <f>'26-27'!BB29</f>
        <v>0</v>
      </c>
      <c r="F29" s="26">
        <f>'27-28'!BB29</f>
        <v>0</v>
      </c>
      <c r="G29" s="26">
        <f>'28-29'!BB29</f>
        <v>0</v>
      </c>
    </row>
    <row r="30" spans="1:7">
      <c r="A30" s="25" t="s">
        <v>32</v>
      </c>
      <c r="B30" s="26">
        <f>'23-24'!BB30</f>
        <v>0</v>
      </c>
      <c r="C30" s="26">
        <f>'24-25'!BB30</f>
        <v>0</v>
      </c>
      <c r="D30" s="26">
        <f>'25-26'!BB30</f>
        <v>0</v>
      </c>
      <c r="E30" s="26">
        <f>'26-27'!BB30</f>
        <v>0</v>
      </c>
      <c r="F30" s="26">
        <f>'27-28'!BB30</f>
        <v>0</v>
      </c>
      <c r="G30" s="26">
        <f>'28-29'!BB30</f>
        <v>0</v>
      </c>
    </row>
    <row r="31" spans="1:7">
      <c r="A31" s="25" t="s">
        <v>33</v>
      </c>
      <c r="B31" s="26">
        <f>'23-24'!BB31</f>
        <v>0</v>
      </c>
      <c r="C31" s="26">
        <f>'24-25'!BB31</f>
        <v>0</v>
      </c>
      <c r="D31" s="26">
        <f>'25-26'!BB31</f>
        <v>0</v>
      </c>
      <c r="E31" s="26">
        <f>'26-27'!BB31</f>
        <v>0</v>
      </c>
      <c r="F31" s="26">
        <f>'27-28'!BB31</f>
        <v>0</v>
      </c>
      <c r="G31" s="26">
        <f>'28-29'!BB31</f>
        <v>0</v>
      </c>
    </row>
    <row r="32" spans="1:7">
      <c r="A32" s="28" t="s">
        <v>34</v>
      </c>
      <c r="B32" s="26">
        <f>'23-24'!BB32</f>
        <v>0</v>
      </c>
      <c r="C32" s="26">
        <f>'24-25'!BB32</f>
        <v>0</v>
      </c>
      <c r="D32" s="26">
        <f>'25-26'!BB32</f>
        <v>0</v>
      </c>
      <c r="E32" s="26">
        <f>'26-27'!BB32</f>
        <v>0</v>
      </c>
      <c r="F32" s="26">
        <f>'27-28'!BB32</f>
        <v>0</v>
      </c>
      <c r="G32" s="26">
        <f>'28-29'!BB32</f>
        <v>0</v>
      </c>
    </row>
    <row r="33" spans="1:7">
      <c r="A33" s="28" t="s">
        <v>35</v>
      </c>
      <c r="B33" s="26">
        <f>'23-24'!BB33</f>
        <v>0</v>
      </c>
      <c r="C33" s="26">
        <f>'24-25'!BB33</f>
        <v>0</v>
      </c>
      <c r="D33" s="26">
        <f>'25-26'!BB33</f>
        <v>0</v>
      </c>
      <c r="E33" s="26">
        <f>'26-27'!BB33</f>
        <v>0</v>
      </c>
      <c r="F33" s="26">
        <f>'27-28'!BB33</f>
        <v>0</v>
      </c>
      <c r="G33" s="26">
        <f>'28-29'!BB33</f>
        <v>0</v>
      </c>
    </row>
    <row r="34" spans="1:7">
      <c r="A34" s="28" t="s">
        <v>36</v>
      </c>
      <c r="B34" s="26">
        <f>'23-24'!BB34</f>
        <v>0</v>
      </c>
      <c r="C34" s="26">
        <f>'24-25'!BB34</f>
        <v>0</v>
      </c>
      <c r="D34" s="26">
        <f>'25-26'!BB34</f>
        <v>0</v>
      </c>
      <c r="E34" s="26">
        <f>'26-27'!BB34</f>
        <v>0</v>
      </c>
      <c r="F34" s="26">
        <f>'27-28'!BB34</f>
        <v>0</v>
      </c>
      <c r="G34" s="26">
        <f>'28-29'!BB34</f>
        <v>0</v>
      </c>
    </row>
    <row r="35" spans="1:7">
      <c r="A35" s="29" t="s">
        <v>37</v>
      </c>
      <c r="B35" s="26">
        <f>'23-24'!BB35</f>
        <v>0</v>
      </c>
      <c r="C35" s="26">
        <f>'24-25'!BB35</f>
        <v>0</v>
      </c>
      <c r="D35" s="26">
        <f>'25-26'!BB35</f>
        <v>0</v>
      </c>
      <c r="E35" s="26">
        <f>'26-27'!BB35</f>
        <v>0</v>
      </c>
      <c r="F35" s="26">
        <f>'27-28'!BB35</f>
        <v>0</v>
      </c>
      <c r="G35" s="26">
        <f>'28-29'!BB35</f>
        <v>0</v>
      </c>
    </row>
    <row r="36" spans="1:7" ht="15">
      <c r="A36" s="24" t="s">
        <v>38</v>
      </c>
      <c r="B36" s="30">
        <f t="shared" ref="B36:G36" si="13">SUM(B27:B35)</f>
        <v>1</v>
      </c>
      <c r="C36" s="30">
        <f t="shared" si="13"/>
        <v>1</v>
      </c>
      <c r="D36" s="30">
        <f t="shared" si="13"/>
        <v>1</v>
      </c>
      <c r="E36" s="30">
        <f t="shared" si="13"/>
        <v>1</v>
      </c>
      <c r="F36" s="30">
        <f t="shared" si="13"/>
        <v>1</v>
      </c>
      <c r="G36" s="30">
        <f t="shared" si="13"/>
        <v>1</v>
      </c>
    </row>
    <row r="37" spans="1:7" ht="15">
      <c r="A37" s="31"/>
      <c r="B37" s="5"/>
      <c r="C37" s="5"/>
      <c r="D37" s="5"/>
      <c r="E37" s="5"/>
      <c r="F37" s="5"/>
      <c r="G37" s="5"/>
    </row>
    <row r="38" spans="1:7" ht="15">
      <c r="A38" s="24" t="s">
        <v>39</v>
      </c>
      <c r="B38" s="18" t="str">
        <f t="shared" ref="B38:C38" si="14">B1</f>
        <v>23-24</v>
      </c>
      <c r="C38" s="18" t="str">
        <f t="shared" si="14"/>
        <v>24-25</v>
      </c>
      <c r="D38" s="18" t="str">
        <f t="shared" ref="D38:F38" si="15">D1</f>
        <v>25-26</v>
      </c>
      <c r="E38" s="18" t="str">
        <f t="shared" si="15"/>
        <v>26-27</v>
      </c>
      <c r="F38" s="18" t="str">
        <f t="shared" si="15"/>
        <v>27-28</v>
      </c>
      <c r="G38" s="18" t="str">
        <f t="shared" ref="G38" si="16">G1</f>
        <v>28-29</v>
      </c>
    </row>
    <row r="39" spans="1:7">
      <c r="A39" s="25" t="s">
        <v>40</v>
      </c>
      <c r="B39" s="26">
        <f>'23-24'!BB39</f>
        <v>0</v>
      </c>
      <c r="C39" s="26">
        <f>'24-25'!BB39</f>
        <v>0</v>
      </c>
      <c r="D39" s="26">
        <f>'25-26'!BB39</f>
        <v>0</v>
      </c>
      <c r="E39" s="26">
        <f>'26-27'!BB39</f>
        <v>0</v>
      </c>
      <c r="F39" s="26">
        <f>'27-28'!BB39</f>
        <v>0</v>
      </c>
      <c r="G39" s="26">
        <f>'28-29'!BB39</f>
        <v>0</v>
      </c>
    </row>
    <row r="40" spans="1:7">
      <c r="A40" s="25" t="s">
        <v>41</v>
      </c>
      <c r="B40" s="26">
        <f>'23-24'!BB40</f>
        <v>0</v>
      </c>
      <c r="C40" s="26">
        <f>'24-25'!BB40</f>
        <v>0</v>
      </c>
      <c r="D40" s="26">
        <f>'25-26'!BB40</f>
        <v>0</v>
      </c>
      <c r="E40" s="26">
        <f>'26-27'!BB40</f>
        <v>0</v>
      </c>
      <c r="F40" s="26">
        <f>'27-28'!BB40</f>
        <v>0</v>
      </c>
      <c r="G40" s="26">
        <f>'28-29'!BB40</f>
        <v>0</v>
      </c>
    </row>
    <row r="41" spans="1:7">
      <c r="A41" s="29" t="s">
        <v>42</v>
      </c>
      <c r="B41" s="26">
        <f>'23-24'!BB41</f>
        <v>0</v>
      </c>
      <c r="C41" s="26">
        <f>'24-25'!BB41</f>
        <v>0</v>
      </c>
      <c r="D41" s="26">
        <f>'25-26'!BB41</f>
        <v>0</v>
      </c>
      <c r="E41" s="26">
        <f>'26-27'!BB41</f>
        <v>0</v>
      </c>
      <c r="F41" s="26">
        <f>'27-28'!BB41</f>
        <v>0</v>
      </c>
      <c r="G41" s="26">
        <f>'28-29'!BB41</f>
        <v>0</v>
      </c>
    </row>
    <row r="42" spans="1:7">
      <c r="A42" s="32" t="s">
        <v>43</v>
      </c>
      <c r="B42" s="26">
        <f>'23-24'!BB42</f>
        <v>0</v>
      </c>
      <c r="C42" s="26">
        <f>'24-25'!BB42</f>
        <v>0</v>
      </c>
      <c r="D42" s="26">
        <f>'25-26'!BB42</f>
        <v>0</v>
      </c>
      <c r="E42" s="26">
        <f>'26-27'!BB42</f>
        <v>0</v>
      </c>
      <c r="F42" s="26">
        <f>'27-28'!BB42</f>
        <v>0</v>
      </c>
      <c r="G42" s="26">
        <f>'28-29'!BB42</f>
        <v>0</v>
      </c>
    </row>
    <row r="43" spans="1:7">
      <c r="A43" s="32" t="s">
        <v>44</v>
      </c>
      <c r="B43" s="26">
        <f>'23-24'!BB43</f>
        <v>1</v>
      </c>
      <c r="C43" s="26">
        <f>'24-25'!BB43</f>
        <v>1</v>
      </c>
      <c r="D43" s="26">
        <f>'25-26'!BB43</f>
        <v>1</v>
      </c>
      <c r="E43" s="26">
        <f>'26-27'!BB43</f>
        <v>1</v>
      </c>
      <c r="F43" s="26">
        <f>'27-28'!BB43</f>
        <v>1</v>
      </c>
      <c r="G43" s="26">
        <f>'28-29'!BB43</f>
        <v>1</v>
      </c>
    </row>
    <row r="44" spans="1:7">
      <c r="A44" s="32" t="s">
        <v>45</v>
      </c>
      <c r="B44" s="26">
        <f>'23-24'!BB44</f>
        <v>0</v>
      </c>
      <c r="C44" s="26">
        <f>'24-25'!BB44</f>
        <v>0</v>
      </c>
      <c r="D44" s="26">
        <f>'25-26'!BB44</f>
        <v>0</v>
      </c>
      <c r="E44" s="26">
        <f>'26-27'!BB44</f>
        <v>0</v>
      </c>
      <c r="F44" s="26">
        <f>'27-28'!BB44</f>
        <v>0</v>
      </c>
      <c r="G44" s="26">
        <f>'28-29'!BB44</f>
        <v>0</v>
      </c>
    </row>
    <row r="45" spans="1:7">
      <c r="A45" s="32" t="s">
        <v>46</v>
      </c>
      <c r="B45" s="26">
        <f>'23-24'!BB45</f>
        <v>0</v>
      </c>
      <c r="C45" s="26">
        <f>'24-25'!BB45</f>
        <v>0</v>
      </c>
      <c r="D45" s="26">
        <f>'25-26'!BB45</f>
        <v>0</v>
      </c>
      <c r="E45" s="26">
        <f>'26-27'!BB45</f>
        <v>0</v>
      </c>
      <c r="F45" s="26">
        <f>'27-28'!BB45</f>
        <v>0</v>
      </c>
      <c r="G45" s="26">
        <f>'28-29'!BB45</f>
        <v>0</v>
      </c>
    </row>
    <row r="46" spans="1:7">
      <c r="A46" s="25" t="s">
        <v>47</v>
      </c>
      <c r="B46" s="26">
        <f>'23-24'!BB46</f>
        <v>0</v>
      </c>
      <c r="C46" s="26">
        <f>'24-25'!BB46</f>
        <v>0</v>
      </c>
      <c r="D46" s="26">
        <f>'25-26'!BB46</f>
        <v>0</v>
      </c>
      <c r="E46" s="26">
        <f>'26-27'!BB46</f>
        <v>0</v>
      </c>
      <c r="F46" s="26">
        <f>'27-28'!BB46</f>
        <v>0</v>
      </c>
      <c r="G46" s="26">
        <f>'28-29'!BB46</f>
        <v>0</v>
      </c>
    </row>
    <row r="47" spans="1:7">
      <c r="A47" s="25" t="s">
        <v>48</v>
      </c>
      <c r="B47" s="26">
        <f>'23-24'!BB47</f>
        <v>0</v>
      </c>
      <c r="C47" s="26">
        <f>'24-25'!BB47</f>
        <v>0</v>
      </c>
      <c r="D47" s="26">
        <f>'25-26'!BB47</f>
        <v>0</v>
      </c>
      <c r="E47" s="26">
        <f>'26-27'!BB47</f>
        <v>0</v>
      </c>
      <c r="F47" s="26">
        <f>'27-28'!BB47</f>
        <v>0</v>
      </c>
      <c r="G47" s="26">
        <f>'28-29'!BB47</f>
        <v>0</v>
      </c>
    </row>
    <row r="48" spans="1:7">
      <c r="A48" s="25" t="s">
        <v>49</v>
      </c>
      <c r="B48" s="26">
        <f>'23-24'!BB48</f>
        <v>0</v>
      </c>
      <c r="C48" s="26">
        <f>'24-25'!BB48</f>
        <v>0</v>
      </c>
      <c r="D48" s="26">
        <f>'25-26'!BB48</f>
        <v>0</v>
      </c>
      <c r="E48" s="26">
        <f>'26-27'!BB48</f>
        <v>0</v>
      </c>
      <c r="F48" s="26">
        <f>'27-28'!BB48</f>
        <v>0</v>
      </c>
      <c r="G48" s="26">
        <f>'28-29'!BB48</f>
        <v>0</v>
      </c>
    </row>
    <row r="49" spans="1:7">
      <c r="A49" s="25" t="s">
        <v>50</v>
      </c>
      <c r="B49" s="26">
        <f>'23-24'!BB49</f>
        <v>0</v>
      </c>
      <c r="C49" s="26">
        <f>'24-25'!BB49</f>
        <v>0</v>
      </c>
      <c r="D49" s="26">
        <f>'25-26'!BB49</f>
        <v>0</v>
      </c>
      <c r="E49" s="26">
        <f>'26-27'!BB49</f>
        <v>0</v>
      </c>
      <c r="F49" s="26">
        <f>'27-28'!BB49</f>
        <v>0</v>
      </c>
      <c r="G49" s="26">
        <f>'28-29'!BB49</f>
        <v>0</v>
      </c>
    </row>
    <row r="50" spans="1:7">
      <c r="A50" s="25" t="s">
        <v>51</v>
      </c>
      <c r="B50" s="26">
        <f>'23-24'!BB50</f>
        <v>3</v>
      </c>
      <c r="C50" s="26">
        <f>'24-25'!BB50</f>
        <v>3</v>
      </c>
      <c r="D50" s="26">
        <f>'25-26'!BB50</f>
        <v>3</v>
      </c>
      <c r="E50" s="26">
        <f>'26-27'!BB50</f>
        <v>3</v>
      </c>
      <c r="F50" s="26">
        <f>'27-28'!BB50</f>
        <v>3</v>
      </c>
      <c r="G50" s="26">
        <f>'28-29'!BB50</f>
        <v>3</v>
      </c>
    </row>
    <row r="51" spans="1:7">
      <c r="A51" s="25" t="s">
        <v>52</v>
      </c>
      <c r="B51" s="26">
        <f>'23-24'!BB51</f>
        <v>0</v>
      </c>
      <c r="C51" s="26">
        <f>'24-25'!BB51</f>
        <v>0</v>
      </c>
      <c r="D51" s="26">
        <f>'25-26'!BB51</f>
        <v>0</v>
      </c>
      <c r="E51" s="26">
        <f>'26-27'!BB51</f>
        <v>0</v>
      </c>
      <c r="F51" s="26">
        <f>'27-28'!BB51</f>
        <v>0</v>
      </c>
      <c r="G51" s="26">
        <f>'28-29'!BB51</f>
        <v>0</v>
      </c>
    </row>
    <row r="52" spans="1:7">
      <c r="A52" s="25" t="s">
        <v>53</v>
      </c>
      <c r="B52" s="26">
        <f>'23-24'!BB52</f>
        <v>0</v>
      </c>
      <c r="C52" s="26">
        <f>'24-25'!BB52</f>
        <v>0</v>
      </c>
      <c r="D52" s="26">
        <f>'25-26'!BB52</f>
        <v>0</v>
      </c>
      <c r="E52" s="26">
        <f>'26-27'!BB52</f>
        <v>0</v>
      </c>
      <c r="F52" s="26">
        <f>'27-28'!BB52</f>
        <v>0</v>
      </c>
      <c r="G52" s="26">
        <f>'28-29'!BB52</f>
        <v>0</v>
      </c>
    </row>
    <row r="53" spans="1:7">
      <c r="A53" s="25" t="s">
        <v>54</v>
      </c>
      <c r="B53" s="26">
        <f>'23-24'!BB53</f>
        <v>0</v>
      </c>
      <c r="C53" s="26">
        <f>'24-25'!BB53</f>
        <v>0</v>
      </c>
      <c r="D53" s="26">
        <f>'25-26'!BB53</f>
        <v>0</v>
      </c>
      <c r="E53" s="26">
        <f>'26-27'!BB53</f>
        <v>0</v>
      </c>
      <c r="F53" s="26">
        <f>'27-28'!BB53</f>
        <v>0</v>
      </c>
      <c r="G53" s="26">
        <f>'28-29'!BB53</f>
        <v>0</v>
      </c>
    </row>
    <row r="54" spans="1:7">
      <c r="A54" s="29" t="s">
        <v>55</v>
      </c>
      <c r="B54" s="26">
        <f>'23-24'!BB54</f>
        <v>0</v>
      </c>
      <c r="C54" s="26">
        <f>'24-25'!BB54</f>
        <v>0</v>
      </c>
      <c r="D54" s="26">
        <f>'25-26'!BB54</f>
        <v>0</v>
      </c>
      <c r="E54" s="26">
        <f>'26-27'!BB54</f>
        <v>0</v>
      </c>
      <c r="F54" s="26">
        <f>'27-28'!BB54</f>
        <v>0</v>
      </c>
      <c r="G54" s="26">
        <f>'28-29'!BB54</f>
        <v>0</v>
      </c>
    </row>
    <row r="55" spans="1:7">
      <c r="A55" s="29" t="s">
        <v>56</v>
      </c>
      <c r="B55" s="26">
        <f>'23-24'!BB55</f>
        <v>0</v>
      </c>
      <c r="C55" s="26">
        <f>'24-25'!BB55</f>
        <v>0</v>
      </c>
      <c r="D55" s="26">
        <f>'25-26'!BB55</f>
        <v>0</v>
      </c>
      <c r="E55" s="26">
        <f>'26-27'!BB55</f>
        <v>0</v>
      </c>
      <c r="F55" s="26">
        <f>'27-28'!BB55</f>
        <v>0</v>
      </c>
      <c r="G55" s="26">
        <f>'28-29'!BB55</f>
        <v>0</v>
      </c>
    </row>
    <row r="56" spans="1:7">
      <c r="A56" s="29" t="s">
        <v>57</v>
      </c>
      <c r="B56" s="26">
        <f>'23-24'!BB56</f>
        <v>0</v>
      </c>
      <c r="C56" s="26">
        <f>'24-25'!BB56</f>
        <v>0</v>
      </c>
      <c r="D56" s="26">
        <f>'25-26'!BB56</f>
        <v>0</v>
      </c>
      <c r="E56" s="26">
        <f>'26-27'!BB56</f>
        <v>0</v>
      </c>
      <c r="F56" s="26">
        <f>'27-28'!BB56</f>
        <v>0</v>
      </c>
      <c r="G56" s="26">
        <f>'28-29'!BB56</f>
        <v>0</v>
      </c>
    </row>
    <row r="57" spans="1:7">
      <c r="A57" s="29" t="s">
        <v>58</v>
      </c>
      <c r="B57" s="26">
        <f>'23-24'!BB57</f>
        <v>0</v>
      </c>
      <c r="C57" s="26">
        <f>'24-25'!BB57</f>
        <v>0</v>
      </c>
      <c r="D57" s="26">
        <f>'25-26'!BB57</f>
        <v>0</v>
      </c>
      <c r="E57" s="26">
        <f>'26-27'!BB57</f>
        <v>0</v>
      </c>
      <c r="F57" s="26">
        <f>'27-28'!BB57</f>
        <v>0</v>
      </c>
      <c r="G57" s="26">
        <f>'28-29'!BB57</f>
        <v>0</v>
      </c>
    </row>
    <row r="58" spans="1:7">
      <c r="A58" s="29" t="s">
        <v>59</v>
      </c>
      <c r="B58" s="26">
        <f>'23-24'!BB58</f>
        <v>0</v>
      </c>
      <c r="C58" s="26">
        <f>'24-25'!BB58</f>
        <v>0</v>
      </c>
      <c r="D58" s="26">
        <f>'25-26'!BB58</f>
        <v>0</v>
      </c>
      <c r="E58" s="26">
        <f>'26-27'!BB58</f>
        <v>0</v>
      </c>
      <c r="F58" s="26">
        <f>'27-28'!BB58</f>
        <v>0</v>
      </c>
      <c r="G58" s="26">
        <f>'28-29'!BB58</f>
        <v>0</v>
      </c>
    </row>
    <row r="59" spans="1:7">
      <c r="A59" s="29" t="s">
        <v>60</v>
      </c>
      <c r="B59" s="26">
        <f>'23-24'!BB59</f>
        <v>0</v>
      </c>
      <c r="C59" s="26">
        <f>'24-25'!BB59</f>
        <v>0</v>
      </c>
      <c r="D59" s="26">
        <f>'25-26'!BB59</f>
        <v>0</v>
      </c>
      <c r="E59" s="26">
        <f>'26-27'!BB59</f>
        <v>0</v>
      </c>
      <c r="F59" s="26">
        <f>'27-28'!BB59</f>
        <v>0</v>
      </c>
      <c r="G59" s="26">
        <f>'28-29'!BB59</f>
        <v>0</v>
      </c>
    </row>
    <row r="60" spans="1:7">
      <c r="A60" s="25" t="s">
        <v>61</v>
      </c>
      <c r="B60" s="26">
        <f>'23-24'!BB60</f>
        <v>0</v>
      </c>
      <c r="C60" s="26">
        <f>'24-25'!BB60</f>
        <v>0</v>
      </c>
      <c r="D60" s="26">
        <f>'25-26'!BB60</f>
        <v>0</v>
      </c>
      <c r="E60" s="26">
        <f>'26-27'!BB60</f>
        <v>0</v>
      </c>
      <c r="F60" s="26">
        <f>'27-28'!BB60</f>
        <v>0</v>
      </c>
      <c r="G60" s="26">
        <f>'28-29'!BB60</f>
        <v>0</v>
      </c>
    </row>
    <row r="61" spans="1:7" ht="15">
      <c r="A61" s="24" t="s">
        <v>62</v>
      </c>
      <c r="B61" s="33">
        <f t="shared" ref="B61:C61" si="17">SUM(B39:B60)</f>
        <v>4</v>
      </c>
      <c r="C61" s="33">
        <f t="shared" si="17"/>
        <v>4</v>
      </c>
      <c r="D61" s="33">
        <f t="shared" ref="D61:F61" si="18">SUM(D39:D60)</f>
        <v>4</v>
      </c>
      <c r="E61" s="33">
        <f t="shared" si="18"/>
        <v>4</v>
      </c>
      <c r="F61" s="33">
        <f t="shared" si="18"/>
        <v>4</v>
      </c>
      <c r="G61" s="33">
        <f t="shared" ref="G61" si="19">SUM(G39:G60)</f>
        <v>4</v>
      </c>
    </row>
    <row r="62" spans="1:7" ht="15.75" thickBot="1">
      <c r="A62" s="34"/>
      <c r="B62" s="35"/>
      <c r="C62" s="35"/>
      <c r="D62" s="35"/>
      <c r="E62" s="35"/>
      <c r="F62" s="35"/>
      <c r="G62" s="35"/>
    </row>
    <row r="63" spans="1:7" ht="15">
      <c r="A63" s="36" t="s">
        <v>63</v>
      </c>
      <c r="B63" s="37">
        <f t="shared" ref="B63:C63" si="20">B36</f>
        <v>1</v>
      </c>
      <c r="C63" s="37">
        <f t="shared" si="20"/>
        <v>1</v>
      </c>
      <c r="D63" s="37">
        <f t="shared" ref="D63:F63" si="21">D36</f>
        <v>1</v>
      </c>
      <c r="E63" s="37">
        <f t="shared" si="21"/>
        <v>1</v>
      </c>
      <c r="F63" s="37">
        <f t="shared" si="21"/>
        <v>1</v>
      </c>
      <c r="G63" s="37">
        <f t="shared" ref="G63" si="22">G36</f>
        <v>1</v>
      </c>
    </row>
    <row r="64" spans="1:7" ht="15">
      <c r="A64" s="38" t="s">
        <v>64</v>
      </c>
      <c r="B64" s="39">
        <f t="shared" ref="B64:G64" si="23">B61</f>
        <v>4</v>
      </c>
      <c r="C64" s="39">
        <f t="shared" si="23"/>
        <v>4</v>
      </c>
      <c r="D64" s="39">
        <f t="shared" si="23"/>
        <v>4</v>
      </c>
      <c r="E64" s="39">
        <f t="shared" si="23"/>
        <v>4</v>
      </c>
      <c r="F64" s="39">
        <f t="shared" si="23"/>
        <v>4</v>
      </c>
      <c r="G64" s="39">
        <f t="shared" si="23"/>
        <v>4</v>
      </c>
    </row>
    <row r="65" spans="1:7" ht="15.75" thickBot="1">
      <c r="A65" s="40" t="s">
        <v>65</v>
      </c>
      <c r="B65" s="41">
        <f t="shared" ref="B65:G65" si="24">SUM(B63:B64)</f>
        <v>5</v>
      </c>
      <c r="C65" s="41">
        <f t="shared" si="24"/>
        <v>5</v>
      </c>
      <c r="D65" s="41">
        <f t="shared" si="24"/>
        <v>5</v>
      </c>
      <c r="E65" s="41">
        <f t="shared" si="24"/>
        <v>5</v>
      </c>
      <c r="F65" s="41">
        <f t="shared" si="24"/>
        <v>5</v>
      </c>
      <c r="G65" s="41">
        <f t="shared" si="24"/>
        <v>5</v>
      </c>
    </row>
    <row r="66" spans="1:7">
      <c r="A66" s="29"/>
      <c r="B66" s="42"/>
      <c r="C66" s="42"/>
      <c r="D66" s="42"/>
      <c r="E66" s="42"/>
      <c r="F66" s="42"/>
      <c r="G66" s="42"/>
    </row>
    <row r="67" spans="1:7" ht="15">
      <c r="A67" s="43" t="s">
        <v>66</v>
      </c>
      <c r="B67" s="45">
        <f t="shared" ref="B67:G67" si="25">B142/(B211+B213+B214+B215+B216+B217)</f>
        <v>0.52142679536406067</v>
      </c>
      <c r="C67" s="45">
        <f t="shared" si="25"/>
        <v>0.47595575110808547</v>
      </c>
      <c r="D67" s="45">
        <f t="shared" si="25"/>
        <v>0.47772036456668715</v>
      </c>
      <c r="E67" s="45">
        <f t="shared" si="25"/>
        <v>0.47867575328566503</v>
      </c>
      <c r="F67" s="45">
        <f t="shared" si="25"/>
        <v>0.47914092308471123</v>
      </c>
      <c r="G67" s="45">
        <f t="shared" si="25"/>
        <v>0.47959280800424436</v>
      </c>
    </row>
    <row r="68" spans="1:7" ht="15">
      <c r="A68" s="43" t="s">
        <v>67</v>
      </c>
      <c r="B68" s="45">
        <f t="shared" ref="B68:G68" si="26">(B114+B115+B118+B128)/B132</f>
        <v>0.65224506494834822</v>
      </c>
      <c r="C68" s="45">
        <f t="shared" si="26"/>
        <v>0.65446847641515482</v>
      </c>
      <c r="D68" s="45">
        <f t="shared" si="26"/>
        <v>0.65411442501791206</v>
      </c>
      <c r="E68" s="45">
        <f t="shared" si="26"/>
        <v>0.65374470892092773</v>
      </c>
      <c r="F68" s="45">
        <f t="shared" si="26"/>
        <v>0.65335975020225179</v>
      </c>
      <c r="G68" s="45">
        <f t="shared" si="26"/>
        <v>0.65295995909776405</v>
      </c>
    </row>
    <row r="69" spans="1:7" ht="15">
      <c r="A69" s="43" t="s">
        <v>68</v>
      </c>
      <c r="B69" s="45">
        <f t="shared" ref="B69:G69" si="27">(B107+B108+B109+B112+B116+B117+B119+B120++B123+B124+B125+B126+B127+B129+B130)/B132</f>
        <v>0</v>
      </c>
      <c r="C69" s="45">
        <f t="shared" si="27"/>
        <v>0</v>
      </c>
      <c r="D69" s="45">
        <f t="shared" si="27"/>
        <v>0</v>
      </c>
      <c r="E69" s="45">
        <f t="shared" si="27"/>
        <v>0</v>
      </c>
      <c r="F69" s="45">
        <f t="shared" si="27"/>
        <v>0</v>
      </c>
      <c r="G69" s="45">
        <f t="shared" si="27"/>
        <v>0</v>
      </c>
    </row>
    <row r="70" spans="1:7" ht="15">
      <c r="A70" s="43" t="s">
        <v>69</v>
      </c>
      <c r="B70" s="45">
        <f t="shared" ref="B70:G70" si="28">(B214+B215+B216+B217+B213)/B97</f>
        <v>0</v>
      </c>
      <c r="C70" s="45">
        <f t="shared" si="28"/>
        <v>0</v>
      </c>
      <c r="D70" s="45">
        <f t="shared" si="28"/>
        <v>0</v>
      </c>
      <c r="E70" s="45">
        <f t="shared" si="28"/>
        <v>0</v>
      </c>
      <c r="F70" s="45">
        <f t="shared" si="28"/>
        <v>0</v>
      </c>
      <c r="G70" s="45">
        <f t="shared" si="28"/>
        <v>0</v>
      </c>
    </row>
    <row r="71" spans="1:7" ht="15" thickBot="1">
      <c r="B71" s="42"/>
      <c r="C71" s="42"/>
      <c r="D71" s="42"/>
      <c r="E71" s="42"/>
      <c r="F71" s="42"/>
      <c r="G71" s="42"/>
    </row>
    <row r="72" spans="1:7" ht="15.75" thickBot="1">
      <c r="A72" s="46" t="s">
        <v>70</v>
      </c>
      <c r="B72" s="47" t="str">
        <f t="shared" ref="B72:C72" si="29">B1</f>
        <v>23-24</v>
      </c>
      <c r="C72" s="47" t="str">
        <f t="shared" si="29"/>
        <v>24-25</v>
      </c>
      <c r="D72" s="47" t="str">
        <f t="shared" ref="D72:F72" si="30">D1</f>
        <v>25-26</v>
      </c>
      <c r="E72" s="47" t="str">
        <f t="shared" si="30"/>
        <v>26-27</v>
      </c>
      <c r="F72" s="47" t="str">
        <f t="shared" si="30"/>
        <v>27-28</v>
      </c>
      <c r="G72" s="47" t="str">
        <f t="shared" ref="G72" si="31">G1</f>
        <v>28-29</v>
      </c>
    </row>
    <row r="73" spans="1:7" ht="15">
      <c r="A73" s="48" t="s">
        <v>71</v>
      </c>
      <c r="B73" s="49"/>
      <c r="C73" s="49"/>
      <c r="D73" s="49"/>
      <c r="E73" s="49"/>
      <c r="F73" s="49"/>
      <c r="G73" s="49"/>
    </row>
    <row r="74" spans="1:7">
      <c r="A74" s="29" t="s">
        <v>72</v>
      </c>
      <c r="B74" s="5">
        <f>'23-24'!BB74</f>
        <v>1075920</v>
      </c>
      <c r="C74" s="5">
        <f>'24-25'!BB74</f>
        <v>1270890</v>
      </c>
      <c r="D74" s="5">
        <f>'25-26'!BB74</f>
        <v>1337700</v>
      </c>
      <c r="E74" s="5">
        <f>'26-27'!BB74</f>
        <v>1358000</v>
      </c>
      <c r="F74" s="5">
        <f>'27-28'!BB74</f>
        <v>1379000</v>
      </c>
      <c r="G74" s="5">
        <f>'28-29'!BB74</f>
        <v>1399720</v>
      </c>
    </row>
    <row r="75" spans="1:7">
      <c r="A75" s="29" t="s">
        <v>73</v>
      </c>
      <c r="B75" s="5">
        <f>'23-24'!BB75</f>
        <v>0</v>
      </c>
      <c r="C75" s="5">
        <f>'24-25'!BB75</f>
        <v>4236</v>
      </c>
      <c r="D75" s="5">
        <f>'25-26'!BB75</f>
        <v>4392.8888888888887</v>
      </c>
      <c r="E75" s="5">
        <f>'26-27'!BB75</f>
        <v>4392.8888888888887</v>
      </c>
      <c r="F75" s="5">
        <f>'27-28'!BB75</f>
        <v>4392.8888888888887</v>
      </c>
      <c r="G75" s="5">
        <f>'28-29'!BB75</f>
        <v>4392.8888888888887</v>
      </c>
    </row>
    <row r="76" spans="1:7">
      <c r="A76" s="29" t="s">
        <v>74</v>
      </c>
      <c r="B76" s="5">
        <f>'23-24'!BB76</f>
        <v>0</v>
      </c>
      <c r="C76" s="5">
        <f>'24-25'!BB76</f>
        <v>0</v>
      </c>
      <c r="D76" s="5">
        <f>'25-26'!BB76</f>
        <v>0</v>
      </c>
      <c r="E76" s="5">
        <f>'26-27'!BB76</f>
        <v>0</v>
      </c>
      <c r="F76" s="5">
        <f>'27-28'!BB76</f>
        <v>0</v>
      </c>
      <c r="G76" s="5">
        <f>'28-29'!BB76</f>
        <v>0</v>
      </c>
    </row>
    <row r="77" spans="1:7">
      <c r="A77" s="29" t="s">
        <v>75</v>
      </c>
      <c r="B77" s="5">
        <f>'23-24'!BB77</f>
        <v>0</v>
      </c>
      <c r="C77" s="5">
        <f>'24-25'!BB77</f>
        <v>128466</v>
      </c>
      <c r="D77" s="5">
        <f>'25-26'!BB77</f>
        <v>128466</v>
      </c>
      <c r="E77" s="5">
        <f>'26-27'!BB77</f>
        <v>128466</v>
      </c>
      <c r="F77" s="5">
        <f>'27-28'!BB77</f>
        <v>128466</v>
      </c>
      <c r="G77" s="5">
        <f>'28-29'!BB77</f>
        <v>128466</v>
      </c>
    </row>
    <row r="78" spans="1:7">
      <c r="A78" s="29" t="s">
        <v>76</v>
      </c>
      <c r="B78" s="5">
        <f>'23-24'!BB78</f>
        <v>15471</v>
      </c>
      <c r="C78" s="5">
        <f>'24-25'!BB78</f>
        <v>15471</v>
      </c>
      <c r="D78" s="5">
        <f>'25-26'!BB78</f>
        <v>15471</v>
      </c>
      <c r="E78" s="5">
        <f>'26-27'!BB78</f>
        <v>15471</v>
      </c>
      <c r="F78" s="5">
        <f>'27-28'!BB78</f>
        <v>15471</v>
      </c>
      <c r="G78" s="5">
        <f>'28-29'!BB78</f>
        <v>15471</v>
      </c>
    </row>
    <row r="79" spans="1:7">
      <c r="A79" s="29" t="s">
        <v>77</v>
      </c>
      <c r="B79" s="5">
        <f>'23-24'!BB79</f>
        <v>38400</v>
      </c>
      <c r="C79" s="5">
        <f>'24-25'!BB79</f>
        <v>69120</v>
      </c>
      <c r="D79" s="5">
        <f>'25-26'!BB79</f>
        <v>70933.333333333343</v>
      </c>
      <c r="E79" s="5">
        <f>'26-27'!BB79</f>
        <v>70933.333333333343</v>
      </c>
      <c r="F79" s="5">
        <f>'27-28'!BB79</f>
        <v>70933.333333333343</v>
      </c>
      <c r="G79" s="5">
        <f>'28-29'!BB79</f>
        <v>70933.333333333343</v>
      </c>
    </row>
    <row r="80" spans="1:7" ht="15">
      <c r="A80" s="54" t="s">
        <v>78</v>
      </c>
      <c r="B80" s="55">
        <f t="shared" ref="B80:C80" si="32">SUM(B74:B79)</f>
        <v>1129791</v>
      </c>
      <c r="C80" s="55">
        <f t="shared" si="32"/>
        <v>1488183</v>
      </c>
      <c r="D80" s="55">
        <f t="shared" ref="D80:F80" si="33">SUM(D74:D79)</f>
        <v>1556963.2222222222</v>
      </c>
      <c r="E80" s="55">
        <f t="shared" si="33"/>
        <v>1577263.2222222222</v>
      </c>
      <c r="F80" s="55">
        <f t="shared" si="33"/>
        <v>1598263.2222222222</v>
      </c>
      <c r="G80" s="55">
        <f t="shared" ref="G80" si="34">SUM(G74:G79)</f>
        <v>1618983.2222222222</v>
      </c>
    </row>
    <row r="81" spans="1:7" ht="15">
      <c r="A81" s="56" t="s">
        <v>79</v>
      </c>
      <c r="B81" s="49"/>
      <c r="C81" s="49"/>
      <c r="D81" s="49"/>
      <c r="E81" s="49"/>
      <c r="F81" s="49"/>
      <c r="G81" s="49"/>
    </row>
    <row r="82" spans="1:7">
      <c r="A82" s="29" t="s">
        <v>80</v>
      </c>
      <c r="B82" s="5">
        <f>'23-24'!BB82</f>
        <v>9384</v>
      </c>
      <c r="C82" s="5">
        <f>'24-25'!BB82</f>
        <v>9384</v>
      </c>
      <c r="D82" s="5">
        <f>'25-26'!BB82</f>
        <v>20533.333333333336</v>
      </c>
      <c r="E82" s="5">
        <f>'26-27'!BB82</f>
        <v>20533.333333333336</v>
      </c>
      <c r="F82" s="5">
        <f>'27-28'!BB82</f>
        <v>20533.333333333336</v>
      </c>
      <c r="G82" s="5">
        <f>'28-29'!BB82</f>
        <v>20533.333333333336</v>
      </c>
    </row>
    <row r="83" spans="1:7">
      <c r="A83" s="29" t="s">
        <v>81</v>
      </c>
      <c r="B83" s="5">
        <f>'23-24'!BB83</f>
        <v>0</v>
      </c>
      <c r="C83" s="5">
        <f>'24-25'!BB83</f>
        <v>0</v>
      </c>
      <c r="D83" s="5">
        <f>'25-26'!BB83</f>
        <v>0</v>
      </c>
      <c r="E83" s="5">
        <f>'26-27'!BB83</f>
        <v>0</v>
      </c>
      <c r="F83" s="5">
        <f>'27-28'!BB83</f>
        <v>0</v>
      </c>
      <c r="G83" s="5">
        <f>'28-29'!BB83</f>
        <v>0</v>
      </c>
    </row>
    <row r="84" spans="1:7">
      <c r="A84" s="29" t="s">
        <v>82</v>
      </c>
      <c r="B84" s="5">
        <f>'23-24'!BB84</f>
        <v>23382</v>
      </c>
      <c r="C84" s="5">
        <f>'24-25'!BB84</f>
        <v>2104.38</v>
      </c>
      <c r="D84" s="5">
        <f>'25-26'!BB84</f>
        <v>2182.3200000000002</v>
      </c>
      <c r="E84" s="5">
        <f>'26-27'!BB84</f>
        <v>2182.3200000000002</v>
      </c>
      <c r="F84" s="5">
        <f>'27-28'!BB84</f>
        <v>2182.3200000000002</v>
      </c>
      <c r="G84" s="5">
        <f>'28-29'!BB84</f>
        <v>2182.3200000000002</v>
      </c>
    </row>
    <row r="85" spans="1:7">
      <c r="A85" s="29" t="s">
        <v>4</v>
      </c>
      <c r="B85" s="5">
        <f>'23-24'!BB85</f>
        <v>0</v>
      </c>
      <c r="C85" s="5">
        <f>'24-25'!BB85</f>
        <v>0</v>
      </c>
      <c r="D85" s="5">
        <f>'25-26'!BB85</f>
        <v>0</v>
      </c>
      <c r="E85" s="5">
        <f>'26-27'!BB85</f>
        <v>0</v>
      </c>
      <c r="F85" s="5">
        <f>'27-28'!BB85</f>
        <v>0</v>
      </c>
      <c r="G85" s="5">
        <f>'28-29'!BB85</f>
        <v>0</v>
      </c>
    </row>
    <row r="86" spans="1:7">
      <c r="A86" s="29" t="s">
        <v>83</v>
      </c>
      <c r="B86" s="5">
        <f>'23-24'!BB86</f>
        <v>0</v>
      </c>
      <c r="C86" s="5">
        <f>'24-25'!BB86</f>
        <v>0</v>
      </c>
      <c r="D86" s="5">
        <f>'25-26'!BB86</f>
        <v>0</v>
      </c>
      <c r="E86" s="5">
        <f>'26-27'!BB86</f>
        <v>0</v>
      </c>
      <c r="F86" s="5">
        <f>'27-28'!BB86</f>
        <v>0</v>
      </c>
      <c r="G86" s="5">
        <f>'28-29'!BB86</f>
        <v>0</v>
      </c>
    </row>
    <row r="87" spans="1:7">
      <c r="A87" s="29" t="s">
        <v>6</v>
      </c>
      <c r="B87" s="5">
        <f>'23-24'!BB87</f>
        <v>0</v>
      </c>
      <c r="C87" s="5">
        <f>'24-25'!BB87</f>
        <v>0</v>
      </c>
      <c r="D87" s="5">
        <f>'25-26'!BB87</f>
        <v>0</v>
      </c>
      <c r="E87" s="5">
        <f>'26-27'!BB87</f>
        <v>0</v>
      </c>
      <c r="F87" s="5">
        <f>'27-28'!BB87</f>
        <v>0</v>
      </c>
      <c r="G87" s="5">
        <f>'28-29'!BB87</f>
        <v>0</v>
      </c>
    </row>
    <row r="88" spans="1:7">
      <c r="A88" s="29" t="s">
        <v>84</v>
      </c>
      <c r="B88" s="5">
        <f>'23-24'!BB88</f>
        <v>0</v>
      </c>
      <c r="C88" s="5">
        <f>'24-25'!BB88</f>
        <v>0</v>
      </c>
      <c r="D88" s="5">
        <f>'25-26'!BB88</f>
        <v>0</v>
      </c>
      <c r="E88" s="5">
        <f>'26-27'!BB88</f>
        <v>0</v>
      </c>
      <c r="F88" s="5">
        <f>'27-28'!BB88</f>
        <v>0</v>
      </c>
      <c r="G88" s="5">
        <f>'28-29'!BB88</f>
        <v>0</v>
      </c>
    </row>
    <row r="89" spans="1:7">
      <c r="A89" s="29" t="s">
        <v>85</v>
      </c>
      <c r="B89" s="5">
        <f>'23-24'!BB89</f>
        <v>0</v>
      </c>
      <c r="C89" s="5">
        <f>'24-25'!BB89</f>
        <v>0</v>
      </c>
      <c r="D89" s="5">
        <f>'25-26'!BB89</f>
        <v>0</v>
      </c>
      <c r="E89" s="5">
        <f>'26-27'!BB89</f>
        <v>0</v>
      </c>
      <c r="F89" s="5">
        <f>'27-28'!BB89</f>
        <v>0</v>
      </c>
      <c r="G89" s="5">
        <f>'28-29'!BB89</f>
        <v>0</v>
      </c>
    </row>
    <row r="90" spans="1:7" ht="15">
      <c r="A90" s="54" t="s">
        <v>86</v>
      </c>
      <c r="B90" s="55">
        <f t="shared" ref="B90:G90" si="35">SUM(B82:B88)</f>
        <v>32766</v>
      </c>
      <c r="C90" s="55">
        <f t="shared" si="35"/>
        <v>11488.380000000001</v>
      </c>
      <c r="D90" s="55">
        <f t="shared" si="35"/>
        <v>22715.653333333335</v>
      </c>
      <c r="E90" s="55">
        <f t="shared" si="35"/>
        <v>22715.653333333335</v>
      </c>
      <c r="F90" s="55">
        <f t="shared" si="35"/>
        <v>22715.653333333335</v>
      </c>
      <c r="G90" s="55">
        <f t="shared" si="35"/>
        <v>22715.653333333335</v>
      </c>
    </row>
    <row r="91" spans="1:7" ht="15">
      <c r="A91" s="56" t="s">
        <v>87</v>
      </c>
      <c r="B91" s="49"/>
      <c r="C91" s="49"/>
      <c r="D91" s="49"/>
      <c r="E91" s="49"/>
      <c r="F91" s="49"/>
      <c r="G91" s="49"/>
    </row>
    <row r="92" spans="1:7">
      <c r="A92" s="29" t="s">
        <v>88</v>
      </c>
      <c r="B92" s="5">
        <f>'23-24'!BB92</f>
        <v>0</v>
      </c>
      <c r="C92" s="5">
        <f>'24-25'!BB92</f>
        <v>0</v>
      </c>
      <c r="D92" s="5">
        <f>'25-26'!BB92</f>
        <v>0</v>
      </c>
      <c r="E92" s="5">
        <f>'26-27'!BB92</f>
        <v>0</v>
      </c>
      <c r="F92" s="5">
        <f>'27-28'!BB92</f>
        <v>0</v>
      </c>
      <c r="G92" s="5">
        <f>'28-29'!BB92</f>
        <v>0</v>
      </c>
    </row>
    <row r="93" spans="1:7">
      <c r="A93" s="29" t="s">
        <v>89</v>
      </c>
      <c r="B93" s="5">
        <f>'23-24'!BB93</f>
        <v>0</v>
      </c>
      <c r="C93" s="5">
        <f>'24-25'!BB93</f>
        <v>0</v>
      </c>
      <c r="D93" s="5">
        <f>'25-26'!BB93</f>
        <v>0</v>
      </c>
      <c r="E93" s="5">
        <f>'26-27'!BB93</f>
        <v>0</v>
      </c>
      <c r="F93" s="5">
        <f>'27-28'!BB93</f>
        <v>0</v>
      </c>
      <c r="G93" s="5">
        <f>'28-29'!BB93</f>
        <v>0</v>
      </c>
    </row>
    <row r="94" spans="1:7">
      <c r="A94" s="29" t="s">
        <v>90</v>
      </c>
      <c r="B94" s="5">
        <f>'23-24'!BB94</f>
        <v>0</v>
      </c>
      <c r="C94" s="5">
        <f>'24-25'!BB94</f>
        <v>0</v>
      </c>
      <c r="D94" s="5">
        <f>'25-26'!BB94</f>
        <v>0</v>
      </c>
      <c r="E94" s="5">
        <f>'26-27'!BB94</f>
        <v>0</v>
      </c>
      <c r="F94" s="5">
        <f>'27-28'!BB94</f>
        <v>0</v>
      </c>
      <c r="G94" s="5">
        <f>'28-29'!BB94</f>
        <v>0</v>
      </c>
    </row>
    <row r="95" spans="1:7">
      <c r="A95" s="29" t="s">
        <v>91</v>
      </c>
      <c r="B95" s="5">
        <f>'23-24'!BB95</f>
        <v>0</v>
      </c>
      <c r="C95" s="5">
        <f>'24-25'!BB95</f>
        <v>0</v>
      </c>
      <c r="D95" s="5">
        <f>'25-26'!BB95</f>
        <v>0</v>
      </c>
      <c r="E95" s="5">
        <f>'26-27'!BB95</f>
        <v>0</v>
      </c>
      <c r="F95" s="5">
        <f>'27-28'!BB95</f>
        <v>0</v>
      </c>
      <c r="G95" s="5">
        <f>'28-29'!BB95</f>
        <v>0</v>
      </c>
    </row>
    <row r="96" spans="1:7" ht="15">
      <c r="A96" s="54" t="s">
        <v>92</v>
      </c>
      <c r="B96" s="55">
        <f t="shared" ref="B96:G96" si="36">SUM(B92:B95)</f>
        <v>0</v>
      </c>
      <c r="C96" s="55">
        <f t="shared" si="36"/>
        <v>0</v>
      </c>
      <c r="D96" s="55">
        <f t="shared" si="36"/>
        <v>0</v>
      </c>
      <c r="E96" s="55">
        <f t="shared" si="36"/>
        <v>0</v>
      </c>
      <c r="F96" s="55">
        <f t="shared" si="36"/>
        <v>0</v>
      </c>
      <c r="G96" s="55">
        <f t="shared" si="36"/>
        <v>0</v>
      </c>
    </row>
    <row r="97" spans="1:7" ht="15">
      <c r="A97" s="58" t="s">
        <v>93</v>
      </c>
      <c r="B97" s="59">
        <f t="shared" ref="B97:G97" si="37">B80+B90+B96</f>
        <v>1162557</v>
      </c>
      <c r="C97" s="59">
        <f t="shared" si="37"/>
        <v>1499671.38</v>
      </c>
      <c r="D97" s="59">
        <f t="shared" si="37"/>
        <v>1579678.8755555556</v>
      </c>
      <c r="E97" s="59">
        <f t="shared" si="37"/>
        <v>1599978.8755555556</v>
      </c>
      <c r="F97" s="59">
        <f t="shared" si="37"/>
        <v>1620978.8755555556</v>
      </c>
      <c r="G97" s="59">
        <f t="shared" si="37"/>
        <v>1641698.8755555556</v>
      </c>
    </row>
    <row r="98" spans="1:7" ht="15">
      <c r="A98" s="56" t="s">
        <v>94</v>
      </c>
      <c r="B98" s="49"/>
      <c r="C98" s="49"/>
      <c r="D98" s="49"/>
      <c r="E98" s="49"/>
      <c r="F98" s="49"/>
      <c r="G98" s="49"/>
    </row>
    <row r="99" spans="1:7">
      <c r="A99" s="29" t="s">
        <v>95</v>
      </c>
      <c r="B99" s="5">
        <f>'23-24'!BB99</f>
        <v>0</v>
      </c>
      <c r="C99" s="5">
        <f>'24-25'!BB99</f>
        <v>0</v>
      </c>
      <c r="D99" s="5">
        <f>'25-26'!BB99</f>
        <v>0</v>
      </c>
      <c r="E99" s="5">
        <f>'26-27'!BB99</f>
        <v>0</v>
      </c>
      <c r="F99" s="5">
        <f>'27-28'!BB99</f>
        <v>0</v>
      </c>
      <c r="G99" s="5">
        <f>'28-29'!BB99</f>
        <v>0</v>
      </c>
    </row>
    <row r="100" spans="1:7">
      <c r="A100" s="29" t="s">
        <v>96</v>
      </c>
      <c r="B100" s="5">
        <f>'23-24'!BB100</f>
        <v>0</v>
      </c>
      <c r="C100" s="5">
        <f>'24-25'!BB100</f>
        <v>0</v>
      </c>
      <c r="D100" s="5">
        <f>'25-26'!BB100</f>
        <v>0</v>
      </c>
      <c r="E100" s="5">
        <f>'26-27'!BB100</f>
        <v>0</v>
      </c>
      <c r="F100" s="5">
        <f>'27-28'!BB100</f>
        <v>0</v>
      </c>
      <c r="G100" s="5">
        <f>'28-29'!BB100</f>
        <v>0</v>
      </c>
    </row>
    <row r="101" spans="1:7">
      <c r="A101" s="29" t="s">
        <v>264</v>
      </c>
      <c r="B101" s="5">
        <f>'23-24'!BB101</f>
        <v>0</v>
      </c>
      <c r="C101" s="5">
        <f>'24-25'!BB101</f>
        <v>0</v>
      </c>
      <c r="D101" s="5">
        <f>'25-26'!BB101</f>
        <v>0</v>
      </c>
      <c r="E101" s="5">
        <f>'26-27'!BB101</f>
        <v>0</v>
      </c>
      <c r="F101" s="5">
        <f>'27-28'!BB101</f>
        <v>0</v>
      </c>
      <c r="G101" s="5">
        <f>'28-29'!BB101</f>
        <v>0</v>
      </c>
    </row>
    <row r="102" spans="1:7">
      <c r="A102" s="29"/>
      <c r="B102" s="5">
        <f>'23-24'!BB102</f>
        <v>0</v>
      </c>
      <c r="C102" s="5">
        <f>'24-25'!BB102</f>
        <v>0</v>
      </c>
      <c r="D102" s="5">
        <f>'25-26'!BB102</f>
        <v>0</v>
      </c>
      <c r="E102" s="5">
        <f>'26-27'!BB102</f>
        <v>0</v>
      </c>
      <c r="F102" s="5">
        <f>'27-28'!BB102</f>
        <v>0</v>
      </c>
      <c r="G102" s="5">
        <f>'28-29'!BB102</f>
        <v>0</v>
      </c>
    </row>
    <row r="103" spans="1:7" ht="15">
      <c r="A103" s="54" t="s">
        <v>97</v>
      </c>
      <c r="B103" s="55">
        <f t="shared" ref="B103:G103" si="38">SUM(B99:B102)</f>
        <v>0</v>
      </c>
      <c r="C103" s="55">
        <f t="shared" si="38"/>
        <v>0</v>
      </c>
      <c r="D103" s="55">
        <f t="shared" si="38"/>
        <v>0</v>
      </c>
      <c r="E103" s="55">
        <f t="shared" si="38"/>
        <v>0</v>
      </c>
      <c r="F103" s="55">
        <f t="shared" si="38"/>
        <v>0</v>
      </c>
      <c r="G103" s="55">
        <f t="shared" si="38"/>
        <v>0</v>
      </c>
    </row>
    <row r="104" spans="1:7" ht="15" thickBot="1">
      <c r="A104" s="29"/>
      <c r="B104" s="42"/>
      <c r="C104" s="42"/>
      <c r="D104" s="42"/>
      <c r="E104" s="42"/>
      <c r="F104" s="42"/>
      <c r="G104" s="42"/>
    </row>
    <row r="105" spans="1:7" ht="15.75" thickBot="1">
      <c r="A105" s="60" t="s">
        <v>98</v>
      </c>
      <c r="B105" s="61" t="str">
        <f t="shared" ref="B105:C105" si="39">B1</f>
        <v>23-24</v>
      </c>
      <c r="C105" s="61" t="str">
        <f t="shared" si="39"/>
        <v>24-25</v>
      </c>
      <c r="D105" s="61" t="str">
        <f t="shared" ref="D105:F105" si="40">D1</f>
        <v>25-26</v>
      </c>
      <c r="E105" s="61" t="str">
        <f t="shared" si="40"/>
        <v>26-27</v>
      </c>
      <c r="F105" s="61" t="str">
        <f t="shared" si="40"/>
        <v>27-28</v>
      </c>
      <c r="G105" s="61" t="str">
        <f t="shared" ref="G105" si="41">G1</f>
        <v>28-29</v>
      </c>
    </row>
    <row r="106" spans="1:7" ht="15">
      <c r="A106" s="48" t="s">
        <v>99</v>
      </c>
      <c r="B106" s="49"/>
      <c r="C106" s="49"/>
      <c r="D106" s="49"/>
      <c r="E106" s="49"/>
      <c r="F106" s="49"/>
      <c r="G106" s="49"/>
    </row>
    <row r="107" spans="1:7">
      <c r="A107" s="29" t="s">
        <v>40</v>
      </c>
      <c r="B107" s="5">
        <f>'23-24'!BB107</f>
        <v>0</v>
      </c>
      <c r="C107" s="5">
        <f>'24-25'!BB107</f>
        <v>0</v>
      </c>
      <c r="D107" s="5">
        <f>'25-26'!BB107</f>
        <v>0</v>
      </c>
      <c r="E107" s="5">
        <f>'26-27'!BB107</f>
        <v>0</v>
      </c>
      <c r="F107" s="5">
        <f>'27-28'!BB107</f>
        <v>0</v>
      </c>
      <c r="G107" s="5">
        <f>'28-29'!BB107</f>
        <v>0</v>
      </c>
    </row>
    <row r="108" spans="1:7">
      <c r="A108" s="29" t="s">
        <v>100</v>
      </c>
      <c r="B108" s="5">
        <f>'23-24'!BB108</f>
        <v>0</v>
      </c>
      <c r="C108" s="5">
        <f>'24-25'!BB108</f>
        <v>0</v>
      </c>
      <c r="D108" s="5">
        <f>'25-26'!BB108</f>
        <v>0</v>
      </c>
      <c r="E108" s="5">
        <f>'26-27'!BB108</f>
        <v>0</v>
      </c>
      <c r="F108" s="5">
        <f>'27-28'!BB108</f>
        <v>0</v>
      </c>
      <c r="G108" s="5">
        <f>'28-29'!BB108</f>
        <v>0</v>
      </c>
    </row>
    <row r="109" spans="1:7">
      <c r="A109" s="29" t="s">
        <v>42</v>
      </c>
      <c r="B109" s="5">
        <f>'23-24'!BB109</f>
        <v>0</v>
      </c>
      <c r="C109" s="5">
        <f>'24-25'!BB109</f>
        <v>0</v>
      </c>
      <c r="D109" s="5">
        <f>'25-26'!BB109</f>
        <v>0</v>
      </c>
      <c r="E109" s="5">
        <f>'26-27'!BB109</f>
        <v>0</v>
      </c>
      <c r="F109" s="5">
        <f>'27-28'!BB109</f>
        <v>0</v>
      </c>
      <c r="G109" s="5">
        <f>'28-29'!BB109</f>
        <v>0</v>
      </c>
    </row>
    <row r="110" spans="1:7">
      <c r="A110" s="32" t="s">
        <v>43</v>
      </c>
      <c r="B110" s="5">
        <f>'23-24'!BB110</f>
        <v>0</v>
      </c>
      <c r="C110" s="5">
        <f>'24-25'!BB110</f>
        <v>0</v>
      </c>
      <c r="D110" s="5">
        <f>'25-26'!BB110</f>
        <v>0</v>
      </c>
      <c r="E110" s="5">
        <f>'26-27'!BB110</f>
        <v>0</v>
      </c>
      <c r="F110" s="5">
        <f>'27-28'!BB110</f>
        <v>0</v>
      </c>
      <c r="G110" s="5">
        <f>'28-29'!BB110</f>
        <v>0</v>
      </c>
    </row>
    <row r="111" spans="1:7">
      <c r="A111" s="32" t="s">
        <v>44</v>
      </c>
      <c r="B111" s="5">
        <f>'23-24'!BB111</f>
        <v>85000</v>
      </c>
      <c r="C111" s="5">
        <f>'24-25'!BB111</f>
        <v>87550</v>
      </c>
      <c r="D111" s="5">
        <f>'25-26'!BB111</f>
        <v>88863.249999999985</v>
      </c>
      <c r="E111" s="5">
        <f>'26-27'!BB111</f>
        <v>90196.198749999981</v>
      </c>
      <c r="F111" s="5">
        <f>'27-28'!BB111</f>
        <v>91549.141731249969</v>
      </c>
      <c r="G111" s="5">
        <f>'28-29'!BB111</f>
        <v>92922.378857218704</v>
      </c>
    </row>
    <row r="112" spans="1:7">
      <c r="A112" s="29" t="s">
        <v>101</v>
      </c>
      <c r="B112" s="5">
        <f>'23-24'!BB112</f>
        <v>0</v>
      </c>
      <c r="C112" s="5">
        <f>'24-25'!BB112</f>
        <v>0</v>
      </c>
      <c r="D112" s="5">
        <f>'25-26'!BB112</f>
        <v>0</v>
      </c>
      <c r="E112" s="5">
        <f>'26-27'!BB112</f>
        <v>0</v>
      </c>
      <c r="F112" s="5">
        <f>'27-28'!BB112</f>
        <v>0</v>
      </c>
      <c r="G112" s="5">
        <f>'28-29'!BB112</f>
        <v>0</v>
      </c>
    </row>
    <row r="113" spans="1:7">
      <c r="A113" s="29" t="s">
        <v>102</v>
      </c>
      <c r="B113" s="5">
        <f>'23-24'!BB113</f>
        <v>0</v>
      </c>
      <c r="C113" s="5">
        <f>'24-25'!BB113</f>
        <v>0</v>
      </c>
      <c r="D113" s="5">
        <f>'25-26'!BB113</f>
        <v>0</v>
      </c>
      <c r="E113" s="5">
        <f>'26-27'!BB113</f>
        <v>0</v>
      </c>
      <c r="F113" s="5">
        <f>'27-28'!BB113</f>
        <v>0</v>
      </c>
      <c r="G113" s="5">
        <f>'28-29'!BB113</f>
        <v>0</v>
      </c>
    </row>
    <row r="114" spans="1:7">
      <c r="A114" s="29" t="s">
        <v>103</v>
      </c>
      <c r="B114" s="5">
        <f>'23-24'!BB114</f>
        <v>0</v>
      </c>
      <c r="C114" s="5">
        <f>'24-25'!BB114</f>
        <v>0</v>
      </c>
      <c r="D114" s="5">
        <f>'25-26'!BB114</f>
        <v>0</v>
      </c>
      <c r="E114" s="5">
        <f>'26-27'!BB114</f>
        <v>0</v>
      </c>
      <c r="F114" s="5">
        <f>'27-28'!BB114</f>
        <v>0</v>
      </c>
      <c r="G114" s="5">
        <f>'28-29'!BB114</f>
        <v>0</v>
      </c>
    </row>
    <row r="115" spans="1:7">
      <c r="A115" s="29" t="s">
        <v>30</v>
      </c>
      <c r="B115" s="5">
        <f>'23-24'!BB115</f>
        <v>78425</v>
      </c>
      <c r="C115" s="5">
        <f>'24-25'!BB115</f>
        <v>80777.75</v>
      </c>
      <c r="D115" s="5">
        <f>'25-26'!BB115</f>
        <v>81989.416249999995</v>
      </c>
      <c r="E115" s="5">
        <f>'26-27'!BB115</f>
        <v>83219.257493749988</v>
      </c>
      <c r="F115" s="5">
        <f>'27-28'!BB115</f>
        <v>84467.546356156236</v>
      </c>
      <c r="G115" s="5">
        <f>'28-29'!BB115</f>
        <v>85734.559551498576</v>
      </c>
    </row>
    <row r="116" spans="1:7">
      <c r="A116" s="29" t="s">
        <v>104</v>
      </c>
      <c r="B116" s="5">
        <f>'23-24'!BB116</f>
        <v>0</v>
      </c>
      <c r="C116" s="5">
        <f>'24-25'!BB116</f>
        <v>0</v>
      </c>
      <c r="D116" s="5">
        <f>'25-26'!BB116</f>
        <v>0</v>
      </c>
      <c r="E116" s="5">
        <f>'26-27'!BB116</f>
        <v>0</v>
      </c>
      <c r="F116" s="5">
        <f>'27-28'!BB116</f>
        <v>0</v>
      </c>
      <c r="G116" s="5">
        <f>'28-29'!BB116</f>
        <v>0</v>
      </c>
    </row>
    <row r="117" spans="1:7">
      <c r="A117" s="29" t="s">
        <v>105</v>
      </c>
      <c r="B117" s="5">
        <f>'23-24'!BB117</f>
        <v>0</v>
      </c>
      <c r="C117" s="5">
        <f>'24-25'!BB117</f>
        <v>0</v>
      </c>
      <c r="D117" s="5">
        <f>'25-26'!BB117</f>
        <v>0</v>
      </c>
      <c r="E117" s="5">
        <f>'26-27'!BB117</f>
        <v>0</v>
      </c>
      <c r="F117" s="5">
        <f>'27-28'!BB117</f>
        <v>0</v>
      </c>
      <c r="G117" s="5">
        <f>'28-29'!BB117</f>
        <v>0</v>
      </c>
    </row>
    <row r="118" spans="1:7">
      <c r="A118" s="29" t="s">
        <v>106</v>
      </c>
      <c r="B118" s="5">
        <f>'23-24'!BB118</f>
        <v>81000</v>
      </c>
      <c r="C118" s="5">
        <f>'24-25'!BB118</f>
        <v>85050</v>
      </c>
      <c r="D118" s="5">
        <f>'25-26'!BB118</f>
        <v>86062.5</v>
      </c>
      <c r="E118" s="5">
        <f>'26-27'!BB118</f>
        <v>87075</v>
      </c>
      <c r="F118" s="5">
        <f>'27-28'!BB118</f>
        <v>88087.5</v>
      </c>
      <c r="G118" s="5">
        <f>'28-29'!BB118</f>
        <v>89100</v>
      </c>
    </row>
    <row r="119" spans="1:7">
      <c r="A119" s="29" t="s">
        <v>107</v>
      </c>
      <c r="B119" s="5">
        <f>'23-24'!BB119</f>
        <v>0</v>
      </c>
      <c r="C119" s="5">
        <f>'24-25'!BB119</f>
        <v>0</v>
      </c>
      <c r="D119" s="5">
        <f>'25-26'!BB119</f>
        <v>0</v>
      </c>
      <c r="E119" s="5">
        <f>'26-27'!BB119</f>
        <v>0</v>
      </c>
      <c r="F119" s="5">
        <f>'27-28'!BB119</f>
        <v>0</v>
      </c>
      <c r="G119" s="5">
        <f>'28-29'!BB119</f>
        <v>0</v>
      </c>
    </row>
    <row r="120" spans="1:7">
      <c r="A120" s="29" t="s">
        <v>53</v>
      </c>
      <c r="B120" s="5">
        <f>'23-24'!BB120</f>
        <v>0</v>
      </c>
      <c r="C120" s="5">
        <f>'24-25'!BB120</f>
        <v>0</v>
      </c>
      <c r="D120" s="5">
        <f>'25-26'!BB120</f>
        <v>0</v>
      </c>
      <c r="E120" s="5">
        <f>'26-27'!BB120</f>
        <v>0</v>
      </c>
      <c r="F120" s="5">
        <f>'27-28'!BB120</f>
        <v>0</v>
      </c>
      <c r="G120" s="5">
        <f>'28-29'!BB120</f>
        <v>0</v>
      </c>
    </row>
    <row r="121" spans="1:7" ht="15">
      <c r="A121" s="64" t="s">
        <v>108</v>
      </c>
      <c r="B121" s="65">
        <f t="shared" ref="B121:G121" si="42">SUM(B107:B120)</f>
        <v>244425</v>
      </c>
      <c r="C121" s="65">
        <f t="shared" si="42"/>
        <v>253377.75</v>
      </c>
      <c r="D121" s="65">
        <f t="shared" si="42"/>
        <v>256915.16624999998</v>
      </c>
      <c r="E121" s="65">
        <f t="shared" si="42"/>
        <v>260490.45624374997</v>
      </c>
      <c r="F121" s="65">
        <f t="shared" si="42"/>
        <v>264104.18808740622</v>
      </c>
      <c r="G121" s="65">
        <f t="shared" si="42"/>
        <v>267756.93840871728</v>
      </c>
    </row>
    <row r="122" spans="1:7" ht="15">
      <c r="A122" s="66" t="s">
        <v>109</v>
      </c>
      <c r="B122" s="49"/>
      <c r="C122" s="49"/>
      <c r="D122" s="49"/>
      <c r="E122" s="49"/>
      <c r="F122" s="49"/>
      <c r="G122" s="49"/>
    </row>
    <row r="123" spans="1:7">
      <c r="A123" s="29" t="s">
        <v>55</v>
      </c>
      <c r="B123" s="5">
        <f>'23-24'!BB123</f>
        <v>0</v>
      </c>
      <c r="C123" s="5">
        <f>'24-25'!BB123</f>
        <v>0</v>
      </c>
      <c r="D123" s="5">
        <f>'25-26'!BB123</f>
        <v>0</v>
      </c>
      <c r="E123" s="5">
        <f>'26-27'!BB123</f>
        <v>0</v>
      </c>
      <c r="F123" s="5">
        <f>'27-28'!BB123</f>
        <v>0</v>
      </c>
      <c r="G123" s="5">
        <f>'28-29'!BB123</f>
        <v>0</v>
      </c>
    </row>
    <row r="124" spans="1:7">
      <c r="A124" s="29" t="s">
        <v>56</v>
      </c>
      <c r="B124" s="5">
        <f>'23-24'!BB124</f>
        <v>0</v>
      </c>
      <c r="C124" s="5">
        <f>'24-25'!BB124</f>
        <v>0</v>
      </c>
      <c r="D124" s="5">
        <f>'25-26'!BB124</f>
        <v>0</v>
      </c>
      <c r="E124" s="5">
        <f>'26-27'!BB124</f>
        <v>0</v>
      </c>
      <c r="F124" s="5">
        <f>'27-28'!BB124</f>
        <v>0</v>
      </c>
      <c r="G124" s="5">
        <f>'28-29'!BB124</f>
        <v>0</v>
      </c>
    </row>
    <row r="125" spans="1:7">
      <c r="A125" s="29" t="s">
        <v>57</v>
      </c>
      <c r="B125" s="5">
        <f>'23-24'!BB125</f>
        <v>0</v>
      </c>
      <c r="C125" s="5">
        <f>'24-25'!BB125</f>
        <v>0</v>
      </c>
      <c r="D125" s="5">
        <f>'25-26'!BB125</f>
        <v>0</v>
      </c>
      <c r="E125" s="5">
        <f>'26-27'!BB125</f>
        <v>0</v>
      </c>
      <c r="F125" s="5">
        <f>'27-28'!BB125</f>
        <v>0</v>
      </c>
      <c r="G125" s="5">
        <f>'28-29'!BB125</f>
        <v>0</v>
      </c>
    </row>
    <row r="126" spans="1:7">
      <c r="A126" s="29" t="s">
        <v>110</v>
      </c>
      <c r="B126" s="5">
        <f>'23-24'!BB126</f>
        <v>0</v>
      </c>
      <c r="C126" s="5">
        <f>'24-25'!BB126</f>
        <v>0</v>
      </c>
      <c r="D126" s="5">
        <f>'25-26'!BB126</f>
        <v>0</v>
      </c>
      <c r="E126" s="5">
        <f>'26-27'!BB126</f>
        <v>0</v>
      </c>
      <c r="F126" s="5">
        <f>'27-28'!BB126</f>
        <v>0</v>
      </c>
      <c r="G126" s="5">
        <f>'28-29'!BB126</f>
        <v>0</v>
      </c>
    </row>
    <row r="127" spans="1:7">
      <c r="A127" s="29" t="s">
        <v>59</v>
      </c>
      <c r="B127" s="5">
        <f>'23-24'!BB127</f>
        <v>0</v>
      </c>
      <c r="C127" s="5">
        <f>'24-25'!BB127</f>
        <v>0</v>
      </c>
      <c r="D127" s="5">
        <f>'25-26'!BB127</f>
        <v>0</v>
      </c>
      <c r="E127" s="5">
        <f>'26-27'!BB127</f>
        <v>0</v>
      </c>
      <c r="F127" s="5">
        <f>'27-28'!BB127</f>
        <v>0</v>
      </c>
      <c r="G127" s="5">
        <f>'28-29'!BB127</f>
        <v>0</v>
      </c>
    </row>
    <row r="128" spans="1:7">
      <c r="A128" s="29" t="s">
        <v>111</v>
      </c>
      <c r="B128" s="5">
        <f>'23-24'!BB128</f>
        <v>0</v>
      </c>
      <c r="C128" s="5">
        <f>'24-25'!BB128</f>
        <v>0</v>
      </c>
      <c r="D128" s="5">
        <f>'25-26'!BB128</f>
        <v>0</v>
      </c>
      <c r="E128" s="5">
        <f>'26-27'!BB128</f>
        <v>0</v>
      </c>
      <c r="F128" s="5">
        <f>'27-28'!BB128</f>
        <v>0</v>
      </c>
      <c r="G128" s="5">
        <f>'28-29'!BB128</f>
        <v>0</v>
      </c>
    </row>
    <row r="129" spans="1:7">
      <c r="A129" s="29" t="s">
        <v>112</v>
      </c>
      <c r="B129" s="5">
        <f>'23-24'!BB129</f>
        <v>0</v>
      </c>
      <c r="C129" s="5">
        <f>'24-25'!BB129</f>
        <v>0</v>
      </c>
      <c r="D129" s="5">
        <f>'25-26'!BB129</f>
        <v>0</v>
      </c>
      <c r="E129" s="5">
        <f>'26-27'!BB129</f>
        <v>0</v>
      </c>
      <c r="F129" s="5">
        <f>'27-28'!BB129</f>
        <v>0</v>
      </c>
      <c r="G129" s="5">
        <f>'28-29'!BB129</f>
        <v>0</v>
      </c>
    </row>
    <row r="130" spans="1:7">
      <c r="A130" s="29" t="s">
        <v>60</v>
      </c>
      <c r="B130" s="5">
        <f>'23-24'!BB130</f>
        <v>0</v>
      </c>
      <c r="C130" s="5">
        <f>'24-25'!BB130</f>
        <v>0</v>
      </c>
      <c r="D130" s="5">
        <f>'25-26'!BB130</f>
        <v>0</v>
      </c>
      <c r="E130" s="5">
        <f>'26-27'!BB130</f>
        <v>0</v>
      </c>
      <c r="F130" s="5">
        <f>'27-28'!BB130</f>
        <v>0</v>
      </c>
      <c r="G130" s="5">
        <f>'28-29'!BB130</f>
        <v>0</v>
      </c>
    </row>
    <row r="131" spans="1:7" ht="15">
      <c r="A131" s="68" t="s">
        <v>113</v>
      </c>
      <c r="B131" s="69">
        <f t="shared" ref="B131:G131" si="43">SUM(B123:B130)</f>
        <v>0</v>
      </c>
      <c r="C131" s="69">
        <f t="shared" si="43"/>
        <v>0</v>
      </c>
      <c r="D131" s="69">
        <f t="shared" si="43"/>
        <v>0</v>
      </c>
      <c r="E131" s="69">
        <f t="shared" si="43"/>
        <v>0</v>
      </c>
      <c r="F131" s="69">
        <f t="shared" si="43"/>
        <v>0</v>
      </c>
      <c r="G131" s="69">
        <f t="shared" si="43"/>
        <v>0</v>
      </c>
    </row>
    <row r="132" spans="1:7" ht="15">
      <c r="A132" s="70" t="s">
        <v>114</v>
      </c>
      <c r="B132" s="71">
        <f t="shared" ref="B132:C132" si="44">B121+B131</f>
        <v>244425</v>
      </c>
      <c r="C132" s="71">
        <f t="shared" si="44"/>
        <v>253377.75</v>
      </c>
      <c r="D132" s="71">
        <f t="shared" ref="D132:F132" si="45">D121+D131</f>
        <v>256915.16624999998</v>
      </c>
      <c r="E132" s="71">
        <f t="shared" si="45"/>
        <v>260490.45624374997</v>
      </c>
      <c r="F132" s="71">
        <f t="shared" si="45"/>
        <v>264104.18808740622</v>
      </c>
      <c r="G132" s="71">
        <f t="shared" ref="G132" si="46">G121+G131</f>
        <v>267756.93840871728</v>
      </c>
    </row>
    <row r="133" spans="1:7">
      <c r="A133" s="29" t="s">
        <v>115</v>
      </c>
      <c r="B133" s="5">
        <f>'23-24'!BB133</f>
        <v>81882.375</v>
      </c>
      <c r="C133" s="5">
        <f>'24-25'!BB133</f>
        <v>84881.546249999999</v>
      </c>
      <c r="D133" s="5">
        <f>'25-26'!BB133</f>
        <v>86066.580693750002</v>
      </c>
      <c r="E133" s="5">
        <f>'26-27'!BB133</f>
        <v>87264.302841656245</v>
      </c>
      <c r="F133" s="5">
        <f>'27-28'!BB133</f>
        <v>88474.903009281086</v>
      </c>
      <c r="G133" s="5">
        <f>'28-29'!BB133</f>
        <v>89698.574366920308</v>
      </c>
    </row>
    <row r="134" spans="1:7">
      <c r="A134" s="29" t="s">
        <v>116</v>
      </c>
      <c r="B134" s="5">
        <f>'23-24'!BB134</f>
        <v>39212.925000000003</v>
      </c>
      <c r="C134" s="5">
        <f>'24-25'!BB134</f>
        <v>42652.623749999999</v>
      </c>
      <c r="D134" s="5">
        <f>'25-26'!BB134</f>
        <v>38537.274937499998</v>
      </c>
      <c r="E134" s="5">
        <f>'26-27'!BB134</f>
        <v>39724.794577171866</v>
      </c>
      <c r="F134" s="5">
        <f>'27-28'!BB134</f>
        <v>40936.149153547965</v>
      </c>
      <c r="G134" s="5">
        <f>'28-29'!BB134</f>
        <v>42171.717799372971</v>
      </c>
    </row>
    <row r="135" spans="1:7">
      <c r="A135" s="29" t="s">
        <v>117</v>
      </c>
      <c r="B135" s="5">
        <f>'23-24'!BB135</f>
        <v>4306.5</v>
      </c>
      <c r="C135" s="5">
        <f>'24-25'!BB135</f>
        <v>4306.5</v>
      </c>
      <c r="D135" s="5">
        <f>'25-26'!BB135</f>
        <v>4306.5</v>
      </c>
      <c r="E135" s="5">
        <f>'26-27'!BB135</f>
        <v>4306.5</v>
      </c>
      <c r="F135" s="5">
        <f>'27-28'!BB135</f>
        <v>4306.5</v>
      </c>
      <c r="G135" s="5">
        <f>'28-29'!BB135</f>
        <v>4306.5</v>
      </c>
    </row>
    <row r="136" spans="1:7">
      <c r="A136" s="29" t="s">
        <v>118</v>
      </c>
      <c r="B136" s="5">
        <f>'23-24'!BB136</f>
        <v>1500</v>
      </c>
      <c r="C136" s="5">
        <f>'24-25'!BB136</f>
        <v>1500</v>
      </c>
      <c r="D136" s="5">
        <f>'25-26'!BB136</f>
        <v>1500</v>
      </c>
      <c r="E136" s="5">
        <f>'26-27'!BB136</f>
        <v>1500</v>
      </c>
      <c r="F136" s="5">
        <f>'27-28'!BB136</f>
        <v>1500</v>
      </c>
      <c r="G136" s="5">
        <f>'28-29'!BB136</f>
        <v>1500</v>
      </c>
    </row>
    <row r="137" spans="1:7">
      <c r="A137" s="29" t="s">
        <v>119</v>
      </c>
      <c r="B137" s="5">
        <f>'23-24'!BB137</f>
        <v>189500</v>
      </c>
      <c r="C137" s="5">
        <f>'24-25'!BB137</f>
        <v>245600</v>
      </c>
      <c r="D137" s="5">
        <f>'25-26'!BB137</f>
        <v>252500</v>
      </c>
      <c r="E137" s="5">
        <f>'26-27'!BB137</f>
        <v>252500</v>
      </c>
      <c r="F137" s="5">
        <f>'27-28'!BB137</f>
        <v>252500</v>
      </c>
      <c r="G137" s="5">
        <f>'28-29'!BB137</f>
        <v>252500</v>
      </c>
    </row>
    <row r="138" spans="1:7">
      <c r="A138" s="29" t="s">
        <v>120</v>
      </c>
      <c r="B138" s="5">
        <f>'23-24'!BB138</f>
        <v>0</v>
      </c>
      <c r="C138" s="5">
        <f>'24-25'!BB138</f>
        <v>0</v>
      </c>
      <c r="D138" s="5">
        <f>'25-26'!BB138</f>
        <v>0</v>
      </c>
      <c r="E138" s="5">
        <f>'26-27'!BB138</f>
        <v>0</v>
      </c>
      <c r="F138" s="5">
        <f>'27-28'!BB138</f>
        <v>0</v>
      </c>
      <c r="G138" s="5">
        <f>'28-29'!BB138</f>
        <v>0</v>
      </c>
    </row>
    <row r="139" spans="1:7">
      <c r="A139" s="29" t="s">
        <v>121</v>
      </c>
      <c r="B139" s="5">
        <f>'23-24'!BB139</f>
        <v>2500</v>
      </c>
      <c r="C139" s="5">
        <f>'24-25'!BB139</f>
        <v>2500</v>
      </c>
      <c r="D139" s="5">
        <f>'25-26'!BB139</f>
        <v>2500</v>
      </c>
      <c r="E139" s="5">
        <f>'26-27'!BB139</f>
        <v>2500</v>
      </c>
      <c r="F139" s="5">
        <f>'27-28'!BB139</f>
        <v>2500</v>
      </c>
      <c r="G139" s="5">
        <f>'28-29'!BB139</f>
        <v>2500</v>
      </c>
    </row>
    <row r="140" spans="1:7">
      <c r="A140" s="29" t="s">
        <v>122</v>
      </c>
      <c r="B140" s="5">
        <f>'23-24'!BB140</f>
        <v>2035</v>
      </c>
      <c r="C140" s="5">
        <f>'24-25'!BB140</f>
        <v>2090</v>
      </c>
      <c r="D140" s="5">
        <f>'25-26'!BB140</f>
        <v>2090</v>
      </c>
      <c r="E140" s="5">
        <f>'26-27'!BB140</f>
        <v>2090</v>
      </c>
      <c r="F140" s="5">
        <f>'27-28'!BB140</f>
        <v>2090</v>
      </c>
      <c r="G140" s="5">
        <f>'28-29'!BB140</f>
        <v>2090</v>
      </c>
    </row>
    <row r="141" spans="1:7" ht="15">
      <c r="A141" s="73" t="s">
        <v>123</v>
      </c>
      <c r="B141" s="74">
        <f t="shared" ref="B141:G141" si="47">SUM(B133:B140)</f>
        <v>320936.8</v>
      </c>
      <c r="C141" s="74">
        <f t="shared" si="47"/>
        <v>383530.67</v>
      </c>
      <c r="D141" s="74">
        <f t="shared" si="47"/>
        <v>387500.35563125001</v>
      </c>
      <c r="E141" s="74">
        <f t="shared" si="47"/>
        <v>389885.59741882811</v>
      </c>
      <c r="F141" s="74">
        <f t="shared" si="47"/>
        <v>392307.55216282909</v>
      </c>
      <c r="G141" s="74">
        <f t="shared" si="47"/>
        <v>394766.79216629325</v>
      </c>
    </row>
    <row r="142" spans="1:7" ht="15">
      <c r="A142" s="70" t="s">
        <v>124</v>
      </c>
      <c r="B142" s="71">
        <f t="shared" ref="B142:C142" si="48">B132+B141</f>
        <v>565361.80000000005</v>
      </c>
      <c r="C142" s="71">
        <f t="shared" si="48"/>
        <v>636908.41999999993</v>
      </c>
      <c r="D142" s="71">
        <f t="shared" ref="D142:F142" si="49">D132+D141</f>
        <v>644415.52188124997</v>
      </c>
      <c r="E142" s="71">
        <f t="shared" si="49"/>
        <v>650376.05366257811</v>
      </c>
      <c r="F142" s="71">
        <f t="shared" si="49"/>
        <v>656411.74025023531</v>
      </c>
      <c r="G142" s="71">
        <f t="shared" ref="G142" si="50">G132+G141</f>
        <v>662523.73057501053</v>
      </c>
    </row>
    <row r="143" spans="1:7" ht="15">
      <c r="A143" s="75" t="s">
        <v>125</v>
      </c>
      <c r="B143" s="18" t="str">
        <f t="shared" ref="B143:C143" si="51">B1</f>
        <v>23-24</v>
      </c>
      <c r="C143" s="18" t="str">
        <f t="shared" si="51"/>
        <v>24-25</v>
      </c>
      <c r="D143" s="18" t="str">
        <f t="shared" ref="D143:F143" si="52">D1</f>
        <v>25-26</v>
      </c>
      <c r="E143" s="18" t="str">
        <f t="shared" si="52"/>
        <v>26-27</v>
      </c>
      <c r="F143" s="18" t="str">
        <f t="shared" si="52"/>
        <v>27-28</v>
      </c>
      <c r="G143" s="18" t="str">
        <f t="shared" ref="G143" si="53">G1</f>
        <v>28-29</v>
      </c>
    </row>
    <row r="144" spans="1:7">
      <c r="A144" s="76" t="s">
        <v>126</v>
      </c>
      <c r="B144" s="5">
        <f>'23-24'!BB144</f>
        <v>48000</v>
      </c>
      <c r="C144" s="5">
        <f>'24-25'!BB144</f>
        <v>63750</v>
      </c>
      <c r="D144" s="5">
        <f>'25-26'!BB144</f>
        <v>29400</v>
      </c>
      <c r="E144" s="5">
        <f>'26-27'!BB144</f>
        <v>29400</v>
      </c>
      <c r="F144" s="5">
        <f>'27-28'!BB144</f>
        <v>29400</v>
      </c>
      <c r="G144" s="5">
        <f>'28-29'!BB144</f>
        <v>29400</v>
      </c>
    </row>
    <row r="145" spans="1:7">
      <c r="A145" s="77" t="s">
        <v>127</v>
      </c>
      <c r="B145" s="5">
        <f>'23-24'!BB145</f>
        <v>9600</v>
      </c>
      <c r="C145" s="5">
        <f>'24-25'!BB145</f>
        <v>16000</v>
      </c>
      <c r="D145" s="5">
        <f>'25-26'!BB145</f>
        <v>16000</v>
      </c>
      <c r="E145" s="5">
        <f>'26-27'!BB145</f>
        <v>16000</v>
      </c>
      <c r="F145" s="5">
        <f>'27-28'!BB145</f>
        <v>16000</v>
      </c>
      <c r="G145" s="5">
        <f>'28-29'!BB145</f>
        <v>16000</v>
      </c>
    </row>
    <row r="146" spans="1:7">
      <c r="A146" s="29" t="s">
        <v>128</v>
      </c>
      <c r="B146" s="5">
        <f>'23-24'!BB146</f>
        <v>0</v>
      </c>
      <c r="C146" s="5">
        <f>'24-25'!BB146</f>
        <v>0</v>
      </c>
      <c r="D146" s="5">
        <f>'25-26'!BB146</f>
        <v>0</v>
      </c>
      <c r="E146" s="5">
        <f>'26-27'!BB146</f>
        <v>0</v>
      </c>
      <c r="F146" s="5">
        <f>'27-28'!BB146</f>
        <v>0</v>
      </c>
      <c r="G146" s="5">
        <f>'28-29'!BB146</f>
        <v>0</v>
      </c>
    </row>
    <row r="147" spans="1:7">
      <c r="A147" s="29" t="s">
        <v>129</v>
      </c>
      <c r="B147" s="5">
        <f>'23-24'!BB147</f>
        <v>6500</v>
      </c>
      <c r="C147" s="5">
        <f>'24-25'!BB147</f>
        <v>3375</v>
      </c>
      <c r="D147" s="5">
        <f>'25-26'!BB147</f>
        <v>3500</v>
      </c>
      <c r="E147" s="5">
        <f>'26-27'!BB147</f>
        <v>3500</v>
      </c>
      <c r="F147" s="5">
        <f>'27-28'!BB147</f>
        <v>3500</v>
      </c>
      <c r="G147" s="5">
        <f>'28-29'!BB147</f>
        <v>3500</v>
      </c>
    </row>
    <row r="148" spans="1:7">
      <c r="A148" s="29" t="s">
        <v>130</v>
      </c>
      <c r="B148" s="5">
        <f>'23-24'!BB148</f>
        <v>2400</v>
      </c>
      <c r="C148" s="5">
        <f>'24-25'!BB148</f>
        <v>2700</v>
      </c>
      <c r="D148" s="5">
        <f>'25-26'!BB148</f>
        <v>2800</v>
      </c>
      <c r="E148" s="5">
        <f>'26-27'!BB148</f>
        <v>2800</v>
      </c>
      <c r="F148" s="5">
        <f>'27-28'!BB148</f>
        <v>2800</v>
      </c>
      <c r="G148" s="5">
        <f>'28-29'!BB148</f>
        <v>2800</v>
      </c>
    </row>
    <row r="149" spans="1:7">
      <c r="A149" s="29" t="s">
        <v>131</v>
      </c>
      <c r="B149" s="5">
        <f>'23-24'!BB149</f>
        <v>1800</v>
      </c>
      <c r="C149" s="5">
        <f>'24-25'!BB149</f>
        <v>2025</v>
      </c>
      <c r="D149" s="5">
        <f>'25-26'!BB149</f>
        <v>2100</v>
      </c>
      <c r="E149" s="5">
        <f>'26-27'!BB149</f>
        <v>2100</v>
      </c>
      <c r="F149" s="5">
        <f>'27-28'!BB149</f>
        <v>2100</v>
      </c>
      <c r="G149" s="5">
        <f>'28-29'!BB149</f>
        <v>2100</v>
      </c>
    </row>
    <row r="150" spans="1:7">
      <c r="A150" s="29" t="s">
        <v>132</v>
      </c>
      <c r="B150" s="5">
        <f>'23-24'!BB150</f>
        <v>0</v>
      </c>
      <c r="C150" s="5">
        <f>'24-25'!BB150</f>
        <v>0</v>
      </c>
      <c r="D150" s="5">
        <f>'25-26'!BB150</f>
        <v>0</v>
      </c>
      <c r="E150" s="5">
        <f>'26-27'!BB150</f>
        <v>0</v>
      </c>
      <c r="F150" s="5">
        <f>'27-28'!BB150</f>
        <v>0</v>
      </c>
      <c r="G150" s="5">
        <f>'28-29'!BB150</f>
        <v>0</v>
      </c>
    </row>
    <row r="151" spans="1:7">
      <c r="A151" s="29" t="s">
        <v>133</v>
      </c>
      <c r="B151" s="5">
        <f>'23-24'!BB151</f>
        <v>1500</v>
      </c>
      <c r="C151" s="5">
        <f>'24-25'!BB151</f>
        <v>2700</v>
      </c>
      <c r="D151" s="5">
        <f>'25-26'!BB151</f>
        <v>2800</v>
      </c>
      <c r="E151" s="5">
        <f>'26-27'!BB151</f>
        <v>2800</v>
      </c>
      <c r="F151" s="5">
        <f>'27-28'!BB151</f>
        <v>2800</v>
      </c>
      <c r="G151" s="5">
        <f>'28-29'!BB151</f>
        <v>2800</v>
      </c>
    </row>
    <row r="152" spans="1:7">
      <c r="A152" s="29" t="s">
        <v>134</v>
      </c>
      <c r="B152" s="5">
        <f>'23-24'!BB152</f>
        <v>0</v>
      </c>
      <c r="C152" s="5">
        <f>'24-25'!BB152</f>
        <v>0</v>
      </c>
      <c r="D152" s="5">
        <f>'25-26'!BB152</f>
        <v>0</v>
      </c>
      <c r="E152" s="5">
        <f>'26-27'!BB152</f>
        <v>0</v>
      </c>
      <c r="F152" s="5">
        <f>'27-28'!BB152</f>
        <v>0</v>
      </c>
      <c r="G152" s="5">
        <f>'28-29'!BB152</f>
        <v>0</v>
      </c>
    </row>
    <row r="153" spans="1:7">
      <c r="A153" s="78" t="s">
        <v>135</v>
      </c>
      <c r="B153" s="5">
        <f>'23-24'!BB153</f>
        <v>0</v>
      </c>
      <c r="C153" s="5">
        <f>'24-25'!BB153</f>
        <v>0</v>
      </c>
      <c r="D153" s="5">
        <f>'25-26'!BB153</f>
        <v>0</v>
      </c>
      <c r="E153" s="5">
        <f>'26-27'!BB153</f>
        <v>0</v>
      </c>
      <c r="F153" s="5">
        <f>'27-28'!BB153</f>
        <v>0</v>
      </c>
      <c r="G153" s="5">
        <f>'28-29'!BB153</f>
        <v>0</v>
      </c>
    </row>
    <row r="154" spans="1:7" ht="15">
      <c r="A154" s="70" t="s">
        <v>136</v>
      </c>
      <c r="B154" s="71">
        <f t="shared" ref="B154:G154" si="54">SUM(B144:B153)</f>
        <v>69800</v>
      </c>
      <c r="C154" s="71">
        <f t="shared" si="54"/>
        <v>90550</v>
      </c>
      <c r="D154" s="71">
        <f t="shared" si="54"/>
        <v>56600</v>
      </c>
      <c r="E154" s="71">
        <f t="shared" si="54"/>
        <v>56600</v>
      </c>
      <c r="F154" s="71">
        <f t="shared" si="54"/>
        <v>56600</v>
      </c>
      <c r="G154" s="71">
        <f t="shared" si="54"/>
        <v>56600</v>
      </c>
    </row>
    <row r="155" spans="1:7" ht="15">
      <c r="A155" s="75" t="s">
        <v>137</v>
      </c>
      <c r="B155" s="18" t="str">
        <f t="shared" ref="B155:C155" si="55">B1</f>
        <v>23-24</v>
      </c>
      <c r="C155" s="18" t="str">
        <f t="shared" si="55"/>
        <v>24-25</v>
      </c>
      <c r="D155" s="18" t="str">
        <f t="shared" ref="D155:F155" si="56">D1</f>
        <v>25-26</v>
      </c>
      <c r="E155" s="18" t="str">
        <f t="shared" si="56"/>
        <v>26-27</v>
      </c>
      <c r="F155" s="18" t="str">
        <f t="shared" si="56"/>
        <v>27-28</v>
      </c>
      <c r="G155" s="18" t="str">
        <f t="shared" ref="G155" si="57">G1</f>
        <v>28-29</v>
      </c>
    </row>
    <row r="156" spans="1:7">
      <c r="A156" s="29" t="s">
        <v>138</v>
      </c>
      <c r="B156" s="5">
        <f>'23-24'!BB156</f>
        <v>8800</v>
      </c>
      <c r="C156" s="5">
        <f>'24-25'!BB156</f>
        <v>9500</v>
      </c>
      <c r="D156" s="5">
        <f>'25-26'!BB156</f>
        <v>9975</v>
      </c>
      <c r="E156" s="5">
        <f>'26-27'!BB156</f>
        <v>10473.75</v>
      </c>
      <c r="F156" s="5">
        <f>'27-28'!BB156</f>
        <v>10997.4375</v>
      </c>
      <c r="G156" s="5">
        <f>'28-29'!BB156</f>
        <v>11547.309375000001</v>
      </c>
    </row>
    <row r="157" spans="1:7">
      <c r="A157" s="29" t="s">
        <v>139</v>
      </c>
      <c r="B157" s="5">
        <f>'23-24'!BB157</f>
        <v>24000</v>
      </c>
      <c r="C157" s="5">
        <f>'24-25'!BB157</f>
        <v>27000</v>
      </c>
      <c r="D157" s="5">
        <f>'25-26'!BB157</f>
        <v>28000</v>
      </c>
      <c r="E157" s="5">
        <f>'26-27'!BB157</f>
        <v>28000</v>
      </c>
      <c r="F157" s="5">
        <f>'27-28'!BB157</f>
        <v>28000</v>
      </c>
      <c r="G157" s="5">
        <f>'28-29'!BB157</f>
        <v>28000</v>
      </c>
    </row>
    <row r="158" spans="1:7">
      <c r="A158" s="29" t="s">
        <v>279</v>
      </c>
      <c r="B158" s="5">
        <f>'23-24'!BB158</f>
        <v>129600</v>
      </c>
      <c r="C158" s="5">
        <f>'24-25'!BB158</f>
        <v>162000</v>
      </c>
      <c r="D158" s="5">
        <f>'25-26'!BB158</f>
        <v>168000</v>
      </c>
      <c r="E158" s="5">
        <f>'26-27'!BB158</f>
        <v>168000</v>
      </c>
      <c r="F158" s="5">
        <f>'27-28'!BB158</f>
        <v>168000</v>
      </c>
      <c r="G158" s="5">
        <f>'28-29'!BB158</f>
        <v>168000</v>
      </c>
    </row>
    <row r="159" spans="1:7">
      <c r="A159" s="29" t="s">
        <v>280</v>
      </c>
      <c r="B159" s="5">
        <f>'23-24'!BB159</f>
        <v>90000</v>
      </c>
      <c r="C159" s="5">
        <f>'24-25'!BB159</f>
        <v>108000</v>
      </c>
      <c r="D159" s="5">
        <f>'25-26'!BB159</f>
        <v>112000</v>
      </c>
      <c r="E159" s="5">
        <f>'26-27'!BB159</f>
        <v>112000</v>
      </c>
      <c r="F159" s="5">
        <f>'27-28'!BB159</f>
        <v>112000</v>
      </c>
      <c r="G159" s="5">
        <f>'28-29'!BB159</f>
        <v>112000</v>
      </c>
    </row>
    <row r="160" spans="1:7">
      <c r="A160" s="29" t="s">
        <v>140</v>
      </c>
      <c r="B160" s="5">
        <f>'23-24'!BB160</f>
        <v>59400</v>
      </c>
      <c r="C160" s="5">
        <f>'24-25'!BB160</f>
        <v>66825</v>
      </c>
      <c r="D160" s="5">
        <f>'25-26'!BB160</f>
        <v>69300</v>
      </c>
      <c r="E160" s="5">
        <f>'26-27'!BB160</f>
        <v>69300</v>
      </c>
      <c r="F160" s="5">
        <f>'27-28'!BB160</f>
        <v>69300</v>
      </c>
      <c r="G160" s="5">
        <f>'28-29'!BB160</f>
        <v>69300</v>
      </c>
    </row>
    <row r="161" spans="1:7">
      <c r="A161" s="29" t="s">
        <v>141</v>
      </c>
      <c r="B161" s="5">
        <f>'23-24'!BB161</f>
        <v>2250</v>
      </c>
      <c r="C161" s="5">
        <f>'24-25'!BB161</f>
        <v>4100</v>
      </c>
      <c r="D161" s="5">
        <f>'25-26'!BB161</f>
        <v>4305</v>
      </c>
      <c r="E161" s="5">
        <f>'26-27'!BB161</f>
        <v>4305</v>
      </c>
      <c r="F161" s="5">
        <f>'27-28'!BB161</f>
        <v>4520.25</v>
      </c>
      <c r="G161" s="5">
        <f>'28-29'!BB161</f>
        <v>4746.2624999999998</v>
      </c>
    </row>
    <row r="162" spans="1:7">
      <c r="A162" s="29" t="s">
        <v>142</v>
      </c>
      <c r="B162" s="5">
        <f>'23-24'!BB162</f>
        <v>15000</v>
      </c>
      <c r="C162" s="5">
        <f>'24-25'!BB162</f>
        <v>20500</v>
      </c>
      <c r="D162" s="5">
        <f>'25-26'!BB162</f>
        <v>21525</v>
      </c>
      <c r="E162" s="5">
        <f>'26-27'!BB162</f>
        <v>21525</v>
      </c>
      <c r="F162" s="5">
        <f>'27-28'!BB162</f>
        <v>22601.25</v>
      </c>
      <c r="G162" s="5">
        <f>'28-29'!BB162</f>
        <v>23731.3125</v>
      </c>
    </row>
    <row r="163" spans="1:7">
      <c r="A163" s="29" t="s">
        <v>143</v>
      </c>
      <c r="B163" s="5">
        <f>'23-24'!BB163</f>
        <v>6000</v>
      </c>
      <c r="C163" s="5">
        <f>'24-25'!BB163</f>
        <v>6000</v>
      </c>
      <c r="D163" s="5">
        <f>'25-26'!BB163</f>
        <v>6000</v>
      </c>
      <c r="E163" s="5">
        <f>'26-27'!BB163</f>
        <v>6000</v>
      </c>
      <c r="F163" s="5">
        <f>'27-28'!BB163</f>
        <v>6000</v>
      </c>
      <c r="G163" s="5">
        <f>'28-29'!BB163</f>
        <v>6000</v>
      </c>
    </row>
    <row r="164" spans="1:7">
      <c r="A164" s="29" t="s">
        <v>144</v>
      </c>
      <c r="B164" s="5">
        <f>'23-24'!BB164</f>
        <v>6480</v>
      </c>
      <c r="C164" s="5">
        <f>'24-25'!BB164</f>
        <v>7200</v>
      </c>
      <c r="D164" s="5">
        <f>'25-26'!BB164</f>
        <v>7440</v>
      </c>
      <c r="E164" s="5">
        <f>'26-27'!BB164</f>
        <v>7440</v>
      </c>
      <c r="F164" s="5">
        <f>'27-28'!BB164</f>
        <v>7440</v>
      </c>
      <c r="G164" s="5">
        <f>'28-29'!BB164</f>
        <v>7440</v>
      </c>
    </row>
    <row r="165" spans="1:7">
      <c r="A165" s="29" t="s">
        <v>145</v>
      </c>
      <c r="B165" s="5">
        <f>'23-24'!BB165</f>
        <v>17000</v>
      </c>
      <c r="C165" s="5">
        <f>'24-25'!BB165</f>
        <v>17000</v>
      </c>
      <c r="D165" s="5">
        <f>'25-26'!BB165</f>
        <v>17000</v>
      </c>
      <c r="E165" s="5">
        <f>'26-27'!BB165</f>
        <v>17000</v>
      </c>
      <c r="F165" s="5">
        <f>'27-28'!BB165</f>
        <v>17000</v>
      </c>
      <c r="G165" s="5">
        <f>'28-29'!BB165</f>
        <v>17000</v>
      </c>
    </row>
    <row r="166" spans="1:7">
      <c r="A166" s="29" t="s">
        <v>146</v>
      </c>
      <c r="B166" s="5">
        <f>'23-24'!BB166</f>
        <v>13449</v>
      </c>
      <c r="C166" s="5">
        <f>'24-25'!BB166</f>
        <v>15886.125</v>
      </c>
      <c r="D166" s="5">
        <f>'25-26'!BB166</f>
        <v>16721.25</v>
      </c>
      <c r="E166" s="5">
        <f>'26-27'!BB166</f>
        <v>16975</v>
      </c>
      <c r="F166" s="5">
        <f>'27-28'!BB166</f>
        <v>17237.5</v>
      </c>
      <c r="G166" s="5">
        <f>'28-29'!BB166</f>
        <v>17496.5</v>
      </c>
    </row>
    <row r="167" spans="1:7">
      <c r="A167" s="29" t="s">
        <v>147</v>
      </c>
      <c r="B167" s="5">
        <f>'23-24'!BB167</f>
        <v>5379.6</v>
      </c>
      <c r="C167" s="5">
        <f>'24-25'!BB167</f>
        <v>6354.45</v>
      </c>
      <c r="D167" s="5">
        <f>'25-26'!BB167</f>
        <v>6688.5</v>
      </c>
      <c r="E167" s="5">
        <f>'26-27'!BB167</f>
        <v>6790</v>
      </c>
      <c r="F167" s="5">
        <f>'27-28'!BB167</f>
        <v>6895</v>
      </c>
      <c r="G167" s="5">
        <f>'28-29'!BB167</f>
        <v>6998.6</v>
      </c>
    </row>
    <row r="168" spans="1:7">
      <c r="A168" s="29" t="s">
        <v>148</v>
      </c>
      <c r="B168" s="5">
        <f>'23-24'!BB168</f>
        <v>5379.6</v>
      </c>
      <c r="C168" s="5">
        <f>'24-25'!BB168</f>
        <v>6354.45</v>
      </c>
      <c r="D168" s="5">
        <f>'25-26'!BB168</f>
        <v>6688.5</v>
      </c>
      <c r="E168" s="5">
        <f>'26-27'!BB168</f>
        <v>6790</v>
      </c>
      <c r="F168" s="5">
        <f>'27-28'!BB168</f>
        <v>6895</v>
      </c>
      <c r="G168" s="5">
        <f>'28-29'!BB168</f>
        <v>6998.6</v>
      </c>
    </row>
    <row r="169" spans="1:7">
      <c r="A169" s="78" t="s">
        <v>149</v>
      </c>
      <c r="B169" s="5">
        <f>'23-24'!BB169</f>
        <v>0</v>
      </c>
      <c r="C169" s="5">
        <f>'24-25'!BB169</f>
        <v>0</v>
      </c>
      <c r="D169" s="5">
        <f>'25-26'!BB169</f>
        <v>0</v>
      </c>
      <c r="E169" s="5">
        <f>'26-27'!BB169</f>
        <v>0</v>
      </c>
      <c r="F169" s="5">
        <f>'27-28'!BB169</f>
        <v>0</v>
      </c>
      <c r="G169" s="5">
        <f>'28-29'!BB169</f>
        <v>0</v>
      </c>
    </row>
    <row r="170" spans="1:7" ht="15">
      <c r="A170" s="70" t="s">
        <v>150</v>
      </c>
      <c r="B170" s="71">
        <f t="shared" ref="B170:G170" si="58">SUM(B156:B169)</f>
        <v>382738.19999999995</v>
      </c>
      <c r="C170" s="71">
        <f t="shared" si="58"/>
        <v>456720.02500000002</v>
      </c>
      <c r="D170" s="71">
        <f t="shared" si="58"/>
        <v>473643.25</v>
      </c>
      <c r="E170" s="71">
        <f t="shared" si="58"/>
        <v>474598.75</v>
      </c>
      <c r="F170" s="71">
        <f t="shared" si="58"/>
        <v>476886.4375</v>
      </c>
      <c r="G170" s="71">
        <f t="shared" si="58"/>
        <v>479258.58437499998</v>
      </c>
    </row>
    <row r="171" spans="1:7" ht="15">
      <c r="A171" s="75" t="s">
        <v>151</v>
      </c>
      <c r="B171" s="18" t="str">
        <f t="shared" ref="B171:C171" si="59">B1</f>
        <v>23-24</v>
      </c>
      <c r="C171" s="18" t="str">
        <f t="shared" si="59"/>
        <v>24-25</v>
      </c>
      <c r="D171" s="18" t="str">
        <f t="shared" ref="D171:F171" si="60">D1</f>
        <v>25-26</v>
      </c>
      <c r="E171" s="18" t="str">
        <f t="shared" si="60"/>
        <v>26-27</v>
      </c>
      <c r="F171" s="18" t="str">
        <f t="shared" si="60"/>
        <v>27-28</v>
      </c>
      <c r="G171" s="18" t="str">
        <f t="shared" ref="G171" si="61">G1</f>
        <v>28-29</v>
      </c>
    </row>
    <row r="172" spans="1:7">
      <c r="A172" s="81" t="s">
        <v>152</v>
      </c>
      <c r="B172" s="5">
        <f>'23-24'!BB172</f>
        <v>0</v>
      </c>
      <c r="C172" s="5">
        <f>'24-25'!BB172</f>
        <v>0</v>
      </c>
      <c r="D172" s="5">
        <f>'25-26'!BB172</f>
        <v>0</v>
      </c>
      <c r="E172" s="5">
        <f>'26-27'!BB172</f>
        <v>0</v>
      </c>
      <c r="F172" s="5">
        <f>'27-28'!BB172</f>
        <v>0</v>
      </c>
      <c r="G172" s="5">
        <f>'28-29'!BB172</f>
        <v>0</v>
      </c>
    </row>
    <row r="173" spans="1:7">
      <c r="A173" s="29" t="s">
        <v>153</v>
      </c>
      <c r="B173" s="5">
        <f>'23-24'!BB173</f>
        <v>0</v>
      </c>
      <c r="C173" s="5">
        <f>'24-25'!BB173</f>
        <v>0</v>
      </c>
      <c r="D173" s="5">
        <f>'25-26'!BB173</f>
        <v>0</v>
      </c>
      <c r="E173" s="5">
        <f>'26-27'!BB173</f>
        <v>0</v>
      </c>
      <c r="F173" s="5">
        <f>'27-28'!BB173</f>
        <v>0</v>
      </c>
      <c r="G173" s="5">
        <f>'28-29'!BB173</f>
        <v>0</v>
      </c>
    </row>
    <row r="174" spans="1:7">
      <c r="A174" s="29" t="s">
        <v>154</v>
      </c>
      <c r="B174" s="5">
        <f>'23-24'!BB174</f>
        <v>0</v>
      </c>
      <c r="C174" s="5">
        <f>'24-25'!BB174</f>
        <v>0</v>
      </c>
      <c r="D174" s="5">
        <f>'25-26'!BB174</f>
        <v>0</v>
      </c>
      <c r="E174" s="5">
        <f>'26-27'!BB174</f>
        <v>0</v>
      </c>
      <c r="F174" s="5">
        <f>'27-28'!BB174</f>
        <v>0</v>
      </c>
      <c r="G174" s="5">
        <f>'28-29'!BB174</f>
        <v>0</v>
      </c>
    </row>
    <row r="175" spans="1:7">
      <c r="A175" s="29" t="s">
        <v>155</v>
      </c>
      <c r="B175" s="5">
        <f>'23-24'!BB175</f>
        <v>0</v>
      </c>
      <c r="C175" s="5">
        <f>'24-25'!BB175</f>
        <v>0</v>
      </c>
      <c r="D175" s="5">
        <f>'25-26'!BB175</f>
        <v>0</v>
      </c>
      <c r="E175" s="5">
        <f>'26-27'!BB175</f>
        <v>0</v>
      </c>
      <c r="F175" s="5">
        <f>'27-28'!BB175</f>
        <v>0</v>
      </c>
      <c r="G175" s="5">
        <f>'28-29'!BB175</f>
        <v>0</v>
      </c>
    </row>
    <row r="176" spans="1:7">
      <c r="A176" s="29" t="s">
        <v>156</v>
      </c>
      <c r="B176" s="5">
        <f>'23-24'!BB176</f>
        <v>5500</v>
      </c>
      <c r="C176" s="5">
        <f>'24-25'!BB176</f>
        <v>6500</v>
      </c>
      <c r="D176" s="5">
        <f>'25-26'!BB176</f>
        <v>6825</v>
      </c>
      <c r="E176" s="5">
        <f>'26-27'!BB176</f>
        <v>7166.25</v>
      </c>
      <c r="F176" s="5">
        <f>'27-28'!BB176</f>
        <v>7524.5625</v>
      </c>
      <c r="G176" s="5">
        <f>'28-29'!BB176</f>
        <v>7900.7906250000005</v>
      </c>
    </row>
    <row r="177" spans="1:7">
      <c r="A177" s="29" t="s">
        <v>157</v>
      </c>
      <c r="B177" s="5">
        <f>'23-24'!BB177</f>
        <v>0</v>
      </c>
      <c r="C177" s="5">
        <f>'24-25'!BB177</f>
        <v>0</v>
      </c>
      <c r="D177" s="5">
        <f>'25-26'!BB177</f>
        <v>0</v>
      </c>
      <c r="E177" s="5">
        <f>'26-27'!BB177</f>
        <v>0</v>
      </c>
      <c r="F177" s="5">
        <f>'27-28'!BB177</f>
        <v>0</v>
      </c>
      <c r="G177" s="5">
        <f>'28-29'!BB177</f>
        <v>0</v>
      </c>
    </row>
    <row r="178" spans="1:7">
      <c r="A178" s="29" t="s">
        <v>158</v>
      </c>
      <c r="B178" s="5">
        <f>'23-24'!BB178</f>
        <v>1800</v>
      </c>
      <c r="C178" s="5">
        <f>'24-25'!BB178</f>
        <v>800</v>
      </c>
      <c r="D178" s="5">
        <f>'25-26'!BB178</f>
        <v>800</v>
      </c>
      <c r="E178" s="5">
        <f>'26-27'!BB178</f>
        <v>800</v>
      </c>
      <c r="F178" s="5">
        <f>'27-28'!BB178</f>
        <v>800</v>
      </c>
      <c r="G178" s="5">
        <f>'28-29'!BB178</f>
        <v>800</v>
      </c>
    </row>
    <row r="179" spans="1:7">
      <c r="A179" s="29" t="s">
        <v>159</v>
      </c>
      <c r="B179" s="5">
        <f>'23-24'!BB179</f>
        <v>0</v>
      </c>
      <c r="C179" s="5">
        <f>'24-25'!BB179</f>
        <v>0</v>
      </c>
      <c r="D179" s="5">
        <f>'25-26'!BB179</f>
        <v>0</v>
      </c>
      <c r="E179" s="5">
        <f>'26-27'!BB179</f>
        <v>0</v>
      </c>
      <c r="F179" s="5">
        <f>'27-28'!BB179</f>
        <v>0</v>
      </c>
      <c r="G179" s="5">
        <f>'28-29'!BB179</f>
        <v>0</v>
      </c>
    </row>
    <row r="180" spans="1:7">
      <c r="A180" s="29" t="s">
        <v>160</v>
      </c>
      <c r="B180" s="5">
        <f>'23-24'!BB180</f>
        <v>0</v>
      </c>
      <c r="C180" s="5">
        <f>'24-25'!BB180</f>
        <v>0</v>
      </c>
      <c r="D180" s="5">
        <f>'25-26'!BB180</f>
        <v>0</v>
      </c>
      <c r="E180" s="5">
        <f>'26-27'!BB180</f>
        <v>0</v>
      </c>
      <c r="F180" s="5">
        <f>'27-28'!BB180</f>
        <v>0</v>
      </c>
      <c r="G180" s="5">
        <f>'28-29'!BB180</f>
        <v>0</v>
      </c>
    </row>
    <row r="181" spans="1:7">
      <c r="A181" s="29" t="s">
        <v>161</v>
      </c>
      <c r="B181" s="5">
        <f>'23-24'!BB181</f>
        <v>7950</v>
      </c>
      <c r="C181" s="5">
        <f>'24-25'!BB181</f>
        <v>9000</v>
      </c>
      <c r="D181" s="5">
        <f>'25-26'!BB181</f>
        <v>9450</v>
      </c>
      <c r="E181" s="5">
        <f>'26-27'!BB181</f>
        <v>9922.5</v>
      </c>
      <c r="F181" s="5">
        <f>'27-28'!BB181</f>
        <v>10418.625</v>
      </c>
      <c r="G181" s="5">
        <f>'28-29'!BB181</f>
        <v>10939.55625</v>
      </c>
    </row>
    <row r="182" spans="1:7">
      <c r="A182" s="29" t="s">
        <v>162</v>
      </c>
      <c r="B182" s="5">
        <f>'23-24'!BB182</f>
        <v>0</v>
      </c>
      <c r="C182" s="5">
        <f>'24-25'!BB182</f>
        <v>0</v>
      </c>
      <c r="D182" s="5">
        <f>'25-26'!BB182</f>
        <v>0</v>
      </c>
      <c r="E182" s="5">
        <f>'26-27'!BB182</f>
        <v>0</v>
      </c>
      <c r="F182" s="5">
        <f>'27-28'!BB182</f>
        <v>0</v>
      </c>
      <c r="G182" s="5">
        <f>'28-29'!BB182</f>
        <v>0</v>
      </c>
    </row>
    <row r="183" spans="1:7">
      <c r="A183" s="29" t="s">
        <v>163</v>
      </c>
      <c r="B183" s="5">
        <f>'23-24'!BB183</f>
        <v>20250</v>
      </c>
      <c r="C183" s="5">
        <f>'24-25'!BB183</f>
        <v>2733.75</v>
      </c>
      <c r="D183" s="5">
        <f>'25-26'!BB183</f>
        <v>2835</v>
      </c>
      <c r="E183" s="5">
        <f>'26-27'!BB183</f>
        <v>2835</v>
      </c>
      <c r="F183" s="5">
        <f>'27-28'!BB183</f>
        <v>2835</v>
      </c>
      <c r="G183" s="5">
        <f>'28-29'!BB183</f>
        <v>2835</v>
      </c>
    </row>
    <row r="184" spans="1:7">
      <c r="A184" s="29" t="s">
        <v>164</v>
      </c>
      <c r="B184" s="5">
        <f>'23-24'!BB184</f>
        <v>15000</v>
      </c>
      <c r="C184" s="5">
        <f>'24-25'!BB184</f>
        <v>15000</v>
      </c>
      <c r="D184" s="5">
        <f>'25-26'!BB184</f>
        <v>15000</v>
      </c>
      <c r="E184" s="5">
        <f>'26-27'!BB184</f>
        <v>15000</v>
      </c>
      <c r="F184" s="5">
        <f>'27-28'!BB184</f>
        <v>15000</v>
      </c>
      <c r="G184" s="5">
        <f>'28-29'!BB184</f>
        <v>15000</v>
      </c>
    </row>
    <row r="185" spans="1:7">
      <c r="A185" s="29" t="s">
        <v>165</v>
      </c>
      <c r="B185" s="5">
        <f>'23-24'!BB185</f>
        <v>800</v>
      </c>
      <c r="C185" s="5">
        <f>'24-25'!BB185</f>
        <v>1200</v>
      </c>
      <c r="D185" s="5">
        <f>'25-26'!BB185</f>
        <v>1200</v>
      </c>
      <c r="E185" s="5">
        <f>'26-27'!BB185</f>
        <v>1200</v>
      </c>
      <c r="F185" s="5">
        <f>'27-28'!BB185</f>
        <v>1200</v>
      </c>
      <c r="G185" s="5">
        <f>'28-29'!BB185</f>
        <v>1200</v>
      </c>
    </row>
    <row r="186" spans="1:7">
      <c r="A186" s="29" t="s">
        <v>166</v>
      </c>
      <c r="B186" s="5">
        <f>'23-24'!BB186</f>
        <v>500</v>
      </c>
      <c r="C186" s="5">
        <f>'24-25'!BB186</f>
        <v>500</v>
      </c>
      <c r="D186" s="5">
        <f>'25-26'!BB186</f>
        <v>500</v>
      </c>
      <c r="E186" s="5">
        <f>'26-27'!BB186</f>
        <v>500</v>
      </c>
      <c r="F186" s="5">
        <f>'27-28'!BB186</f>
        <v>500</v>
      </c>
      <c r="G186" s="5">
        <f>'28-29'!BB186</f>
        <v>500</v>
      </c>
    </row>
    <row r="187" spans="1:7">
      <c r="A187" s="29" t="s">
        <v>167</v>
      </c>
      <c r="B187" s="5">
        <f>'23-24'!BB187</f>
        <v>1800</v>
      </c>
      <c r="C187" s="5">
        <f>'24-25'!BB187</f>
        <v>1875</v>
      </c>
      <c r="D187" s="5">
        <f>'25-26'!BB187</f>
        <v>1900</v>
      </c>
      <c r="E187" s="5">
        <f>'26-27'!BB187</f>
        <v>1900</v>
      </c>
      <c r="F187" s="5">
        <f>'27-28'!BB187</f>
        <v>1900</v>
      </c>
      <c r="G187" s="5">
        <f>'28-29'!BB187</f>
        <v>1900</v>
      </c>
    </row>
    <row r="188" spans="1:7">
      <c r="A188" s="29" t="s">
        <v>168</v>
      </c>
      <c r="B188" s="5">
        <f>'23-24'!BB188</f>
        <v>0</v>
      </c>
      <c r="C188" s="5">
        <f>'24-25'!BB188</f>
        <v>0</v>
      </c>
      <c r="D188" s="5">
        <f>'25-26'!BB188</f>
        <v>0</v>
      </c>
      <c r="E188" s="5">
        <f>'26-27'!BB188</f>
        <v>0</v>
      </c>
      <c r="F188" s="5">
        <f>'27-28'!BB188</f>
        <v>0</v>
      </c>
      <c r="G188" s="5">
        <f>'28-29'!BB188</f>
        <v>0</v>
      </c>
    </row>
    <row r="189" spans="1:7">
      <c r="A189" s="29" t="s">
        <v>169</v>
      </c>
      <c r="B189" s="5">
        <f>'23-24'!BB189</f>
        <v>0</v>
      </c>
      <c r="C189" s="5">
        <f>'24-25'!BB189</f>
        <v>0</v>
      </c>
      <c r="D189" s="5">
        <f>'25-26'!BB189</f>
        <v>0</v>
      </c>
      <c r="E189" s="5">
        <f>'26-27'!BB189</f>
        <v>0</v>
      </c>
      <c r="F189" s="5">
        <f>'27-28'!BB189</f>
        <v>0</v>
      </c>
      <c r="G189" s="5">
        <f>'28-29'!BB189</f>
        <v>0</v>
      </c>
    </row>
    <row r="190" spans="1:7">
      <c r="A190" s="29" t="s">
        <v>170</v>
      </c>
      <c r="B190" s="5">
        <f>'23-24'!BB190</f>
        <v>0</v>
      </c>
      <c r="C190" s="5">
        <f>'24-25'!BB190</f>
        <v>0</v>
      </c>
      <c r="D190" s="5">
        <f>'25-26'!BB190</f>
        <v>0</v>
      </c>
      <c r="E190" s="5">
        <f>'26-27'!BB190</f>
        <v>0</v>
      </c>
      <c r="F190" s="5">
        <f>'27-28'!BB190</f>
        <v>0</v>
      </c>
      <c r="G190" s="5">
        <f>'28-29'!BB190</f>
        <v>0</v>
      </c>
    </row>
    <row r="191" spans="1:7">
      <c r="A191" s="29" t="s">
        <v>171</v>
      </c>
      <c r="B191" s="5">
        <f>'23-24'!BB191</f>
        <v>0</v>
      </c>
      <c r="C191" s="5">
        <f>'24-25'!BB191</f>
        <v>0</v>
      </c>
      <c r="D191" s="5">
        <f>'25-26'!BB191</f>
        <v>0</v>
      </c>
      <c r="E191" s="5">
        <f>'26-27'!BB191</f>
        <v>0</v>
      </c>
      <c r="F191" s="5">
        <f>'27-28'!BB191</f>
        <v>0</v>
      </c>
      <c r="G191" s="5">
        <f>'28-29'!BB191</f>
        <v>0</v>
      </c>
    </row>
    <row r="192" spans="1:7">
      <c r="A192" s="29" t="s">
        <v>172</v>
      </c>
      <c r="B192" s="5">
        <f>'23-24'!BB192</f>
        <v>0</v>
      </c>
      <c r="C192" s="5">
        <f>'24-25'!BB192</f>
        <v>0</v>
      </c>
      <c r="D192" s="5">
        <f>'25-26'!BB192</f>
        <v>0</v>
      </c>
      <c r="E192" s="5">
        <f>'26-27'!BB192</f>
        <v>0</v>
      </c>
      <c r="F192" s="5">
        <f>'27-28'!BB192</f>
        <v>0</v>
      </c>
      <c r="G192" s="5">
        <f>'28-29'!BB192</f>
        <v>0</v>
      </c>
    </row>
    <row r="193" spans="1:14">
      <c r="A193" s="29" t="s">
        <v>173</v>
      </c>
      <c r="B193" s="5">
        <f>'23-24'!BB193</f>
        <v>0</v>
      </c>
      <c r="C193" s="5">
        <f>'24-25'!BB193</f>
        <v>0</v>
      </c>
      <c r="D193" s="5">
        <f>'25-26'!BB193</f>
        <v>0</v>
      </c>
      <c r="E193" s="5">
        <f>'26-27'!BB193</f>
        <v>0</v>
      </c>
      <c r="F193" s="5">
        <f>'27-28'!BB193</f>
        <v>0</v>
      </c>
      <c r="G193" s="5">
        <f>'28-29'!BB193</f>
        <v>0</v>
      </c>
    </row>
    <row r="194" spans="1:14">
      <c r="A194" s="29" t="s">
        <v>174</v>
      </c>
      <c r="B194" s="5">
        <f>'23-24'!BB194</f>
        <v>0</v>
      </c>
      <c r="C194" s="5">
        <f>'24-25'!BB194</f>
        <v>0</v>
      </c>
      <c r="D194" s="5">
        <f>'25-26'!BB194</f>
        <v>0</v>
      </c>
      <c r="E194" s="5">
        <f>'26-27'!BB194</f>
        <v>0</v>
      </c>
      <c r="F194" s="5">
        <f>'27-28'!BB194</f>
        <v>0</v>
      </c>
      <c r="G194" s="5">
        <f>'28-29'!BB194</f>
        <v>0</v>
      </c>
    </row>
    <row r="195" spans="1:14">
      <c r="A195" s="29" t="s">
        <v>175</v>
      </c>
      <c r="B195" s="5">
        <f>'23-24'!BB195</f>
        <v>2000</v>
      </c>
      <c r="C195" s="5">
        <f>'24-25'!BB195</f>
        <v>2000</v>
      </c>
      <c r="D195" s="5">
        <f>'25-26'!BB195</f>
        <v>2000</v>
      </c>
      <c r="E195" s="5">
        <f>'26-27'!BB195</f>
        <v>2000</v>
      </c>
      <c r="F195" s="5">
        <f>'27-28'!BB195</f>
        <v>2000</v>
      </c>
      <c r="G195" s="5">
        <f>'28-29'!BB195</f>
        <v>2000</v>
      </c>
    </row>
    <row r="196" spans="1:14">
      <c r="A196" s="78" t="s">
        <v>176</v>
      </c>
      <c r="B196" s="5">
        <f>'23-24'!BB196</f>
        <v>10759.2</v>
      </c>
      <c r="C196" s="5">
        <f>'24-25'!BB196</f>
        <v>114380.09999999999</v>
      </c>
      <c r="D196" s="5">
        <f>'25-26'!BB196</f>
        <v>133770</v>
      </c>
      <c r="E196" s="5">
        <f>'26-27'!BB196</f>
        <v>135800</v>
      </c>
      <c r="F196" s="5">
        <f>'27-28'!BB196</f>
        <v>137900</v>
      </c>
      <c r="G196" s="5">
        <f>'28-29'!BB196</f>
        <v>139972</v>
      </c>
      <c r="I196" s="140">
        <f>B196/B74</f>
        <v>0.01</v>
      </c>
      <c r="J196" s="140">
        <f t="shared" ref="J196:N196" si="62">C196/C74</f>
        <v>0.09</v>
      </c>
      <c r="K196" s="140">
        <f t="shared" si="62"/>
        <v>0.1</v>
      </c>
      <c r="L196" s="140">
        <f t="shared" si="62"/>
        <v>0.1</v>
      </c>
      <c r="M196" s="140">
        <f t="shared" si="62"/>
        <v>0.1</v>
      </c>
      <c r="N196" s="140">
        <f t="shared" si="62"/>
        <v>0.1</v>
      </c>
    </row>
    <row r="197" spans="1:14" ht="15">
      <c r="A197" s="70" t="s">
        <v>177</v>
      </c>
      <c r="B197" s="71">
        <f t="shared" ref="B197:G197" si="63">SUM(B172:B196)</f>
        <v>66359.199999999997</v>
      </c>
      <c r="C197" s="71">
        <f t="shared" si="63"/>
        <v>153988.84999999998</v>
      </c>
      <c r="D197" s="71">
        <f t="shared" si="63"/>
        <v>174280</v>
      </c>
      <c r="E197" s="71">
        <f t="shared" si="63"/>
        <v>177123.75</v>
      </c>
      <c r="F197" s="71">
        <f t="shared" si="63"/>
        <v>180078.1875</v>
      </c>
      <c r="G197" s="71">
        <f t="shared" si="63"/>
        <v>183047.34687499999</v>
      </c>
    </row>
    <row r="198" spans="1:14" ht="15">
      <c r="A198" s="75" t="s">
        <v>178</v>
      </c>
      <c r="B198" s="18" t="str">
        <f t="shared" ref="B198:C198" si="64">B1</f>
        <v>23-24</v>
      </c>
      <c r="C198" s="18" t="str">
        <f t="shared" si="64"/>
        <v>24-25</v>
      </c>
      <c r="D198" s="18" t="str">
        <f t="shared" ref="D198:F198" si="65">D1</f>
        <v>25-26</v>
      </c>
      <c r="E198" s="18" t="str">
        <f t="shared" si="65"/>
        <v>26-27</v>
      </c>
      <c r="F198" s="18" t="str">
        <f t="shared" si="65"/>
        <v>27-28</v>
      </c>
      <c r="G198" s="18" t="str">
        <f t="shared" ref="G198" si="66">G1</f>
        <v>28-29</v>
      </c>
    </row>
    <row r="199" spans="1:14">
      <c r="A199" s="81" t="s">
        <v>179</v>
      </c>
      <c r="B199" s="5">
        <f>'23-24'!BB199</f>
        <v>0</v>
      </c>
      <c r="C199" s="5">
        <f>'24-25'!BB199</f>
        <v>0</v>
      </c>
      <c r="D199" s="5">
        <f>'25-26'!BB199</f>
        <v>0</v>
      </c>
      <c r="E199" s="5">
        <f>'26-27'!BB199</f>
        <v>0</v>
      </c>
      <c r="F199" s="5">
        <f>'27-28'!BB199</f>
        <v>0</v>
      </c>
      <c r="G199" s="5">
        <f>'28-29'!BB199</f>
        <v>0</v>
      </c>
    </row>
    <row r="200" spans="1:14">
      <c r="A200" s="29" t="s">
        <v>180</v>
      </c>
      <c r="B200" s="5">
        <f>'23-24'!BB200</f>
        <v>0</v>
      </c>
      <c r="C200" s="5">
        <f>'24-25'!BB200</f>
        <v>0</v>
      </c>
      <c r="D200" s="5">
        <f>'25-26'!BB200</f>
        <v>0</v>
      </c>
      <c r="E200" s="5">
        <f>'26-27'!BB200</f>
        <v>0</v>
      </c>
      <c r="F200" s="5">
        <f>'27-28'!BB200</f>
        <v>0</v>
      </c>
      <c r="G200" s="5">
        <f>'28-29'!BB200</f>
        <v>0</v>
      </c>
    </row>
    <row r="201" spans="1:14">
      <c r="A201" s="29" t="s">
        <v>181</v>
      </c>
      <c r="B201" s="5">
        <f>'23-24'!BB201</f>
        <v>0</v>
      </c>
      <c r="C201" s="5">
        <f>'24-25'!BB201</f>
        <v>0</v>
      </c>
      <c r="D201" s="5">
        <f>'25-26'!BB201</f>
        <v>0</v>
      </c>
      <c r="E201" s="5">
        <f>'26-27'!BB201</f>
        <v>0</v>
      </c>
      <c r="F201" s="5">
        <f>'27-28'!BB201</f>
        <v>0</v>
      </c>
      <c r="G201" s="5">
        <f>'28-29'!BB201</f>
        <v>0</v>
      </c>
    </row>
    <row r="202" spans="1:14">
      <c r="A202" s="29" t="s">
        <v>182</v>
      </c>
      <c r="B202" s="5">
        <f>'23-24'!BB202</f>
        <v>0</v>
      </c>
      <c r="C202" s="5">
        <f>'24-25'!BB202</f>
        <v>0</v>
      </c>
      <c r="D202" s="5">
        <f>'25-26'!BB202</f>
        <v>0</v>
      </c>
      <c r="E202" s="5">
        <f>'26-27'!BB202</f>
        <v>0</v>
      </c>
      <c r="F202" s="5">
        <f>'27-28'!BB202</f>
        <v>0</v>
      </c>
      <c r="G202" s="5">
        <f>'28-29'!BB202</f>
        <v>0</v>
      </c>
    </row>
    <row r="203" spans="1:14">
      <c r="A203" s="29" t="s">
        <v>183</v>
      </c>
      <c r="B203" s="5">
        <f>'23-24'!BB203</f>
        <v>0</v>
      </c>
      <c r="C203" s="5">
        <f>'24-25'!BB203</f>
        <v>0</v>
      </c>
      <c r="D203" s="5">
        <f>'25-26'!BB203</f>
        <v>0</v>
      </c>
      <c r="E203" s="5">
        <f>'26-27'!BB203</f>
        <v>0</v>
      </c>
      <c r="F203" s="5">
        <f>'27-28'!BB203</f>
        <v>0</v>
      </c>
      <c r="G203" s="5">
        <f>'28-29'!BB203</f>
        <v>0</v>
      </c>
    </row>
    <row r="204" spans="1:14">
      <c r="A204" s="29" t="s">
        <v>184</v>
      </c>
      <c r="B204" s="5">
        <f>'23-24'!BB204</f>
        <v>0</v>
      </c>
      <c r="C204" s="5">
        <f>'24-25'!BB204</f>
        <v>0</v>
      </c>
      <c r="D204" s="5">
        <f>'25-26'!BB204</f>
        <v>0</v>
      </c>
      <c r="E204" s="5">
        <f>'26-27'!BB204</f>
        <v>0</v>
      </c>
      <c r="F204" s="5">
        <f>'27-28'!BB204</f>
        <v>0</v>
      </c>
      <c r="G204" s="5">
        <f>'28-29'!BB204</f>
        <v>0</v>
      </c>
    </row>
    <row r="205" spans="1:14">
      <c r="A205" s="29" t="s">
        <v>185</v>
      </c>
      <c r="B205" s="5">
        <f>'23-24'!BB205</f>
        <v>0</v>
      </c>
      <c r="C205" s="5">
        <f>'24-25'!BB205</f>
        <v>0</v>
      </c>
      <c r="D205" s="5">
        <f>'25-26'!BB205</f>
        <v>0</v>
      </c>
      <c r="E205" s="5">
        <f>'26-27'!BB205</f>
        <v>0</v>
      </c>
      <c r="F205" s="5">
        <f>'27-28'!BB205</f>
        <v>0</v>
      </c>
      <c r="G205" s="5">
        <f>'28-29'!BB205</f>
        <v>0</v>
      </c>
    </row>
    <row r="206" spans="1:14">
      <c r="A206" s="29" t="s">
        <v>186</v>
      </c>
      <c r="B206" s="5">
        <f>'23-24'!BB206</f>
        <v>0</v>
      </c>
      <c r="C206" s="5">
        <f>'24-25'!BB206</f>
        <v>0</v>
      </c>
      <c r="D206" s="5">
        <f>'25-26'!BB206</f>
        <v>0</v>
      </c>
      <c r="E206" s="5">
        <f>'26-27'!BB206</f>
        <v>0</v>
      </c>
      <c r="F206" s="5">
        <f>'27-28'!BB206</f>
        <v>0</v>
      </c>
      <c r="G206" s="5">
        <f>'28-29'!BB206</f>
        <v>0</v>
      </c>
    </row>
    <row r="207" spans="1:14">
      <c r="A207" s="29" t="s">
        <v>187</v>
      </c>
      <c r="B207" s="5">
        <f>'23-24'!BB207</f>
        <v>0</v>
      </c>
      <c r="C207" s="5">
        <f>'24-25'!BB207</f>
        <v>0</v>
      </c>
      <c r="D207" s="5">
        <f>'25-26'!BB207</f>
        <v>0</v>
      </c>
      <c r="E207" s="5">
        <f>'26-27'!BB207</f>
        <v>0</v>
      </c>
      <c r="F207" s="5">
        <f>'27-28'!BB207</f>
        <v>0</v>
      </c>
      <c r="G207" s="5">
        <f>'28-29'!BB207</f>
        <v>0</v>
      </c>
    </row>
    <row r="208" spans="1:14">
      <c r="A208" s="78" t="s">
        <v>188</v>
      </c>
      <c r="B208" s="5">
        <f>'23-24'!BB208</f>
        <v>0</v>
      </c>
      <c r="C208" s="5">
        <f>'24-25'!BB208</f>
        <v>0</v>
      </c>
      <c r="D208" s="5">
        <f>'25-26'!BB208</f>
        <v>0</v>
      </c>
      <c r="E208" s="5">
        <f>'26-27'!BB208</f>
        <v>0</v>
      </c>
      <c r="F208" s="5">
        <f>'27-28'!BB208</f>
        <v>0</v>
      </c>
      <c r="G208" s="5">
        <f>'28-29'!BB208</f>
        <v>0</v>
      </c>
    </row>
    <row r="209" spans="1:9" ht="15">
      <c r="A209" s="70" t="s">
        <v>189</v>
      </c>
      <c r="B209" s="71">
        <f t="shared" ref="B209:C209" si="67">SUM(B199:B208)</f>
        <v>0</v>
      </c>
      <c r="C209" s="71">
        <f t="shared" si="67"/>
        <v>0</v>
      </c>
      <c r="D209" s="71">
        <f t="shared" ref="D209:F209" si="68">SUM(D199:D208)</f>
        <v>0</v>
      </c>
      <c r="E209" s="71">
        <f t="shared" si="68"/>
        <v>0</v>
      </c>
      <c r="F209" s="71">
        <f t="shared" si="68"/>
        <v>0</v>
      </c>
      <c r="G209" s="71">
        <f t="shared" ref="G209" si="69">SUM(G199:G208)</f>
        <v>0</v>
      </c>
    </row>
    <row r="210" spans="1:9">
      <c r="A210" s="85"/>
      <c r="B210" s="5"/>
      <c r="C210" s="5"/>
      <c r="D210" s="5"/>
      <c r="E210" s="5"/>
      <c r="F210" s="5"/>
      <c r="G210" s="5"/>
    </row>
    <row r="211" spans="1:9" ht="15">
      <c r="A211" s="70" t="s">
        <v>190</v>
      </c>
      <c r="B211" s="71">
        <f t="shared" ref="B211:G211" si="70">B142+B154+B170+B197+B209</f>
        <v>1084259.2</v>
      </c>
      <c r="C211" s="71">
        <f t="shared" si="70"/>
        <v>1338167.2949999999</v>
      </c>
      <c r="D211" s="71">
        <f t="shared" si="70"/>
        <v>1348938.77188125</v>
      </c>
      <c r="E211" s="71">
        <f t="shared" si="70"/>
        <v>1358698.5536625781</v>
      </c>
      <c r="F211" s="71">
        <f t="shared" si="70"/>
        <v>1369976.3652502354</v>
      </c>
      <c r="G211" s="71">
        <f t="shared" si="70"/>
        <v>1381429.6618250106</v>
      </c>
    </row>
    <row r="212" spans="1:9">
      <c r="A212" s="86"/>
      <c r="B212" s="52"/>
      <c r="C212" s="52"/>
      <c r="D212" s="52"/>
      <c r="E212" s="52"/>
      <c r="F212" s="52"/>
      <c r="G212" s="52"/>
    </row>
    <row r="213" spans="1:9" ht="15">
      <c r="A213" s="43" t="s">
        <v>191</v>
      </c>
      <c r="B213" s="9">
        <f>'23-24'!BB213</f>
        <v>0</v>
      </c>
      <c r="C213" s="9">
        <f>'24-25'!BB213</f>
        <v>0</v>
      </c>
      <c r="D213" s="9">
        <f>'25-26'!BB213</f>
        <v>0</v>
      </c>
      <c r="E213" s="9">
        <f>'26-27'!BB213</f>
        <v>0</v>
      </c>
      <c r="F213" s="9">
        <f>'27-28'!BB213</f>
        <v>0</v>
      </c>
      <c r="G213" s="9">
        <f>'28-29'!BB213</f>
        <v>0</v>
      </c>
    </row>
    <row r="214" spans="1:9" ht="15">
      <c r="A214" s="43" t="s">
        <v>192</v>
      </c>
      <c r="B214" s="9">
        <f>'23-24'!BB214</f>
        <v>0</v>
      </c>
      <c r="C214" s="9">
        <f>'24-25'!BB214</f>
        <v>0</v>
      </c>
      <c r="D214" s="9">
        <f>'25-26'!BB214</f>
        <v>0</v>
      </c>
      <c r="E214" s="9">
        <f>'26-27'!BB214</f>
        <v>0</v>
      </c>
      <c r="F214" s="9">
        <f>'27-28'!BB214</f>
        <v>0</v>
      </c>
      <c r="G214" s="9">
        <f>'28-29'!BB214</f>
        <v>0</v>
      </c>
    </row>
    <row r="215" spans="1:9" ht="15">
      <c r="A215" s="43" t="s">
        <v>193</v>
      </c>
      <c r="B215" s="9">
        <f>'23-24'!BB215</f>
        <v>0</v>
      </c>
      <c r="C215" s="9">
        <f>'24-25'!BB215</f>
        <v>0</v>
      </c>
      <c r="D215" s="9">
        <f>'25-26'!BB215</f>
        <v>0</v>
      </c>
      <c r="E215" s="9">
        <f>'26-27'!BB215</f>
        <v>0</v>
      </c>
      <c r="F215" s="9">
        <f>'27-28'!BB215</f>
        <v>0</v>
      </c>
      <c r="G215" s="9">
        <f>'28-29'!BB215</f>
        <v>0</v>
      </c>
    </row>
    <row r="216" spans="1:9" ht="15">
      <c r="A216" s="43" t="s">
        <v>194</v>
      </c>
      <c r="B216" s="9">
        <f>'23-24'!BB216</f>
        <v>0</v>
      </c>
      <c r="C216" s="9">
        <f>'24-25'!BB216</f>
        <v>0</v>
      </c>
      <c r="D216" s="9">
        <f>'25-26'!BB216</f>
        <v>0</v>
      </c>
      <c r="E216" s="9">
        <f>'26-27'!BB216</f>
        <v>0</v>
      </c>
      <c r="F216" s="9">
        <f>'27-28'!BB216</f>
        <v>0</v>
      </c>
      <c r="G216" s="9">
        <f>'28-29'!BB216</f>
        <v>0</v>
      </c>
    </row>
    <row r="217" spans="1:9" ht="15">
      <c r="B217" s="9">
        <f>'23-24'!CC217</f>
        <v>0</v>
      </c>
      <c r="C217" s="9">
        <f>'24-25'!CC217</f>
        <v>0</v>
      </c>
      <c r="D217" s="9">
        <f>'25-26'!CC217</f>
        <v>0</v>
      </c>
      <c r="E217" s="9">
        <f>'26-27'!CC217</f>
        <v>0</v>
      </c>
      <c r="F217" s="9">
        <f>'27-28'!CC217</f>
        <v>0</v>
      </c>
      <c r="G217" s="9">
        <f>'28-29'!CC217</f>
        <v>0</v>
      </c>
    </row>
    <row r="218" spans="1:9" ht="15.75" thickBot="1">
      <c r="A218" s="43"/>
      <c r="B218" s="35"/>
      <c r="C218" s="35"/>
      <c r="D218" s="35"/>
      <c r="E218" s="35"/>
      <c r="F218" s="35"/>
      <c r="G218" s="35"/>
    </row>
    <row r="219" spans="1:9" ht="15.75" thickBot="1">
      <c r="A219" s="87" t="s">
        <v>195</v>
      </c>
      <c r="B219" s="88">
        <f t="shared" ref="B219:G219" si="71">(B97+B103)-B211-B213-B214-B216-B215</f>
        <v>78297.800000000047</v>
      </c>
      <c r="C219" s="88">
        <f t="shared" si="71"/>
        <v>161504.08499999996</v>
      </c>
      <c r="D219" s="88">
        <f t="shared" si="71"/>
        <v>230740.1036743056</v>
      </c>
      <c r="E219" s="88">
        <f t="shared" si="71"/>
        <v>241280.32189297746</v>
      </c>
      <c r="F219" s="88">
        <f t="shared" si="71"/>
        <v>251002.51030532015</v>
      </c>
      <c r="G219" s="88">
        <f t="shared" si="71"/>
        <v>260269.21373054502</v>
      </c>
    </row>
    <row r="220" spans="1:9">
      <c r="A220" s="89"/>
      <c r="B220" s="90">
        <f t="shared" ref="B220:C220" si="72">B219/(B97)</f>
        <v>6.7349643931437386E-2</v>
      </c>
      <c r="C220" s="90">
        <f t="shared" si="72"/>
        <v>0.10769298337879861</v>
      </c>
      <c r="D220" s="90">
        <f t="shared" ref="D220:F220" si="73">D219/(D97)</f>
        <v>0.14606772758998685</v>
      </c>
      <c r="E220" s="90">
        <f t="shared" si="73"/>
        <v>0.15080219219094282</v>
      </c>
      <c r="F220" s="90">
        <f t="shared" si="73"/>
        <v>0.15484625622853626</v>
      </c>
      <c r="G220" s="90">
        <f t="shared" ref="G220" si="74">G219/(G97)</f>
        <v>0.15853651214962863</v>
      </c>
    </row>
    <row r="221" spans="1:9">
      <c r="B221" s="91"/>
      <c r="C221" s="91"/>
      <c r="D221" s="91"/>
      <c r="E221" s="91"/>
      <c r="F221" s="91"/>
      <c r="G221" s="91"/>
    </row>
    <row r="222" spans="1:9" ht="15">
      <c r="A222" s="1" t="str">
        <f t="shared" ref="A222" si="75">A1</f>
        <v>Pinecrest Academy of Nevada - Virtual</v>
      </c>
      <c r="B222" s="1" t="str">
        <f t="shared" ref="B222:C222" si="76">B1</f>
        <v>23-24</v>
      </c>
      <c r="C222" s="1" t="str">
        <f t="shared" si="76"/>
        <v>24-25</v>
      </c>
      <c r="D222" s="1" t="str">
        <f t="shared" ref="D222:F222" si="77">D1</f>
        <v>25-26</v>
      </c>
      <c r="E222" s="1" t="str">
        <f t="shared" si="77"/>
        <v>26-27</v>
      </c>
      <c r="F222" s="1" t="str">
        <f t="shared" si="77"/>
        <v>27-28</v>
      </c>
      <c r="G222" s="1" t="str">
        <f t="shared" ref="G222" si="78">G1</f>
        <v>28-29</v>
      </c>
    </row>
    <row r="223" spans="1:9">
      <c r="B223" s="92" t="b">
        <f>B219='23-24'!BB219</f>
        <v>1</v>
      </c>
      <c r="C223" s="92" t="b">
        <f>C219='24-25'!BB219</f>
        <v>1</v>
      </c>
      <c r="D223" s="92" t="b">
        <f>D219='25-26'!BB219</f>
        <v>1</v>
      </c>
      <c r="E223" s="92" t="b">
        <f>E219='26-27'!BB219</f>
        <v>1</v>
      </c>
      <c r="F223" s="92" t="b">
        <f>F219='27-28'!BB219</f>
        <v>1</v>
      </c>
      <c r="G223" s="92" t="b">
        <f>G219='28-29'!BB219</f>
        <v>1</v>
      </c>
    </row>
    <row r="224" spans="1:9" s="14" customFormat="1" ht="15">
      <c r="A224" s="7"/>
      <c r="B224" s="92"/>
      <c r="C224" s="92"/>
      <c r="D224" s="92"/>
      <c r="E224" s="92"/>
      <c r="F224" s="92"/>
      <c r="G224" s="92"/>
      <c r="H224" s="7"/>
      <c r="I224" s="3" t="s">
        <v>267</v>
      </c>
    </row>
    <row r="225" spans="1:9" s="14" customFormat="1">
      <c r="A225" s="143" t="s">
        <v>268</v>
      </c>
      <c r="B225" s="144">
        <f>B132/SUM(B211:B216)</f>
        <v>0.22543041368705935</v>
      </c>
      <c r="C225" s="144">
        <f t="shared" ref="C225:G225" si="79">C132/SUM(C211:C216)</f>
        <v>0.18934684097177851</v>
      </c>
      <c r="D225" s="144">
        <f t="shared" si="79"/>
        <v>0.190457248027427</v>
      </c>
      <c r="E225" s="144">
        <f t="shared" si="79"/>
        <v>0.19172056637696303</v>
      </c>
      <c r="F225" s="144">
        <f t="shared" si="79"/>
        <v>0.19278010539923862</v>
      </c>
      <c r="G225" s="144">
        <f t="shared" si="79"/>
        <v>0.19382596581499695</v>
      </c>
      <c r="H225" s="7"/>
      <c r="I225" s="145">
        <f>AVERAGE(B225:G225)</f>
        <v>0.19726019004624393</v>
      </c>
    </row>
    <row r="226" spans="1:9">
      <c r="A226" s="143" t="s">
        <v>269</v>
      </c>
      <c r="B226" s="144">
        <f>(B141-B140)/SUM(B211:B216)</f>
        <v>0.29411952418757437</v>
      </c>
      <c r="C226" s="144">
        <f t="shared" ref="C226:G226" si="80">(C141-C140)/SUM(C211:C216)</f>
        <v>0.28504707253363265</v>
      </c>
      <c r="D226" s="144">
        <f t="shared" si="80"/>
        <v>0.28571375044232067</v>
      </c>
      <c r="E226" s="144">
        <f t="shared" si="80"/>
        <v>0.28541695019359975</v>
      </c>
      <c r="F226" s="144">
        <f t="shared" si="80"/>
        <v>0.28483524392156445</v>
      </c>
      <c r="G226" s="144">
        <f t="shared" si="80"/>
        <v>0.28425391680639522</v>
      </c>
      <c r="I226" s="145">
        <f t="shared" ref="I226:I238" si="81">AVERAGE(B226:G226)</f>
        <v>0.28656440968084779</v>
      </c>
    </row>
    <row r="227" spans="1:9">
      <c r="A227" s="143" t="s">
        <v>141</v>
      </c>
      <c r="B227" s="144">
        <f>(B161)/SUM(B211:B216)</f>
        <v>2.075149558334391E-3</v>
      </c>
      <c r="C227" s="144">
        <f t="shared" ref="C227:G227" si="82">(C161)/SUM(C211:C216)</f>
        <v>3.0638919478300358E-3</v>
      </c>
      <c r="D227" s="144">
        <f t="shared" si="82"/>
        <v>3.1913976302988039E-3</v>
      </c>
      <c r="E227" s="144">
        <f t="shared" si="82"/>
        <v>3.1684732337391684E-3</v>
      </c>
      <c r="F227" s="144">
        <f t="shared" si="82"/>
        <v>3.2995094767013342E-3</v>
      </c>
      <c r="G227" s="144">
        <f t="shared" si="82"/>
        <v>3.4357612487701324E-3</v>
      </c>
      <c r="H227" s="144"/>
      <c r="I227" s="145">
        <f t="shared" si="81"/>
        <v>3.0390305159456441E-3</v>
      </c>
    </row>
    <row r="228" spans="1:9">
      <c r="A228" s="143" t="s">
        <v>270</v>
      </c>
      <c r="B228" s="144">
        <f>(B160+B167+B168)/SUM(B211:B216)</f>
        <v>6.4707036841375201E-2</v>
      </c>
      <c r="C228" s="144">
        <f t="shared" ref="C228:G228" si="83">(C160+C167+C168)/SUM(C211:C216)</f>
        <v>5.9434945314516895E-2</v>
      </c>
      <c r="D228" s="144">
        <f t="shared" si="83"/>
        <v>6.1290402295055564E-2</v>
      </c>
      <c r="E228" s="144">
        <f t="shared" si="83"/>
        <v>6.0999549735726431E-2</v>
      </c>
      <c r="F228" s="144">
        <f t="shared" si="83"/>
        <v>6.065068136034818E-2</v>
      </c>
      <c r="G228" s="144">
        <f t="shared" si="83"/>
        <v>6.0297822105510497E-2</v>
      </c>
      <c r="I228" s="145">
        <f t="shared" si="81"/>
        <v>6.1230072942088792E-2</v>
      </c>
    </row>
    <row r="229" spans="1:9">
      <c r="A229" s="143" t="s">
        <v>271</v>
      </c>
      <c r="B229" s="144">
        <f>(B140+B156+B157+B158+B159)/SUM(B211:B216)</f>
        <v>0.2346625234999159</v>
      </c>
      <c r="C229" s="144">
        <f t="shared" ref="C229:G229" si="84">(C140+C156+C157+C158+C159)/SUM(C211:C216)</f>
        <v>0.2306064429709441</v>
      </c>
      <c r="D229" s="144">
        <f t="shared" si="84"/>
        <v>0.23727170326169261</v>
      </c>
      <c r="E229" s="144">
        <f t="shared" si="84"/>
        <v>0.23593441616307884</v>
      </c>
      <c r="F229" s="144">
        <f t="shared" si="84"/>
        <v>0.23437443567966315</v>
      </c>
      <c r="G229" s="144">
        <f t="shared" si="84"/>
        <v>0.23282930594532339</v>
      </c>
      <c r="I229" s="145">
        <f t="shared" si="81"/>
        <v>0.2342798045867697</v>
      </c>
    </row>
    <row r="230" spans="1:9">
      <c r="A230" s="143" t="s">
        <v>272</v>
      </c>
      <c r="B230" s="144">
        <f>(B177+B191+B192+B193)/SUM(B211:B216)</f>
        <v>0</v>
      </c>
      <c r="C230" s="144">
        <f t="shared" ref="C230:G230" si="85">(C177+C191+C192+C193)/SUM(C211:C216)</f>
        <v>0</v>
      </c>
      <c r="D230" s="144">
        <f t="shared" si="85"/>
        <v>0</v>
      </c>
      <c r="E230" s="144">
        <f t="shared" si="85"/>
        <v>0</v>
      </c>
      <c r="F230" s="144">
        <f t="shared" si="85"/>
        <v>0</v>
      </c>
      <c r="G230" s="144">
        <f t="shared" si="85"/>
        <v>0</v>
      </c>
      <c r="I230" s="145">
        <f t="shared" si="81"/>
        <v>0</v>
      </c>
    </row>
    <row r="231" spans="1:9">
      <c r="A231" s="143" t="s">
        <v>273</v>
      </c>
      <c r="B231" s="144">
        <f>(B154)/SUM(B211:B216)</f>
        <v>6.4375750742995771E-2</v>
      </c>
      <c r="C231" s="144">
        <f t="shared" ref="C231:G231" si="86">(C154)/SUM(C211:C216)</f>
        <v>6.7667174603904812E-2</v>
      </c>
      <c r="D231" s="144">
        <f t="shared" si="86"/>
        <v>4.1958909610897169E-2</v>
      </c>
      <c r="E231" s="144">
        <f t="shared" si="86"/>
        <v>4.1657511040566073E-2</v>
      </c>
      <c r="F231" s="144">
        <f t="shared" si="86"/>
        <v>4.1314581357512419E-2</v>
      </c>
      <c r="G231" s="144">
        <f t="shared" si="86"/>
        <v>4.0972046253318163E-2</v>
      </c>
      <c r="I231" s="145">
        <f t="shared" si="81"/>
        <v>4.9657662268199072E-2</v>
      </c>
    </row>
    <row r="232" spans="1:9">
      <c r="A232" s="143" t="s">
        <v>2</v>
      </c>
      <c r="B232" s="144">
        <f>(B182+B183)/SUM(B211:B216)</f>
        <v>1.8676346025009519E-2</v>
      </c>
      <c r="C232" s="144">
        <f t="shared" ref="C232:G232" si="87">(C182+C183)/SUM(C211:C216)</f>
        <v>2.0429060030196003E-3</v>
      </c>
      <c r="D232" s="144">
        <f t="shared" si="87"/>
        <v>2.1016520980016514E-3</v>
      </c>
      <c r="E232" s="144">
        <f t="shared" si="87"/>
        <v>2.0865555441696962E-3</v>
      </c>
      <c r="F232" s="144">
        <f t="shared" si="87"/>
        <v>2.069378765875401E-3</v>
      </c>
      <c r="G232" s="144">
        <f t="shared" si="87"/>
        <v>2.0522217513808654E-3</v>
      </c>
      <c r="I232" s="145">
        <f t="shared" si="81"/>
        <v>4.8381766979094555E-3</v>
      </c>
    </row>
    <row r="233" spans="1:9">
      <c r="A233" s="143" t="s">
        <v>274</v>
      </c>
      <c r="B233" s="144">
        <f>(B209+B213+B214+B215+B216)/SUM(B211:B216)</f>
        <v>0</v>
      </c>
      <c r="C233" s="144">
        <f t="shared" ref="C233:G233" si="88">(C209+C213+C214+C215+C216)/SUM(C211:C216)</f>
        <v>0</v>
      </c>
      <c r="D233" s="144">
        <f t="shared" si="88"/>
        <v>0</v>
      </c>
      <c r="E233" s="144">
        <f t="shared" si="88"/>
        <v>0</v>
      </c>
      <c r="F233" s="144">
        <f t="shared" si="88"/>
        <v>0</v>
      </c>
      <c r="G233" s="144">
        <f t="shared" si="88"/>
        <v>0</v>
      </c>
      <c r="I233" s="145">
        <f t="shared" si="81"/>
        <v>0</v>
      </c>
    </row>
    <row r="234" spans="1:9">
      <c r="A234" s="143" t="s">
        <v>275</v>
      </c>
      <c r="B234" s="144">
        <f>(B179+B180+B181)/SUM(B211:B216)</f>
        <v>7.3321951061148484E-3</v>
      </c>
      <c r="C234" s="144">
        <f t="shared" ref="C234:G234" si="89">(C179+C180+C181)/SUM(C211:C216)</f>
        <v>6.7256164708464202E-3</v>
      </c>
      <c r="D234" s="144">
        <f t="shared" si="89"/>
        <v>7.0055069933388382E-3</v>
      </c>
      <c r="E234" s="144">
        <f t="shared" si="89"/>
        <v>7.3029444045939369E-3</v>
      </c>
      <c r="F234" s="144">
        <f t="shared" si="89"/>
        <v>7.6049669645920992E-3</v>
      </c>
      <c r="G234" s="144">
        <f t="shared" si="89"/>
        <v>7.9190106831409143E-3</v>
      </c>
      <c r="I234" s="145">
        <f t="shared" si="81"/>
        <v>7.3150401037711766E-3</v>
      </c>
    </row>
    <row r="235" spans="1:9">
      <c r="A235" s="143" t="s">
        <v>276</v>
      </c>
      <c r="B235" s="144">
        <f>(B185)/SUM(B211:B216)</f>
        <v>7.3783095407445017E-4</v>
      </c>
      <c r="C235" s="144">
        <f t="shared" ref="C235:G235" si="90">(C185)/SUM(C211:C216)</f>
        <v>8.9674886277952268E-4</v>
      </c>
      <c r="D235" s="144">
        <f t="shared" si="90"/>
        <v>8.8958818963032866E-4</v>
      </c>
      <c r="E235" s="144">
        <f t="shared" si="90"/>
        <v>8.8319811393426303E-4</v>
      </c>
      <c r="F235" s="144">
        <f t="shared" si="90"/>
        <v>8.759275199472597E-4</v>
      </c>
      <c r="G235" s="144">
        <f t="shared" si="90"/>
        <v>8.6866529158978435E-4</v>
      </c>
      <c r="I235" s="145">
        <f t="shared" si="81"/>
        <v>8.5865982199260149E-4</v>
      </c>
    </row>
    <row r="236" spans="1:9">
      <c r="A236" s="143" t="s">
        <v>277</v>
      </c>
      <c r="B236" s="144">
        <f>(B162+B163)/SUM(B211:B216)</f>
        <v>1.9368062544454317E-2</v>
      </c>
      <c r="C236" s="144">
        <f t="shared" ref="C236:G236" si="91">(C162+C163)/SUM(C211:C216)</f>
        <v>1.9803204053047793E-2</v>
      </c>
      <c r="D236" s="144">
        <f t="shared" si="91"/>
        <v>2.0404929099645662E-2</v>
      </c>
      <c r="E236" s="144">
        <f t="shared" si="91"/>
        <v>2.0258356738367157E-2</v>
      </c>
      <c r="F236" s="144">
        <f t="shared" si="91"/>
        <v>2.087718498324297E-2</v>
      </c>
      <c r="G236" s="144">
        <f t="shared" si="91"/>
        <v>2.1522132701799583E-2</v>
      </c>
      <c r="I236" s="145">
        <f t="shared" si="81"/>
        <v>2.037231168675958E-2</v>
      </c>
    </row>
    <row r="237" spans="1:9">
      <c r="A237" s="143" t="s">
        <v>278</v>
      </c>
      <c r="B237" s="144">
        <f>(B164+B165+B172+B173+B176+B178)/SUM(B211:B216)</f>
        <v>2.8388045958014467E-2</v>
      </c>
      <c r="C237" s="144">
        <f t="shared" ref="C237:G237" si="92">(C164+C165+C172+C173+C176+C178)/SUM(C211:C216)</f>
        <v>2.353965764796247E-2</v>
      </c>
      <c r="D237" s="144">
        <f t="shared" si="92"/>
        <v>2.3770537750413739E-2</v>
      </c>
      <c r="E237" s="144">
        <f t="shared" si="92"/>
        <v>2.3850949066401842E-2</v>
      </c>
      <c r="F237" s="144">
        <f t="shared" si="92"/>
        <v>2.391615164398499E-2</v>
      </c>
      <c r="G237" s="144">
        <f t="shared" si="92"/>
        <v>2.3990212126484681E-2</v>
      </c>
      <c r="I237" s="145">
        <f t="shared" si="81"/>
        <v>2.4575925698877028E-2</v>
      </c>
    </row>
    <row r="238" spans="1:9">
      <c r="A238" s="143" t="s">
        <v>3</v>
      </c>
      <c r="B238" s="144">
        <f>(B166+B169+B175+B184+B186+B187+B189+B194+B195+B196)/SUM(B211:B216)</f>
        <v>4.0127120895077487E-2</v>
      </c>
      <c r="C238" s="144">
        <f t="shared" ref="C238:G238" si="93">(C166+C169+C175+C184+C186+C187+C189+C194+C195+C196)/SUM(C211:C216)</f>
        <v>0.11182549861973722</v>
      </c>
      <c r="D238" s="144">
        <f t="shared" si="93"/>
        <v>0.12594437460127797</v>
      </c>
      <c r="E238" s="144">
        <f t="shared" si="93"/>
        <v>0.12672052938885978</v>
      </c>
      <c r="F238" s="144">
        <f t="shared" si="93"/>
        <v>0.12740183292732904</v>
      </c>
      <c r="G238" s="144">
        <f t="shared" si="93"/>
        <v>0.12803293927128981</v>
      </c>
      <c r="I238" s="145">
        <f t="shared" si="81"/>
        <v>0.11000871595059521</v>
      </c>
    </row>
    <row r="239" spans="1:9">
      <c r="A239"/>
      <c r="B239"/>
      <c r="C239"/>
      <c r="D239"/>
    </row>
    <row r="240" spans="1:9">
      <c r="A240"/>
      <c r="B240" s="146">
        <f>SUM(B225:B239)</f>
        <v>1.0000000000000002</v>
      </c>
      <c r="C240" s="146">
        <f t="shared" ref="C240:I240" si="94">SUM(C225:C239)</f>
        <v>1.0000000000000002</v>
      </c>
      <c r="D240" s="146">
        <f t="shared" si="94"/>
        <v>0.99999999999999989</v>
      </c>
      <c r="E240" s="146">
        <f t="shared" si="94"/>
        <v>0.99999999999999989</v>
      </c>
      <c r="F240" s="146">
        <f t="shared" si="94"/>
        <v>0.99999999999999978</v>
      </c>
      <c r="G240" s="146">
        <f t="shared" si="94"/>
        <v>1</v>
      </c>
      <c r="I240" s="146">
        <f t="shared" si="94"/>
        <v>0.99999999999999989</v>
      </c>
    </row>
  </sheetData>
  <pageMargins left="0.7" right="0.7" top="0.75" bottom="0.75" header="0.3" footer="0.3"/>
  <pageSetup scale="56" fitToHeight="0" orientation="portrait" r:id="rId1"/>
  <rowBreaks count="2" manualBreakCount="2">
    <brk id="71" max="7" man="1"/>
    <brk id="14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0"/>
  <sheetViews>
    <sheetView zoomScale="75" zoomScaleNormal="75" workbookViewId="0">
      <pane xSplit="1" ySplit="1" topLeftCell="B208" activePane="bottomRight" state="frozen"/>
      <selection activeCell="E165" sqref="E164:E165"/>
      <selection pane="topRight" activeCell="E165" sqref="E164:E165"/>
      <selection pane="bottomLeft" activeCell="E165" sqref="E164:E165"/>
      <selection pane="bottomRight" activeCell="I213" sqref="I213"/>
    </sheetView>
  </sheetViews>
  <sheetFormatPr defaultColWidth="8.625" defaultRowHeight="14.25"/>
  <cols>
    <col min="1" max="1" width="56.5" style="7" customWidth="1"/>
    <col min="2" max="7" width="15.625" style="92" customWidth="1"/>
    <col min="8" max="16384" width="8.625" style="7"/>
  </cols>
  <sheetData>
    <row r="1" spans="1:14" s="3" customFormat="1" ht="15">
      <c r="A1" s="1" t="s">
        <v>265</v>
      </c>
      <c r="B1" s="1" t="s">
        <v>257</v>
      </c>
      <c r="C1" s="1" t="s">
        <v>258</v>
      </c>
      <c r="D1" s="1" t="s">
        <v>259</v>
      </c>
      <c r="E1" s="1" t="s">
        <v>260</v>
      </c>
      <c r="F1" s="1" t="s">
        <v>261</v>
      </c>
      <c r="G1" s="1" t="s">
        <v>262</v>
      </c>
    </row>
    <row r="2" spans="1:14">
      <c r="A2" s="4" t="s">
        <v>7</v>
      </c>
      <c r="B2" s="5">
        <f>'23-24'!BK2</f>
        <v>8966</v>
      </c>
      <c r="C2" s="5">
        <f>'24-25'!BK2</f>
        <v>9414</v>
      </c>
      <c r="D2" s="5">
        <f>'25-26'!BK2</f>
        <v>9555</v>
      </c>
      <c r="E2" s="5">
        <f>'26-27'!BK2</f>
        <v>9700</v>
      </c>
      <c r="F2" s="5">
        <f>'27-28'!BK2</f>
        <v>9850</v>
      </c>
      <c r="G2" s="5">
        <f>'28-29'!BK2</f>
        <v>9998</v>
      </c>
      <c r="J2" s="140">
        <f>(C2-B2)/B2</f>
        <v>4.9966540263216598E-2</v>
      </c>
      <c r="K2" s="140">
        <f t="shared" ref="K2:N2" si="0">(D2-C2)/C2</f>
        <v>1.4977692797960485E-2</v>
      </c>
      <c r="L2" s="140">
        <f t="shared" si="0"/>
        <v>1.5175300889586603E-2</v>
      </c>
      <c r="M2" s="140">
        <f t="shared" si="0"/>
        <v>1.5463917525773196E-2</v>
      </c>
      <c r="N2" s="140">
        <f t="shared" si="0"/>
        <v>1.5025380710659899E-2</v>
      </c>
    </row>
    <row r="3" spans="1:14" ht="15">
      <c r="A3" s="8" t="s">
        <v>8</v>
      </c>
      <c r="B3" s="9">
        <f t="shared" ref="B3:G3" si="1">B4+B5+B6+B7+B8+B9+B10+B11+B12+B13+B14+B15+B16</f>
        <v>184</v>
      </c>
      <c r="C3" s="9">
        <f t="shared" si="1"/>
        <v>266</v>
      </c>
      <c r="D3" s="9">
        <f t="shared" si="1"/>
        <v>346</v>
      </c>
      <c r="E3" s="9">
        <f t="shared" si="1"/>
        <v>421</v>
      </c>
      <c r="F3" s="9">
        <f t="shared" si="1"/>
        <v>496</v>
      </c>
      <c r="G3" s="9">
        <f t="shared" si="1"/>
        <v>571</v>
      </c>
    </row>
    <row r="4" spans="1:14">
      <c r="A4" s="10" t="s">
        <v>9</v>
      </c>
      <c r="B4" s="5">
        <f>'23-24'!BK4</f>
        <v>70</v>
      </c>
      <c r="C4" s="5">
        <f>'24-25'!BK4</f>
        <v>73</v>
      </c>
      <c r="D4" s="5">
        <f>'25-26'!BK4</f>
        <v>75</v>
      </c>
      <c r="E4" s="5">
        <f>'26-27'!BK4</f>
        <v>75</v>
      </c>
      <c r="F4" s="5">
        <f>'27-28'!BK4</f>
        <v>75</v>
      </c>
      <c r="G4" s="5">
        <f>'28-29'!BK4</f>
        <v>75</v>
      </c>
      <c r="I4" s="142">
        <f>'23-24'!BL4</f>
        <v>3</v>
      </c>
      <c r="J4" s="142">
        <f>'24-25'!BL4</f>
        <v>3</v>
      </c>
      <c r="K4" s="142">
        <f>'25-26'!BL4</f>
        <v>3</v>
      </c>
      <c r="L4" s="142">
        <f>'26-27'!BL4</f>
        <v>3</v>
      </c>
      <c r="M4" s="142">
        <f>'27-28'!BL4</f>
        <v>3</v>
      </c>
      <c r="N4" s="142">
        <f>'28-29'!BL4</f>
        <v>3</v>
      </c>
    </row>
    <row r="5" spans="1:14">
      <c r="A5" s="8" t="s">
        <v>10</v>
      </c>
      <c r="B5" s="5">
        <f>'23-24'!BK5</f>
        <v>41</v>
      </c>
      <c r="C5" s="5">
        <f>'24-25'!BK5</f>
        <v>72</v>
      </c>
      <c r="D5" s="5">
        <f>'25-26'!BK5</f>
        <v>75</v>
      </c>
      <c r="E5" s="5">
        <f>'26-27'!BK5</f>
        <v>75</v>
      </c>
      <c r="F5" s="5">
        <f>'27-28'!BK5</f>
        <v>75</v>
      </c>
      <c r="G5" s="5">
        <f>'28-29'!BK5</f>
        <v>75</v>
      </c>
      <c r="I5" s="142">
        <f>'23-24'!BL5</f>
        <v>2</v>
      </c>
      <c r="J5" s="142">
        <f>'24-25'!BL5</f>
        <v>3</v>
      </c>
      <c r="K5" s="142">
        <f>'25-26'!BL5</f>
        <v>3</v>
      </c>
      <c r="L5" s="142">
        <f>'26-27'!BL5</f>
        <v>3</v>
      </c>
      <c r="M5" s="142">
        <f>'27-28'!BL5</f>
        <v>3</v>
      </c>
      <c r="N5" s="142">
        <f>'28-29'!BL5</f>
        <v>3</v>
      </c>
    </row>
    <row r="6" spans="1:14">
      <c r="A6" s="8" t="s">
        <v>11</v>
      </c>
      <c r="B6" s="5">
        <f>'23-24'!BK6</f>
        <v>48</v>
      </c>
      <c r="C6" s="5">
        <f>'24-25'!BK6</f>
        <v>48</v>
      </c>
      <c r="D6" s="5">
        <f>'25-26'!BK6</f>
        <v>75</v>
      </c>
      <c r="E6" s="5">
        <f>'26-27'!BK6</f>
        <v>75</v>
      </c>
      <c r="F6" s="5">
        <f>'27-28'!BK6</f>
        <v>75</v>
      </c>
      <c r="G6" s="5">
        <f>'28-29'!BK6</f>
        <v>75</v>
      </c>
      <c r="I6" s="142">
        <f>'23-24'!BL6</f>
        <v>2</v>
      </c>
      <c r="J6" s="142">
        <f>'24-25'!BL6</f>
        <v>2</v>
      </c>
      <c r="K6" s="142">
        <f>'25-26'!BL6</f>
        <v>3</v>
      </c>
      <c r="L6" s="142">
        <f>'26-27'!BL6</f>
        <v>3</v>
      </c>
      <c r="M6" s="142">
        <f>'27-28'!BL6</f>
        <v>3</v>
      </c>
      <c r="N6" s="142">
        <f>'28-29'!BL6</f>
        <v>3</v>
      </c>
    </row>
    <row r="7" spans="1:14">
      <c r="A7" s="13" t="s">
        <v>12</v>
      </c>
      <c r="B7" s="5">
        <f>'23-24'!BK7</f>
        <v>25</v>
      </c>
      <c r="C7" s="5">
        <f>'24-25'!BK7</f>
        <v>48</v>
      </c>
      <c r="D7" s="5">
        <f>'25-26'!BK7</f>
        <v>48</v>
      </c>
      <c r="E7" s="5">
        <f>'26-27'!BK7</f>
        <v>75</v>
      </c>
      <c r="F7" s="5">
        <f>'27-28'!BK7</f>
        <v>75</v>
      </c>
      <c r="G7" s="5">
        <f>'28-29'!BK7</f>
        <v>75</v>
      </c>
      <c r="I7" s="142">
        <f>'23-24'!BL7</f>
        <v>1</v>
      </c>
      <c r="J7" s="142">
        <f>'24-25'!BL7</f>
        <v>2</v>
      </c>
      <c r="K7" s="142">
        <f>'25-26'!BL7</f>
        <v>2</v>
      </c>
      <c r="L7" s="142">
        <f>'26-27'!BL7</f>
        <v>3</v>
      </c>
      <c r="M7" s="142">
        <f>'27-28'!BL7</f>
        <v>3</v>
      </c>
      <c r="N7" s="142">
        <f>'28-29'!BL7</f>
        <v>3</v>
      </c>
    </row>
    <row r="8" spans="1:14">
      <c r="A8" s="13" t="s">
        <v>13</v>
      </c>
      <c r="B8" s="5">
        <f>'23-24'!BK8</f>
        <v>0</v>
      </c>
      <c r="C8" s="5">
        <f>'24-25'!BK8</f>
        <v>25</v>
      </c>
      <c r="D8" s="5">
        <f>'25-26'!BK8</f>
        <v>48</v>
      </c>
      <c r="E8" s="5">
        <f>'26-27'!BK8</f>
        <v>48</v>
      </c>
      <c r="F8" s="5">
        <f>'27-28'!BK8</f>
        <v>75</v>
      </c>
      <c r="G8" s="5">
        <f>'28-29'!BK8</f>
        <v>75</v>
      </c>
      <c r="I8" s="142">
        <f>'23-24'!BL8</f>
        <v>0</v>
      </c>
      <c r="J8" s="142">
        <f>'24-25'!BL8</f>
        <v>1</v>
      </c>
      <c r="K8" s="142">
        <f>'25-26'!BL8</f>
        <v>2</v>
      </c>
      <c r="L8" s="142">
        <f>'26-27'!BL8</f>
        <v>2</v>
      </c>
      <c r="M8" s="142">
        <f>'27-28'!BL8</f>
        <v>3</v>
      </c>
      <c r="N8" s="142">
        <f>'28-29'!BL8</f>
        <v>3</v>
      </c>
    </row>
    <row r="9" spans="1:14">
      <c r="A9" s="13" t="s">
        <v>14</v>
      </c>
      <c r="B9" s="5">
        <f>'23-24'!BK9</f>
        <v>0</v>
      </c>
      <c r="C9" s="5">
        <f>'24-25'!BK9</f>
        <v>0</v>
      </c>
      <c r="D9" s="5">
        <f>'25-26'!BK9</f>
        <v>25</v>
      </c>
      <c r="E9" s="5">
        <f>'26-27'!BK9</f>
        <v>48</v>
      </c>
      <c r="F9" s="5">
        <f>'27-28'!BK9</f>
        <v>48</v>
      </c>
      <c r="G9" s="5">
        <f>'28-29'!BK9</f>
        <v>75</v>
      </c>
      <c r="I9" s="142">
        <f>'23-24'!BL9</f>
        <v>0</v>
      </c>
      <c r="J9" s="142">
        <f>'24-25'!BL9</f>
        <v>0</v>
      </c>
      <c r="K9" s="142">
        <f>'25-26'!BL9</f>
        <v>1</v>
      </c>
      <c r="L9" s="142">
        <f>'26-27'!BL9</f>
        <v>2</v>
      </c>
      <c r="M9" s="142">
        <f>'27-28'!BL9</f>
        <v>2</v>
      </c>
      <c r="N9" s="142">
        <f>'28-29'!BL9</f>
        <v>3</v>
      </c>
    </row>
    <row r="10" spans="1:14">
      <c r="A10" s="13" t="s">
        <v>15</v>
      </c>
      <c r="B10" s="5">
        <f>'23-24'!BK10</f>
        <v>0</v>
      </c>
      <c r="C10" s="5">
        <f>'24-25'!BK10</f>
        <v>0</v>
      </c>
      <c r="D10" s="5">
        <f>'25-26'!BK10</f>
        <v>0</v>
      </c>
      <c r="E10" s="5">
        <f>'26-27'!BK10</f>
        <v>25</v>
      </c>
      <c r="F10" s="5">
        <f>'27-28'!BK10</f>
        <v>48</v>
      </c>
      <c r="G10" s="5">
        <f>'28-29'!BK10</f>
        <v>48</v>
      </c>
      <c r="I10" s="142">
        <f>'23-24'!BL10</f>
        <v>0</v>
      </c>
      <c r="J10" s="142">
        <f>'24-25'!BL10</f>
        <v>0</v>
      </c>
      <c r="K10" s="142">
        <f>'25-26'!BL10</f>
        <v>0</v>
      </c>
      <c r="L10" s="142">
        <f>'26-27'!BL10</f>
        <v>1</v>
      </c>
      <c r="M10" s="142">
        <f>'27-28'!BL10</f>
        <v>2</v>
      </c>
      <c r="N10" s="142">
        <f>'28-29'!BL10</f>
        <v>2</v>
      </c>
    </row>
    <row r="11" spans="1:14">
      <c r="A11" s="13" t="s">
        <v>16</v>
      </c>
      <c r="B11" s="5">
        <f>'23-24'!BK11</f>
        <v>0</v>
      </c>
      <c r="C11" s="5">
        <f>'24-25'!BK11</f>
        <v>0</v>
      </c>
      <c r="D11" s="5">
        <f>'25-26'!BK11</f>
        <v>0</v>
      </c>
      <c r="E11" s="5">
        <f>'26-27'!BK11</f>
        <v>0</v>
      </c>
      <c r="F11" s="5">
        <f>'27-28'!BK11</f>
        <v>25</v>
      </c>
      <c r="G11" s="5">
        <f>'28-29'!BK11</f>
        <v>48</v>
      </c>
      <c r="I11" s="142">
        <f>'23-24'!BL11</f>
        <v>0</v>
      </c>
      <c r="J11" s="142">
        <f>'24-25'!BL11</f>
        <v>0</v>
      </c>
      <c r="K11" s="142">
        <f>'25-26'!BL11</f>
        <v>0</v>
      </c>
      <c r="L11" s="142">
        <f>'26-27'!BL11</f>
        <v>0</v>
      </c>
      <c r="M11" s="142">
        <f>'27-28'!BL11</f>
        <v>1</v>
      </c>
      <c r="N11" s="142">
        <f>'28-29'!BL11</f>
        <v>2</v>
      </c>
    </row>
    <row r="12" spans="1:14">
      <c r="A12" s="13" t="s">
        <v>17</v>
      </c>
      <c r="B12" s="5">
        <f>'23-24'!BK12</f>
        <v>0</v>
      </c>
      <c r="C12" s="5">
        <f>'24-25'!BK12</f>
        <v>0</v>
      </c>
      <c r="D12" s="5">
        <f>'25-26'!BK12</f>
        <v>0</v>
      </c>
      <c r="E12" s="5">
        <f>'26-27'!BK12</f>
        <v>0</v>
      </c>
      <c r="F12" s="5">
        <f>'27-28'!BK12</f>
        <v>0</v>
      </c>
      <c r="G12" s="5">
        <f>'28-29'!BK12</f>
        <v>25</v>
      </c>
      <c r="I12" s="142">
        <f>'23-24'!BL12</f>
        <v>0</v>
      </c>
      <c r="J12" s="142">
        <f>'24-25'!BL12</f>
        <v>0</v>
      </c>
      <c r="K12" s="142">
        <f>'25-26'!BL12</f>
        <v>0</v>
      </c>
      <c r="L12" s="142">
        <f>'26-27'!BL12</f>
        <v>0</v>
      </c>
      <c r="M12" s="142">
        <f>'27-28'!BL12</f>
        <v>0</v>
      </c>
      <c r="N12" s="142">
        <f>'28-29'!BL12</f>
        <v>1</v>
      </c>
    </row>
    <row r="13" spans="1:14">
      <c r="A13" s="13" t="s">
        <v>18</v>
      </c>
      <c r="B13" s="5">
        <f>'23-24'!BK13</f>
        <v>0</v>
      </c>
      <c r="C13" s="5">
        <f>'24-25'!BK13</f>
        <v>0</v>
      </c>
      <c r="D13" s="5">
        <f>'25-26'!BK13</f>
        <v>0</v>
      </c>
      <c r="E13" s="5">
        <f>'26-27'!BK13</f>
        <v>0</v>
      </c>
      <c r="F13" s="5">
        <f>'27-28'!BK13</f>
        <v>0</v>
      </c>
      <c r="G13" s="5">
        <f>'28-29'!BK13</f>
        <v>0</v>
      </c>
      <c r="I13" s="142">
        <f>'23-24'!BL13</f>
        <v>0</v>
      </c>
      <c r="J13" s="142">
        <f>'24-25'!BL13</f>
        <v>0</v>
      </c>
      <c r="K13" s="142">
        <f>'25-26'!BL13</f>
        <v>0</v>
      </c>
      <c r="L13" s="142">
        <f>'26-27'!BL13</f>
        <v>0</v>
      </c>
      <c r="M13" s="142">
        <f>'27-28'!BL13</f>
        <v>0</v>
      </c>
      <c r="N13" s="142">
        <f>'28-29'!BL13</f>
        <v>0</v>
      </c>
    </row>
    <row r="14" spans="1:14">
      <c r="A14" s="13" t="s">
        <v>19</v>
      </c>
      <c r="B14" s="5">
        <f>'23-24'!BK14</f>
        <v>0</v>
      </c>
      <c r="C14" s="5">
        <f>'24-25'!BK14</f>
        <v>0</v>
      </c>
      <c r="D14" s="5">
        <f>'25-26'!BK14</f>
        <v>0</v>
      </c>
      <c r="E14" s="5">
        <f>'26-27'!BK14</f>
        <v>0</v>
      </c>
      <c r="F14" s="5">
        <f>'27-28'!BK14</f>
        <v>0</v>
      </c>
      <c r="G14" s="5">
        <f>'28-29'!BK14</f>
        <v>0</v>
      </c>
      <c r="I14" s="142">
        <f>'23-24'!BL14</f>
        <v>0</v>
      </c>
      <c r="J14" s="142">
        <f>'24-25'!BL14</f>
        <v>0</v>
      </c>
      <c r="K14" s="142">
        <f>'25-26'!BL14</f>
        <v>0</v>
      </c>
      <c r="L14" s="142">
        <f>'26-27'!BL14</f>
        <v>0</v>
      </c>
      <c r="M14" s="142">
        <f>'27-28'!BL14</f>
        <v>0</v>
      </c>
      <c r="N14" s="142">
        <f>'28-29'!BL14</f>
        <v>0</v>
      </c>
    </row>
    <row r="15" spans="1:14">
      <c r="A15" s="13" t="s">
        <v>20</v>
      </c>
      <c r="B15" s="5">
        <f>'23-24'!BK15</f>
        <v>0</v>
      </c>
      <c r="C15" s="5">
        <f>'24-25'!BK15</f>
        <v>0</v>
      </c>
      <c r="D15" s="5">
        <f>'25-26'!BK15</f>
        <v>0</v>
      </c>
      <c r="E15" s="5">
        <f>'26-27'!BK15</f>
        <v>0</v>
      </c>
      <c r="F15" s="5">
        <f>'27-28'!BK15</f>
        <v>0</v>
      </c>
      <c r="G15" s="5">
        <f>'28-29'!BK15</f>
        <v>0</v>
      </c>
      <c r="I15" s="142">
        <f>'23-24'!BL15</f>
        <v>0</v>
      </c>
      <c r="J15" s="142">
        <f>'24-25'!BL15</f>
        <v>0</v>
      </c>
      <c r="K15" s="142">
        <f>'25-26'!BL15</f>
        <v>0</v>
      </c>
      <c r="L15" s="142">
        <f>'26-27'!BL15</f>
        <v>0</v>
      </c>
      <c r="M15" s="142">
        <f>'27-28'!BL15</f>
        <v>0</v>
      </c>
      <c r="N15" s="142">
        <f>'28-29'!BL15</f>
        <v>0</v>
      </c>
    </row>
    <row r="16" spans="1:14">
      <c r="A16" s="13" t="s">
        <v>21</v>
      </c>
      <c r="B16" s="5">
        <f>'23-24'!BK16</f>
        <v>0</v>
      </c>
      <c r="C16" s="5">
        <f>'24-25'!BK16</f>
        <v>0</v>
      </c>
      <c r="D16" s="5">
        <f>'25-26'!BK16</f>
        <v>0</v>
      </c>
      <c r="E16" s="5">
        <f>'26-27'!BK16</f>
        <v>0</v>
      </c>
      <c r="F16" s="5">
        <f>'27-28'!BK16</f>
        <v>0</v>
      </c>
      <c r="G16" s="5">
        <f>'28-29'!BK16</f>
        <v>0</v>
      </c>
      <c r="I16" s="142">
        <f>'23-24'!BL16</f>
        <v>0</v>
      </c>
      <c r="J16" s="142">
        <f>'24-25'!BL16</f>
        <v>0</v>
      </c>
      <c r="K16" s="142">
        <f>'25-26'!BL16</f>
        <v>0</v>
      </c>
      <c r="L16" s="142">
        <f>'26-27'!BL16</f>
        <v>0</v>
      </c>
      <c r="M16" s="142">
        <f>'27-28'!BL16</f>
        <v>0</v>
      </c>
      <c r="N16" s="142">
        <f>'28-29'!BL16</f>
        <v>0</v>
      </c>
    </row>
    <row r="17" spans="1:14" ht="15">
      <c r="A17" s="15" t="s">
        <v>8</v>
      </c>
      <c r="B17" s="9">
        <f t="shared" ref="B17:G17" si="2">SUM(B4:B16)</f>
        <v>184</v>
      </c>
      <c r="C17" s="9">
        <f t="shared" si="2"/>
        <v>266</v>
      </c>
      <c r="D17" s="9">
        <f t="shared" si="2"/>
        <v>346</v>
      </c>
      <c r="E17" s="9">
        <f t="shared" si="2"/>
        <v>421</v>
      </c>
      <c r="F17" s="9">
        <f t="shared" si="2"/>
        <v>496</v>
      </c>
      <c r="G17" s="9">
        <f t="shared" si="2"/>
        <v>571</v>
      </c>
      <c r="I17" s="7" t="b">
        <f>SUM(I4:I16)=B27</f>
        <v>1</v>
      </c>
      <c r="J17" s="7" t="b">
        <f t="shared" ref="J17:N17" si="3">SUM(J4:J16)=C27</f>
        <v>1</v>
      </c>
      <c r="K17" s="7" t="b">
        <f t="shared" si="3"/>
        <v>1</v>
      </c>
      <c r="L17" s="7" t="b">
        <f t="shared" si="3"/>
        <v>1</v>
      </c>
      <c r="M17" s="7" t="b">
        <f t="shared" si="3"/>
        <v>1</v>
      </c>
      <c r="N17" s="7" t="b">
        <f t="shared" si="3"/>
        <v>1</v>
      </c>
    </row>
    <row r="18" spans="1:14">
      <c r="A18" s="13"/>
      <c r="B18" s="5"/>
      <c r="C18" s="5"/>
      <c r="D18" s="5"/>
      <c r="E18" s="5"/>
      <c r="F18" s="5"/>
      <c r="G18" s="5"/>
    </row>
    <row r="19" spans="1:14" ht="15">
      <c r="A19" s="17" t="s">
        <v>22</v>
      </c>
      <c r="B19" s="18" t="str">
        <f t="shared" ref="B19:G19" si="4">B1</f>
        <v>23-24</v>
      </c>
      <c r="C19" s="18" t="str">
        <f t="shared" si="4"/>
        <v>24-25</v>
      </c>
      <c r="D19" s="18" t="str">
        <f t="shared" si="4"/>
        <v>25-26</v>
      </c>
      <c r="E19" s="18" t="str">
        <f t="shared" si="4"/>
        <v>26-27</v>
      </c>
      <c r="F19" s="18" t="str">
        <f t="shared" si="4"/>
        <v>27-28</v>
      </c>
      <c r="G19" s="18" t="str">
        <f t="shared" si="4"/>
        <v>28-29</v>
      </c>
    </row>
    <row r="20" spans="1:14">
      <c r="A20" s="13" t="s">
        <v>23</v>
      </c>
      <c r="B20" s="5">
        <f>'23-24'!BK20</f>
        <v>15</v>
      </c>
      <c r="C20" s="5">
        <f>'24-25'!BK20</f>
        <v>17</v>
      </c>
      <c r="D20" s="5">
        <f>'25-26'!BK20</f>
        <v>22.112781954887218</v>
      </c>
      <c r="E20" s="5">
        <f>'26-27'!BK20</f>
        <v>26.906015037593985</v>
      </c>
      <c r="F20" s="5">
        <f>'27-28'!BK20</f>
        <v>31.699248120300751</v>
      </c>
      <c r="G20" s="5">
        <f>'28-29'!BK20</f>
        <v>36.492481203007515</v>
      </c>
    </row>
    <row r="21" spans="1:14">
      <c r="A21" s="13" t="s">
        <v>24</v>
      </c>
      <c r="B21" s="5">
        <f>'23-24'!BK21</f>
        <v>0</v>
      </c>
      <c r="C21" s="5">
        <f>'24-25'!BK21</f>
        <v>22</v>
      </c>
      <c r="D21" s="5">
        <f>'25-26'!BK21</f>
        <v>28.616541353383457</v>
      </c>
      <c r="E21" s="5">
        <f>'26-27'!BK21</f>
        <v>34.819548872180448</v>
      </c>
      <c r="F21" s="5">
        <f>'27-28'!BK21</f>
        <v>41.022556390977442</v>
      </c>
      <c r="G21" s="5">
        <f>'28-29'!BK21</f>
        <v>47.225563909774436</v>
      </c>
    </row>
    <row r="22" spans="1:14">
      <c r="A22" s="13" t="s">
        <v>25</v>
      </c>
      <c r="B22" s="5">
        <f>'23-24'!BK22</f>
        <v>0</v>
      </c>
      <c r="C22" s="5">
        <f>'24-25'!BK22</f>
        <v>0</v>
      </c>
      <c r="D22" s="5">
        <f>'25-26'!BK22</f>
        <v>0</v>
      </c>
      <c r="E22" s="5">
        <f>'26-27'!BK22</f>
        <v>0</v>
      </c>
      <c r="F22" s="5">
        <f>'27-28'!BK22</f>
        <v>0</v>
      </c>
      <c r="G22" s="5">
        <f>'28-29'!BK22</f>
        <v>0</v>
      </c>
    </row>
    <row r="23" spans="1:14">
      <c r="A23" s="13" t="s">
        <v>26</v>
      </c>
      <c r="B23" s="101">
        <f>'23-24'!BK23</f>
        <v>0.6</v>
      </c>
      <c r="C23" s="101">
        <f>'24-25'!BK23</f>
        <v>1</v>
      </c>
      <c r="D23" s="101">
        <f>'25-26'!BK23</f>
        <v>1</v>
      </c>
      <c r="E23" s="101">
        <f>'26-27'!BK23</f>
        <v>1</v>
      </c>
      <c r="F23" s="101">
        <f>'27-28'!BK23</f>
        <v>1</v>
      </c>
      <c r="G23" s="101">
        <f>'28-29'!BK23</f>
        <v>1</v>
      </c>
    </row>
    <row r="24" spans="1:14">
      <c r="A24" s="13" t="s">
        <v>27</v>
      </c>
      <c r="B24" s="5">
        <f>'23-24'!BK24</f>
        <v>0</v>
      </c>
      <c r="C24" s="5">
        <f>'24-25'!BK24</f>
        <v>35</v>
      </c>
      <c r="D24" s="5">
        <f>'25-26'!BK24</f>
        <v>35</v>
      </c>
      <c r="E24" s="5">
        <f>'26-27'!BK24</f>
        <v>35</v>
      </c>
      <c r="F24" s="5">
        <f>'27-28'!BK24</f>
        <v>35</v>
      </c>
      <c r="G24" s="5">
        <f>'28-29'!BK24</f>
        <v>35</v>
      </c>
    </row>
    <row r="25" spans="1:14">
      <c r="A25" s="13"/>
      <c r="B25" s="5"/>
      <c r="C25" s="5"/>
      <c r="D25" s="5"/>
      <c r="E25" s="5"/>
      <c r="F25" s="5"/>
      <c r="G25" s="5"/>
    </row>
    <row r="26" spans="1:14" ht="15">
      <c r="A26" s="24" t="s">
        <v>28</v>
      </c>
      <c r="B26" s="18" t="str">
        <f t="shared" ref="B26:G26" si="5">B1</f>
        <v>23-24</v>
      </c>
      <c r="C26" s="18" t="str">
        <f t="shared" si="5"/>
        <v>24-25</v>
      </c>
      <c r="D26" s="18" t="str">
        <f t="shared" si="5"/>
        <v>25-26</v>
      </c>
      <c r="E26" s="18" t="str">
        <f t="shared" si="5"/>
        <v>26-27</v>
      </c>
      <c r="F26" s="18" t="str">
        <f t="shared" si="5"/>
        <v>27-28</v>
      </c>
      <c r="G26" s="18" t="str">
        <f t="shared" si="5"/>
        <v>28-29</v>
      </c>
    </row>
    <row r="27" spans="1:14">
      <c r="A27" s="25" t="s">
        <v>29</v>
      </c>
      <c r="B27" s="26">
        <f>'23-24'!BK27</f>
        <v>8</v>
      </c>
      <c r="C27" s="26">
        <f>'24-25'!BK27</f>
        <v>11</v>
      </c>
      <c r="D27" s="26">
        <f>'25-26'!BK27</f>
        <v>14</v>
      </c>
      <c r="E27" s="26">
        <f>'26-27'!BK27</f>
        <v>17</v>
      </c>
      <c r="F27" s="26">
        <f>'27-28'!BK27</f>
        <v>20</v>
      </c>
      <c r="G27" s="26">
        <f>'28-29'!BK27</f>
        <v>23</v>
      </c>
    </row>
    <row r="28" spans="1:14">
      <c r="A28" s="25" t="s">
        <v>30</v>
      </c>
      <c r="B28" s="26">
        <f>'23-24'!BK28</f>
        <v>1</v>
      </c>
      <c r="C28" s="26">
        <f>'24-25'!BK28</f>
        <v>1</v>
      </c>
      <c r="D28" s="26">
        <f>'25-26'!BK28</f>
        <v>1</v>
      </c>
      <c r="E28" s="26">
        <f>'26-27'!BK28</f>
        <v>1</v>
      </c>
      <c r="F28" s="26">
        <f>'27-28'!BK28</f>
        <v>1</v>
      </c>
      <c r="G28" s="26">
        <f>'28-29'!BK28</f>
        <v>2</v>
      </c>
    </row>
    <row r="29" spans="1:14">
      <c r="A29" s="25" t="s">
        <v>31</v>
      </c>
      <c r="B29" s="26">
        <f>'23-24'!BK29</f>
        <v>0</v>
      </c>
      <c r="C29" s="26">
        <f>'24-25'!BK29</f>
        <v>0</v>
      </c>
      <c r="D29" s="26">
        <f>'25-26'!BK29</f>
        <v>0</v>
      </c>
      <c r="E29" s="26">
        <f>'26-27'!BK29</f>
        <v>0</v>
      </c>
      <c r="F29" s="26">
        <f>'27-28'!BK29</f>
        <v>0</v>
      </c>
      <c r="G29" s="26">
        <f>'28-29'!BK29</f>
        <v>0</v>
      </c>
    </row>
    <row r="30" spans="1:14">
      <c r="A30" s="25" t="s">
        <v>32</v>
      </c>
      <c r="B30" s="26">
        <f>'23-24'!BK30</f>
        <v>0</v>
      </c>
      <c r="C30" s="26">
        <f>'24-25'!BK30</f>
        <v>0</v>
      </c>
      <c r="D30" s="26">
        <f>'25-26'!BK30</f>
        <v>0</v>
      </c>
      <c r="E30" s="26">
        <f>'26-27'!BK30</f>
        <v>0</v>
      </c>
      <c r="F30" s="26">
        <f>'27-28'!BK30</f>
        <v>0</v>
      </c>
      <c r="G30" s="26">
        <f>'28-29'!BK30</f>
        <v>0</v>
      </c>
    </row>
    <row r="31" spans="1:14">
      <c r="A31" s="25" t="s">
        <v>33</v>
      </c>
      <c r="B31" s="26">
        <f>'23-24'!BK31</f>
        <v>1</v>
      </c>
      <c r="C31" s="26">
        <f>'24-25'!BK31</f>
        <v>1</v>
      </c>
      <c r="D31" s="26">
        <f>'25-26'!BK31</f>
        <v>1</v>
      </c>
      <c r="E31" s="26">
        <f>'26-27'!BK31</f>
        <v>1</v>
      </c>
      <c r="F31" s="26">
        <f>'27-28'!BK31</f>
        <v>1</v>
      </c>
      <c r="G31" s="26">
        <f>'28-29'!BK31</f>
        <v>1</v>
      </c>
    </row>
    <row r="32" spans="1:14">
      <c r="A32" s="28" t="s">
        <v>34</v>
      </c>
      <c r="B32" s="26">
        <f>'23-24'!BK32</f>
        <v>0</v>
      </c>
      <c r="C32" s="26">
        <f>'24-25'!BK32</f>
        <v>1</v>
      </c>
      <c r="D32" s="26">
        <f>'25-26'!BK32</f>
        <v>1</v>
      </c>
      <c r="E32" s="26">
        <f>'26-27'!BK32</f>
        <v>1</v>
      </c>
      <c r="F32" s="26">
        <f>'27-28'!BK32</f>
        <v>1</v>
      </c>
      <c r="G32" s="26">
        <f>'28-29'!BK32</f>
        <v>1</v>
      </c>
    </row>
    <row r="33" spans="1:7">
      <c r="A33" s="28" t="s">
        <v>35</v>
      </c>
      <c r="B33" s="26">
        <f>'23-24'!BK33</f>
        <v>0</v>
      </c>
      <c r="C33" s="26">
        <f>'24-25'!BK33</f>
        <v>0</v>
      </c>
      <c r="D33" s="26">
        <f>'25-26'!BK33</f>
        <v>0</v>
      </c>
      <c r="E33" s="26">
        <f>'26-27'!BK33</f>
        <v>0</v>
      </c>
      <c r="F33" s="26">
        <f>'27-28'!BK33</f>
        <v>0</v>
      </c>
      <c r="G33" s="26">
        <f>'28-29'!BK33</f>
        <v>0</v>
      </c>
    </row>
    <row r="34" spans="1:7">
      <c r="A34" s="28" t="s">
        <v>36</v>
      </c>
      <c r="B34" s="26">
        <f>'23-24'!BK34</f>
        <v>0</v>
      </c>
      <c r="C34" s="26">
        <f>'24-25'!BK34</f>
        <v>0</v>
      </c>
      <c r="D34" s="26">
        <f>'25-26'!BK34</f>
        <v>0</v>
      </c>
      <c r="E34" s="26">
        <f>'26-27'!BK34</f>
        <v>1</v>
      </c>
      <c r="F34" s="26">
        <f>'27-28'!BK34</f>
        <v>1</v>
      </c>
      <c r="G34" s="26">
        <f>'28-29'!BK34</f>
        <v>1</v>
      </c>
    </row>
    <row r="35" spans="1:7">
      <c r="A35" s="29" t="s">
        <v>37</v>
      </c>
      <c r="B35" s="26">
        <f>'23-24'!BK35</f>
        <v>0</v>
      </c>
      <c r="C35" s="26">
        <f>'24-25'!BK35</f>
        <v>0</v>
      </c>
      <c r="D35" s="26">
        <f>'25-26'!BK35</f>
        <v>0</v>
      </c>
      <c r="E35" s="26">
        <f>'26-27'!BK35</f>
        <v>0</v>
      </c>
      <c r="F35" s="26">
        <f>'27-28'!BK35</f>
        <v>0</v>
      </c>
      <c r="G35" s="26">
        <f>'28-29'!BK35</f>
        <v>0</v>
      </c>
    </row>
    <row r="36" spans="1:7" ht="15">
      <c r="A36" s="24" t="s">
        <v>38</v>
      </c>
      <c r="B36" s="30">
        <f t="shared" ref="B36:G36" si="6">SUM(B27:B35)</f>
        <v>10</v>
      </c>
      <c r="C36" s="30">
        <f t="shared" si="6"/>
        <v>14</v>
      </c>
      <c r="D36" s="30">
        <f t="shared" si="6"/>
        <v>17</v>
      </c>
      <c r="E36" s="30">
        <f t="shared" si="6"/>
        <v>21</v>
      </c>
      <c r="F36" s="30">
        <f t="shared" si="6"/>
        <v>24</v>
      </c>
      <c r="G36" s="30">
        <f t="shared" si="6"/>
        <v>28</v>
      </c>
    </row>
    <row r="37" spans="1:7" ht="15">
      <c r="A37" s="31"/>
      <c r="B37" s="5"/>
      <c r="C37" s="5"/>
      <c r="D37" s="5"/>
      <c r="E37" s="5"/>
      <c r="F37" s="5"/>
      <c r="G37" s="5"/>
    </row>
    <row r="38" spans="1:7" ht="15">
      <c r="A38" s="24" t="s">
        <v>39</v>
      </c>
      <c r="B38" s="18" t="str">
        <f t="shared" ref="B38:G38" si="7">B1</f>
        <v>23-24</v>
      </c>
      <c r="C38" s="18" t="str">
        <f t="shared" si="7"/>
        <v>24-25</v>
      </c>
      <c r="D38" s="18" t="str">
        <f t="shared" si="7"/>
        <v>25-26</v>
      </c>
      <c r="E38" s="18" t="str">
        <f t="shared" si="7"/>
        <v>26-27</v>
      </c>
      <c r="F38" s="18" t="str">
        <f t="shared" si="7"/>
        <v>27-28</v>
      </c>
      <c r="G38" s="18" t="str">
        <f t="shared" si="7"/>
        <v>28-29</v>
      </c>
    </row>
    <row r="39" spans="1:7">
      <c r="A39" s="25" t="s">
        <v>40</v>
      </c>
      <c r="B39" s="26">
        <f>'23-24'!BK39</f>
        <v>1</v>
      </c>
      <c r="C39" s="26">
        <f>'24-25'!BK39</f>
        <v>1</v>
      </c>
      <c r="D39" s="26">
        <f>'25-26'!BK39</f>
        <v>1</v>
      </c>
      <c r="E39" s="26">
        <f>'26-27'!BK39</f>
        <v>1</v>
      </c>
      <c r="F39" s="26">
        <f>'27-28'!BK39</f>
        <v>1</v>
      </c>
      <c r="G39" s="26">
        <f>'28-29'!BK39</f>
        <v>1</v>
      </c>
    </row>
    <row r="40" spans="1:7">
      <c r="A40" s="25" t="s">
        <v>41</v>
      </c>
      <c r="B40" s="26">
        <f>'23-24'!BK40</f>
        <v>1</v>
      </c>
      <c r="C40" s="26">
        <f>'24-25'!BK40</f>
        <v>1</v>
      </c>
      <c r="D40" s="26">
        <f>'25-26'!BK40</f>
        <v>1</v>
      </c>
      <c r="E40" s="26">
        <f>'26-27'!BK40</f>
        <v>1</v>
      </c>
      <c r="F40" s="26">
        <f>'27-28'!BK40</f>
        <v>1</v>
      </c>
      <c r="G40" s="26">
        <f>'28-29'!BK40</f>
        <v>1</v>
      </c>
    </row>
    <row r="41" spans="1:7">
      <c r="A41" s="29" t="s">
        <v>42</v>
      </c>
      <c r="B41" s="26">
        <f>'23-24'!BK41</f>
        <v>1</v>
      </c>
      <c r="C41" s="26">
        <f>'24-25'!BK41</f>
        <v>1</v>
      </c>
      <c r="D41" s="26">
        <f>'25-26'!BK41</f>
        <v>1</v>
      </c>
      <c r="E41" s="26">
        <f>'26-27'!BK41</f>
        <v>1</v>
      </c>
      <c r="F41" s="26">
        <f>'27-28'!BK41</f>
        <v>1</v>
      </c>
      <c r="G41" s="26">
        <f>'28-29'!BK41</f>
        <v>1</v>
      </c>
    </row>
    <row r="42" spans="1:7">
      <c r="A42" s="32" t="s">
        <v>43</v>
      </c>
      <c r="B42" s="26">
        <f>'23-24'!BK42</f>
        <v>0</v>
      </c>
      <c r="C42" s="26">
        <f>'24-25'!BK42</f>
        <v>0</v>
      </c>
      <c r="D42" s="26">
        <f>'25-26'!BK42</f>
        <v>0</v>
      </c>
      <c r="E42" s="26">
        <f>'26-27'!BK42</f>
        <v>0</v>
      </c>
      <c r="F42" s="26">
        <f>'27-28'!BK42</f>
        <v>0</v>
      </c>
      <c r="G42" s="26">
        <f>'28-29'!BK42</f>
        <v>0</v>
      </c>
    </row>
    <row r="43" spans="1:7">
      <c r="A43" s="32" t="s">
        <v>44</v>
      </c>
      <c r="B43" s="26">
        <f>'23-24'!BK43</f>
        <v>0</v>
      </c>
      <c r="C43" s="26">
        <f>'24-25'!BK43</f>
        <v>0</v>
      </c>
      <c r="D43" s="26">
        <f>'25-26'!BK43</f>
        <v>0</v>
      </c>
      <c r="E43" s="26">
        <f>'26-27'!BK43</f>
        <v>0</v>
      </c>
      <c r="F43" s="26">
        <f>'27-28'!BK43</f>
        <v>0</v>
      </c>
      <c r="G43" s="26">
        <f>'28-29'!BK43</f>
        <v>0</v>
      </c>
    </row>
    <row r="44" spans="1:7">
      <c r="A44" s="32" t="s">
        <v>45</v>
      </c>
      <c r="B44" s="26">
        <f>'23-24'!BK44</f>
        <v>0</v>
      </c>
      <c r="C44" s="26">
        <f>'24-25'!BK44</f>
        <v>0</v>
      </c>
      <c r="D44" s="26">
        <f>'25-26'!BK44</f>
        <v>0</v>
      </c>
      <c r="E44" s="26">
        <f>'26-27'!BK44</f>
        <v>0</v>
      </c>
      <c r="F44" s="26">
        <f>'27-28'!BK44</f>
        <v>0</v>
      </c>
      <c r="G44" s="26">
        <f>'28-29'!BK44</f>
        <v>0</v>
      </c>
    </row>
    <row r="45" spans="1:7">
      <c r="A45" s="32" t="s">
        <v>46</v>
      </c>
      <c r="B45" s="26">
        <f>'23-24'!BK45</f>
        <v>0</v>
      </c>
      <c r="C45" s="26">
        <f>'24-25'!BK45</f>
        <v>0</v>
      </c>
      <c r="D45" s="26">
        <f>'25-26'!BK45</f>
        <v>0</v>
      </c>
      <c r="E45" s="26">
        <f>'26-27'!BK45</f>
        <v>0</v>
      </c>
      <c r="F45" s="26">
        <f>'27-28'!BK45</f>
        <v>0</v>
      </c>
      <c r="G45" s="26">
        <f>'28-29'!BK45</f>
        <v>0</v>
      </c>
    </row>
    <row r="46" spans="1:7">
      <c r="A46" s="25" t="s">
        <v>47</v>
      </c>
      <c r="B46" s="26">
        <f>'23-24'!BK46</f>
        <v>1</v>
      </c>
      <c r="C46" s="26">
        <f>'24-25'!BK46</f>
        <v>1</v>
      </c>
      <c r="D46" s="26">
        <f>'25-26'!BK46</f>
        <v>1</v>
      </c>
      <c r="E46" s="26">
        <f>'26-27'!BK46</f>
        <v>1</v>
      </c>
      <c r="F46" s="26">
        <f>'27-28'!BK46</f>
        <v>1</v>
      </c>
      <c r="G46" s="26">
        <f>'28-29'!BK46</f>
        <v>1</v>
      </c>
    </row>
    <row r="47" spans="1:7">
      <c r="A47" s="25" t="s">
        <v>48</v>
      </c>
      <c r="B47" s="26">
        <f>'23-24'!BK47</f>
        <v>0</v>
      </c>
      <c r="C47" s="26">
        <f>'24-25'!BK47</f>
        <v>0</v>
      </c>
      <c r="D47" s="26">
        <f>'25-26'!BK47</f>
        <v>0</v>
      </c>
      <c r="E47" s="26">
        <f>'26-27'!BK47</f>
        <v>0</v>
      </c>
      <c r="F47" s="26">
        <f>'27-28'!BK47</f>
        <v>0</v>
      </c>
      <c r="G47" s="26">
        <f>'28-29'!BK47</f>
        <v>0</v>
      </c>
    </row>
    <row r="48" spans="1:7">
      <c r="A48" s="25" t="s">
        <v>49</v>
      </c>
      <c r="B48" s="26">
        <f>'23-24'!BK48</f>
        <v>0</v>
      </c>
      <c r="C48" s="26">
        <f>'24-25'!BK48</f>
        <v>0</v>
      </c>
      <c r="D48" s="26">
        <f>'25-26'!BK48</f>
        <v>0</v>
      </c>
      <c r="E48" s="26">
        <f>'26-27'!BK48</f>
        <v>0</v>
      </c>
      <c r="F48" s="26">
        <f>'27-28'!BK48</f>
        <v>0</v>
      </c>
      <c r="G48" s="26">
        <f>'28-29'!BK48</f>
        <v>0</v>
      </c>
    </row>
    <row r="49" spans="1:7">
      <c r="A49" s="25" t="s">
        <v>50</v>
      </c>
      <c r="B49" s="26">
        <f>'23-24'!BK49</f>
        <v>1</v>
      </c>
      <c r="C49" s="26">
        <f>'24-25'!BK49</f>
        <v>1</v>
      </c>
      <c r="D49" s="26">
        <f>'25-26'!BK49</f>
        <v>1</v>
      </c>
      <c r="E49" s="26">
        <f>'26-27'!BK49</f>
        <v>1</v>
      </c>
      <c r="F49" s="26">
        <f>'27-28'!BK49</f>
        <v>1</v>
      </c>
      <c r="G49" s="26">
        <f>'28-29'!BK49</f>
        <v>1</v>
      </c>
    </row>
    <row r="50" spans="1:7">
      <c r="A50" s="25" t="s">
        <v>51</v>
      </c>
      <c r="B50" s="26">
        <f>'23-24'!BK50</f>
        <v>3</v>
      </c>
      <c r="C50" s="26">
        <f>'24-25'!BK50</f>
        <v>2</v>
      </c>
      <c r="D50" s="26">
        <f>'25-26'!BK50</f>
        <v>2</v>
      </c>
      <c r="E50" s="26">
        <f>'26-27'!BK50</f>
        <v>3</v>
      </c>
      <c r="F50" s="26">
        <f>'27-28'!BK50</f>
        <v>4</v>
      </c>
      <c r="G50" s="26">
        <f>'28-29'!BK50</f>
        <v>5</v>
      </c>
    </row>
    <row r="51" spans="1:7">
      <c r="A51" s="25" t="s">
        <v>52</v>
      </c>
      <c r="B51" s="26">
        <f>'23-24'!BK51</f>
        <v>1</v>
      </c>
      <c r="C51" s="26">
        <f>'24-25'!BK51</f>
        <v>1</v>
      </c>
      <c r="D51" s="26">
        <f>'25-26'!BK51</f>
        <v>1</v>
      </c>
      <c r="E51" s="26">
        <f>'26-27'!BK51</f>
        <v>1</v>
      </c>
      <c r="F51" s="26">
        <f>'27-28'!BK51</f>
        <v>1</v>
      </c>
      <c r="G51" s="26">
        <f>'28-29'!BK51</f>
        <v>1</v>
      </c>
    </row>
    <row r="52" spans="1:7">
      <c r="A52" s="25" t="s">
        <v>53</v>
      </c>
      <c r="B52" s="26">
        <f>'23-24'!BK52</f>
        <v>0</v>
      </c>
      <c r="C52" s="26">
        <f>'24-25'!BK52</f>
        <v>1</v>
      </c>
      <c r="D52" s="26">
        <f>'25-26'!BK52</f>
        <v>1</v>
      </c>
      <c r="E52" s="26">
        <f>'26-27'!BK52</f>
        <v>1</v>
      </c>
      <c r="F52" s="26">
        <f>'27-28'!BK52</f>
        <v>1</v>
      </c>
      <c r="G52" s="26">
        <f>'28-29'!BK52</f>
        <v>1</v>
      </c>
    </row>
    <row r="53" spans="1:7">
      <c r="A53" s="25" t="s">
        <v>54</v>
      </c>
      <c r="B53" s="26">
        <f>'23-24'!BK53</f>
        <v>0</v>
      </c>
      <c r="C53" s="26">
        <f>'24-25'!BK53</f>
        <v>0</v>
      </c>
      <c r="D53" s="26">
        <f>'25-26'!BK53</f>
        <v>0</v>
      </c>
      <c r="E53" s="26">
        <f>'26-27'!BK53</f>
        <v>0</v>
      </c>
      <c r="F53" s="26">
        <f>'27-28'!BK53</f>
        <v>0</v>
      </c>
      <c r="G53" s="26">
        <f>'28-29'!BK53</f>
        <v>0</v>
      </c>
    </row>
    <row r="54" spans="1:7">
      <c r="A54" s="29" t="s">
        <v>55</v>
      </c>
      <c r="B54" s="26">
        <f>'23-24'!BK54</f>
        <v>0</v>
      </c>
      <c r="C54" s="26">
        <f>'24-25'!BK54</f>
        <v>0</v>
      </c>
      <c r="D54" s="26">
        <f>'25-26'!BK54</f>
        <v>0</v>
      </c>
      <c r="E54" s="26">
        <f>'26-27'!BK54</f>
        <v>0</v>
      </c>
      <c r="F54" s="26">
        <f>'27-28'!BK54</f>
        <v>0</v>
      </c>
      <c r="G54" s="26">
        <f>'28-29'!BK54</f>
        <v>0</v>
      </c>
    </row>
    <row r="55" spans="1:7">
      <c r="A55" s="29" t="s">
        <v>56</v>
      </c>
      <c r="B55" s="26">
        <f>'23-24'!BK55</f>
        <v>0</v>
      </c>
      <c r="C55" s="26">
        <f>'24-25'!BK55</f>
        <v>0</v>
      </c>
      <c r="D55" s="26">
        <f>'25-26'!BK55</f>
        <v>0</v>
      </c>
      <c r="E55" s="26">
        <f>'26-27'!BK55</f>
        <v>0</v>
      </c>
      <c r="F55" s="26">
        <f>'27-28'!BK55</f>
        <v>0</v>
      </c>
      <c r="G55" s="26">
        <f>'28-29'!BK55</f>
        <v>0</v>
      </c>
    </row>
    <row r="56" spans="1:7">
      <c r="A56" s="29" t="s">
        <v>57</v>
      </c>
      <c r="B56" s="26">
        <f>'23-24'!BK56</f>
        <v>0</v>
      </c>
      <c r="C56" s="26">
        <f>'24-25'!BK56</f>
        <v>0</v>
      </c>
      <c r="D56" s="26">
        <f>'25-26'!BK56</f>
        <v>0</v>
      </c>
      <c r="E56" s="26">
        <f>'26-27'!BK56</f>
        <v>0</v>
      </c>
      <c r="F56" s="26">
        <f>'27-28'!BK56</f>
        <v>0</v>
      </c>
      <c r="G56" s="26">
        <f>'28-29'!BK56</f>
        <v>0</v>
      </c>
    </row>
    <row r="57" spans="1:7">
      <c r="A57" s="29" t="s">
        <v>58</v>
      </c>
      <c r="B57" s="26">
        <f>'23-24'!BK57</f>
        <v>0</v>
      </c>
      <c r="C57" s="26">
        <f>'24-25'!BK57</f>
        <v>0</v>
      </c>
      <c r="D57" s="26">
        <f>'25-26'!BK57</f>
        <v>0</v>
      </c>
      <c r="E57" s="26">
        <f>'26-27'!BK57</f>
        <v>0</v>
      </c>
      <c r="F57" s="26">
        <f>'27-28'!BK57</f>
        <v>0</v>
      </c>
      <c r="G57" s="26">
        <f>'28-29'!BK57</f>
        <v>0</v>
      </c>
    </row>
    <row r="58" spans="1:7">
      <c r="A58" s="29" t="s">
        <v>59</v>
      </c>
      <c r="B58" s="26">
        <f>'23-24'!BK58</f>
        <v>0</v>
      </c>
      <c r="C58" s="26">
        <f>'24-25'!BK58</f>
        <v>0</v>
      </c>
      <c r="D58" s="26">
        <f>'25-26'!BK58</f>
        <v>0</v>
      </c>
      <c r="E58" s="26">
        <f>'26-27'!BK58</f>
        <v>0</v>
      </c>
      <c r="F58" s="26">
        <f>'27-28'!BK58</f>
        <v>0</v>
      </c>
      <c r="G58" s="26">
        <f>'28-29'!BK58</f>
        <v>0</v>
      </c>
    </row>
    <row r="59" spans="1:7">
      <c r="A59" s="29" t="s">
        <v>60</v>
      </c>
      <c r="B59" s="26">
        <f>'23-24'!BK59</f>
        <v>0</v>
      </c>
      <c r="C59" s="26">
        <f>'24-25'!BK59</f>
        <v>0</v>
      </c>
      <c r="D59" s="26">
        <f>'25-26'!BK59</f>
        <v>0</v>
      </c>
      <c r="E59" s="26">
        <f>'26-27'!BK59</f>
        <v>0</v>
      </c>
      <c r="F59" s="26">
        <f>'27-28'!BK59</f>
        <v>0</v>
      </c>
      <c r="G59" s="26">
        <f>'28-29'!BK59</f>
        <v>0</v>
      </c>
    </row>
    <row r="60" spans="1:7">
      <c r="A60" s="25" t="s">
        <v>61</v>
      </c>
      <c r="B60" s="26">
        <f>'23-24'!BK60</f>
        <v>0</v>
      </c>
      <c r="C60" s="26">
        <f>'24-25'!BK60</f>
        <v>0</v>
      </c>
      <c r="D60" s="26">
        <f>'25-26'!BK60</f>
        <v>0</v>
      </c>
      <c r="E60" s="26">
        <f>'26-27'!BK60</f>
        <v>0</v>
      </c>
      <c r="F60" s="26">
        <f>'27-28'!BK60</f>
        <v>0</v>
      </c>
      <c r="G60" s="26">
        <f>'28-29'!BK60</f>
        <v>0</v>
      </c>
    </row>
    <row r="61" spans="1:7" ht="15">
      <c r="A61" s="24" t="s">
        <v>62</v>
      </c>
      <c r="B61" s="33">
        <f t="shared" ref="B61:G61" si="8">SUM(B39:B60)</f>
        <v>9</v>
      </c>
      <c r="C61" s="33">
        <f t="shared" si="8"/>
        <v>9</v>
      </c>
      <c r="D61" s="33">
        <f t="shared" si="8"/>
        <v>9</v>
      </c>
      <c r="E61" s="33">
        <f t="shared" si="8"/>
        <v>10</v>
      </c>
      <c r="F61" s="33">
        <f t="shared" si="8"/>
        <v>11</v>
      </c>
      <c r="G61" s="33">
        <f t="shared" si="8"/>
        <v>12</v>
      </c>
    </row>
    <row r="62" spans="1:7" ht="15.75" thickBot="1">
      <c r="A62" s="34"/>
      <c r="B62" s="35"/>
      <c r="C62" s="35"/>
      <c r="D62" s="35"/>
      <c r="E62" s="35"/>
      <c r="F62" s="35"/>
      <c r="G62" s="35"/>
    </row>
    <row r="63" spans="1:7" ht="15">
      <c r="A63" s="36" t="s">
        <v>63</v>
      </c>
      <c r="B63" s="37">
        <f t="shared" ref="B63:G63" si="9">B36</f>
        <v>10</v>
      </c>
      <c r="C63" s="37">
        <f t="shared" si="9"/>
        <v>14</v>
      </c>
      <c r="D63" s="37">
        <f t="shared" si="9"/>
        <v>17</v>
      </c>
      <c r="E63" s="37">
        <f t="shared" si="9"/>
        <v>21</v>
      </c>
      <c r="F63" s="37">
        <f t="shared" si="9"/>
        <v>24</v>
      </c>
      <c r="G63" s="37">
        <f t="shared" si="9"/>
        <v>28</v>
      </c>
    </row>
    <row r="64" spans="1:7" ht="15">
      <c r="A64" s="38" t="s">
        <v>64</v>
      </c>
      <c r="B64" s="39">
        <f t="shared" ref="B64:G64" si="10">B61</f>
        <v>9</v>
      </c>
      <c r="C64" s="39">
        <f t="shared" si="10"/>
        <v>9</v>
      </c>
      <c r="D64" s="39">
        <f t="shared" si="10"/>
        <v>9</v>
      </c>
      <c r="E64" s="39">
        <f t="shared" si="10"/>
        <v>10</v>
      </c>
      <c r="F64" s="39">
        <f t="shared" si="10"/>
        <v>11</v>
      </c>
      <c r="G64" s="39">
        <f t="shared" si="10"/>
        <v>12</v>
      </c>
    </row>
    <row r="65" spans="1:7" ht="15.75" thickBot="1">
      <c r="A65" s="40" t="s">
        <v>65</v>
      </c>
      <c r="B65" s="41">
        <f t="shared" ref="B65:G65" si="11">SUM(B63:B64)</f>
        <v>19</v>
      </c>
      <c r="C65" s="41">
        <f t="shared" si="11"/>
        <v>23</v>
      </c>
      <c r="D65" s="41">
        <f t="shared" si="11"/>
        <v>26</v>
      </c>
      <c r="E65" s="41">
        <f t="shared" si="11"/>
        <v>31</v>
      </c>
      <c r="F65" s="41">
        <f t="shared" si="11"/>
        <v>35</v>
      </c>
      <c r="G65" s="41">
        <f t="shared" si="11"/>
        <v>40</v>
      </c>
    </row>
    <row r="66" spans="1:7">
      <c r="A66" s="29"/>
      <c r="B66" s="42"/>
      <c r="C66" s="42"/>
      <c r="D66" s="42"/>
      <c r="E66" s="42"/>
      <c r="F66" s="42"/>
      <c r="G66" s="42"/>
    </row>
    <row r="67" spans="1:7" ht="15">
      <c r="A67" s="43" t="s">
        <v>66</v>
      </c>
      <c r="B67" s="45">
        <f t="shared" ref="B67:G67" si="12">B142/(B211+B213+B214+B215+B216+B217)</f>
        <v>0.55624478445517322</v>
      </c>
      <c r="C67" s="45">
        <f t="shared" si="12"/>
        <v>0.58555009971498451</v>
      </c>
      <c r="D67" s="45">
        <f t="shared" si="12"/>
        <v>0.56772424892087414</v>
      </c>
      <c r="E67" s="45">
        <f t="shared" si="12"/>
        <v>0.56865933200536101</v>
      </c>
      <c r="F67" s="45">
        <f t="shared" si="12"/>
        <v>0.55445155493727249</v>
      </c>
      <c r="G67" s="45">
        <f t="shared" si="12"/>
        <v>0.55959017526338961</v>
      </c>
    </row>
    <row r="68" spans="1:7" ht="15">
      <c r="A68" s="43" t="s">
        <v>67</v>
      </c>
      <c r="B68" s="45">
        <f t="shared" ref="B68:G68" si="13">(B114+B115+B118+B128)/B132</f>
        <v>0.69579073651430912</v>
      </c>
      <c r="C68" s="45">
        <f t="shared" si="13"/>
        <v>0.72092553769702616</v>
      </c>
      <c r="D68" s="45">
        <f t="shared" si="13"/>
        <v>0.75639321624448297</v>
      </c>
      <c r="E68" s="45">
        <f t="shared" si="13"/>
        <v>0.79501367304574788</v>
      </c>
      <c r="F68" s="45">
        <f t="shared" si="13"/>
        <v>0.81765010524783521</v>
      </c>
      <c r="G68" s="45">
        <f t="shared" si="13"/>
        <v>0.84012874811802651</v>
      </c>
    </row>
    <row r="69" spans="1:7" ht="15">
      <c r="A69" s="43" t="s">
        <v>68</v>
      </c>
      <c r="B69" s="45">
        <f t="shared" ref="B69:G69" si="14">(B107+B108+B109+B112+B116+B117+B119+B120++B123+B124+B125+B126+B127+B129+B130)/B132</f>
        <v>0.30420926348569094</v>
      </c>
      <c r="C69" s="45">
        <f t="shared" si="14"/>
        <v>0.27907446230297384</v>
      </c>
      <c r="D69" s="45">
        <f t="shared" si="14"/>
        <v>0.24360678375551703</v>
      </c>
      <c r="E69" s="45">
        <f t="shared" si="14"/>
        <v>0.20498632695425206</v>
      </c>
      <c r="F69" s="45">
        <f t="shared" si="14"/>
        <v>0.18234989475216482</v>
      </c>
      <c r="G69" s="45">
        <f t="shared" si="14"/>
        <v>0.15987125188197338</v>
      </c>
    </row>
    <row r="70" spans="1:7" ht="15">
      <c r="A70" s="43" t="s">
        <v>69</v>
      </c>
      <c r="B70" s="45">
        <f t="shared" ref="B70:G70" si="15">(B214+B215+B216+B217+B213)/B97</f>
        <v>6.0056110484282436E-2</v>
      </c>
      <c r="C70" s="45">
        <f t="shared" si="15"/>
        <v>6.3400527023316278E-2</v>
      </c>
      <c r="D70" s="45">
        <f t="shared" si="15"/>
        <v>6.5278506081103305E-2</v>
      </c>
      <c r="E70" s="45">
        <f t="shared" si="15"/>
        <v>6.6898262910753389E-2</v>
      </c>
      <c r="F70" s="45">
        <f t="shared" si="15"/>
        <v>6.8384110451490357E-2</v>
      </c>
      <c r="G70" s="45">
        <f t="shared" si="15"/>
        <v>6.9828336917517345E-2</v>
      </c>
    </row>
    <row r="71" spans="1:7" ht="15" thickBot="1">
      <c r="B71" s="42"/>
      <c r="C71" s="42"/>
      <c r="D71" s="42"/>
      <c r="E71" s="42"/>
      <c r="F71" s="42"/>
      <c r="G71" s="42"/>
    </row>
    <row r="72" spans="1:7" ht="15.75" thickBot="1">
      <c r="A72" s="46" t="s">
        <v>70</v>
      </c>
      <c r="B72" s="47" t="str">
        <f t="shared" ref="B72:G72" si="16">B1</f>
        <v>23-24</v>
      </c>
      <c r="C72" s="47" t="str">
        <f t="shared" si="16"/>
        <v>24-25</v>
      </c>
      <c r="D72" s="47" t="str">
        <f t="shared" si="16"/>
        <v>25-26</v>
      </c>
      <c r="E72" s="47" t="str">
        <f t="shared" si="16"/>
        <v>26-27</v>
      </c>
      <c r="F72" s="47" t="str">
        <f t="shared" si="16"/>
        <v>27-28</v>
      </c>
      <c r="G72" s="47" t="str">
        <f t="shared" si="16"/>
        <v>28-29</v>
      </c>
    </row>
    <row r="73" spans="1:7" ht="15">
      <c r="A73" s="48" t="s">
        <v>71</v>
      </c>
      <c r="B73" s="49"/>
      <c r="C73" s="49"/>
      <c r="D73" s="49"/>
      <c r="E73" s="49"/>
      <c r="F73" s="49"/>
      <c r="G73" s="49"/>
    </row>
    <row r="74" spans="1:7">
      <c r="A74" s="29" t="s">
        <v>72</v>
      </c>
      <c r="B74" s="5">
        <f>'23-24'!BK74</f>
        <v>1649744</v>
      </c>
      <c r="C74" s="5">
        <f>'24-25'!BK74</f>
        <v>2504124</v>
      </c>
      <c r="D74" s="5">
        <f>'25-26'!BK74</f>
        <v>3306030</v>
      </c>
      <c r="E74" s="5">
        <f>'26-27'!BK74</f>
        <v>4083700</v>
      </c>
      <c r="F74" s="5">
        <f>'27-28'!BK74</f>
        <v>4885600</v>
      </c>
      <c r="G74" s="5">
        <f>'28-29'!BK74</f>
        <v>5708858</v>
      </c>
    </row>
    <row r="75" spans="1:7">
      <c r="A75" s="29" t="s">
        <v>73</v>
      </c>
      <c r="B75" s="5">
        <f>'23-24'!BK75</f>
        <v>0</v>
      </c>
      <c r="C75" s="5">
        <f>'24-25'!BK75</f>
        <v>93192</v>
      </c>
      <c r="D75" s="5">
        <f>'25-26'!BK75</f>
        <v>121219.66917293232</v>
      </c>
      <c r="E75" s="5">
        <f>'26-27'!BK75</f>
        <v>147495.60902255637</v>
      </c>
      <c r="F75" s="5">
        <f>'27-28'!BK75</f>
        <v>173771.54887218046</v>
      </c>
      <c r="G75" s="5">
        <f>'28-29'!BK75</f>
        <v>200047.48872180452</v>
      </c>
    </row>
    <row r="76" spans="1:7">
      <c r="A76" s="29" t="s">
        <v>74</v>
      </c>
      <c r="B76" s="5">
        <f>'23-24'!BK76</f>
        <v>0</v>
      </c>
      <c r="C76" s="5">
        <f>'24-25'!BK76</f>
        <v>0</v>
      </c>
      <c r="D76" s="5">
        <f>'25-26'!BK76</f>
        <v>0</v>
      </c>
      <c r="E76" s="5">
        <f>'26-27'!BK76</f>
        <v>0</v>
      </c>
      <c r="F76" s="5">
        <f>'27-28'!BK76</f>
        <v>0</v>
      </c>
      <c r="G76" s="5">
        <f>'28-29'!BK76</f>
        <v>0</v>
      </c>
    </row>
    <row r="77" spans="1:7">
      <c r="A77" s="29" t="s">
        <v>75</v>
      </c>
      <c r="B77" s="5">
        <f>'23-24'!BK77</f>
        <v>0</v>
      </c>
      <c r="C77" s="5">
        <f>'24-25'!BK77</f>
        <v>115290</v>
      </c>
      <c r="D77" s="5">
        <f>'25-26'!BK77</f>
        <v>115290</v>
      </c>
      <c r="E77" s="5">
        <f>'26-27'!BK77</f>
        <v>115290</v>
      </c>
      <c r="F77" s="5">
        <f>'27-28'!BK77</f>
        <v>115290</v>
      </c>
      <c r="G77" s="5">
        <f>'28-29'!BK77</f>
        <v>115290</v>
      </c>
    </row>
    <row r="78" spans="1:7">
      <c r="A78" s="29" t="s">
        <v>76</v>
      </c>
      <c r="B78" s="5">
        <f>'23-24'!BK78</f>
        <v>0</v>
      </c>
      <c r="C78" s="5">
        <f>'24-25'!BK78</f>
        <v>0</v>
      </c>
      <c r="D78" s="5">
        <f>'25-26'!BK78</f>
        <v>0</v>
      </c>
      <c r="E78" s="5">
        <f>'26-27'!BK78</f>
        <v>0</v>
      </c>
      <c r="F78" s="5">
        <f>'27-28'!BK78</f>
        <v>0</v>
      </c>
      <c r="G78" s="5">
        <f>'28-29'!BK78</f>
        <v>0</v>
      </c>
    </row>
    <row r="79" spans="1:7">
      <c r="A79" s="29" t="s">
        <v>77</v>
      </c>
      <c r="B79" s="5">
        <f>'23-24'!BK79</f>
        <v>57600</v>
      </c>
      <c r="C79" s="5">
        <f>'24-25'!BK79</f>
        <v>65280</v>
      </c>
      <c r="D79" s="5">
        <f>'25-26'!BK79</f>
        <v>84028.571428571435</v>
      </c>
      <c r="E79" s="5">
        <f>'26-27'!BK79</f>
        <v>102242.85714285714</v>
      </c>
      <c r="F79" s="5">
        <f>'27-28'!BK79</f>
        <v>120457.14285714286</v>
      </c>
      <c r="G79" s="5">
        <f>'28-29'!BK79</f>
        <v>138671.42857142855</v>
      </c>
    </row>
    <row r="80" spans="1:7" ht="15">
      <c r="A80" s="54" t="s">
        <v>78</v>
      </c>
      <c r="B80" s="55">
        <f t="shared" ref="B80:G80" si="17">SUM(B74:B79)</f>
        <v>1707344</v>
      </c>
      <c r="C80" s="55">
        <f t="shared" si="17"/>
        <v>2777886</v>
      </c>
      <c r="D80" s="55">
        <f t="shared" si="17"/>
        <v>3626568.2406015038</v>
      </c>
      <c r="E80" s="55">
        <f t="shared" si="17"/>
        <v>4448728.4661654141</v>
      </c>
      <c r="F80" s="55">
        <f t="shared" si="17"/>
        <v>5295118.691729323</v>
      </c>
      <c r="G80" s="55">
        <f t="shared" si="17"/>
        <v>6162866.9172932329</v>
      </c>
    </row>
    <row r="81" spans="1:7" ht="15">
      <c r="A81" s="56" t="s">
        <v>79</v>
      </c>
      <c r="B81" s="49"/>
      <c r="C81" s="49"/>
      <c r="D81" s="49"/>
      <c r="E81" s="49"/>
      <c r="F81" s="49"/>
      <c r="G81" s="49"/>
    </row>
    <row r="82" spans="1:7">
      <c r="A82" s="29" t="s">
        <v>80</v>
      </c>
      <c r="B82" s="5">
        <f>'23-24'!BK82</f>
        <v>3599</v>
      </c>
      <c r="C82" s="5">
        <f>'24-25'!BK82</f>
        <v>16150</v>
      </c>
      <c r="D82" s="5">
        <f>'25-26'!BK82</f>
        <v>24324.060150375939</v>
      </c>
      <c r="E82" s="5">
        <f>'26-27'!BK82</f>
        <v>29596.616541353382</v>
      </c>
      <c r="F82" s="5">
        <f>'27-28'!BK82</f>
        <v>34869.172932330825</v>
      </c>
      <c r="G82" s="5">
        <f>'28-29'!BK82</f>
        <v>40141.729323308267</v>
      </c>
    </row>
    <row r="83" spans="1:7">
      <c r="A83" s="29" t="s">
        <v>81</v>
      </c>
      <c r="B83" s="5">
        <f>'23-24'!BK83</f>
        <v>70227.648000000001</v>
      </c>
      <c r="C83" s="5">
        <f>'24-25'!BK83</f>
        <v>101524.75199999999</v>
      </c>
      <c r="D83" s="5">
        <f>'25-26'!BK83</f>
        <v>132058.51200000002</v>
      </c>
      <c r="E83" s="5">
        <f>'26-27'!BK83</f>
        <v>160683.91200000001</v>
      </c>
      <c r="F83" s="5">
        <f>'27-28'!BK83</f>
        <v>189309.31200000001</v>
      </c>
      <c r="G83" s="5">
        <f>'28-29'!BK83</f>
        <v>217934.712</v>
      </c>
    </row>
    <row r="84" spans="1:7">
      <c r="A84" s="29" t="s">
        <v>82</v>
      </c>
      <c r="B84" s="5">
        <f>'23-24'!BK84</f>
        <v>139107.31200000001</v>
      </c>
      <c r="C84" s="5">
        <f>'24-25'!BK84</f>
        <v>201100.788</v>
      </c>
      <c r="D84" s="5">
        <f>'25-26'!BK84</f>
        <v>261582.228</v>
      </c>
      <c r="E84" s="5">
        <f>'26-27'!BK84</f>
        <v>318283.57799999998</v>
      </c>
      <c r="F84" s="5">
        <f>'27-28'!BK84</f>
        <v>374984.92800000001</v>
      </c>
      <c r="G84" s="5">
        <f>'28-29'!BK84</f>
        <v>431686.27800000005</v>
      </c>
    </row>
    <row r="85" spans="1:7">
      <c r="A85" s="29" t="s">
        <v>4</v>
      </c>
      <c r="B85" s="5">
        <f>'23-24'!BK85</f>
        <v>46193</v>
      </c>
      <c r="C85" s="5">
        <f>'24-25'!BK85</f>
        <v>0</v>
      </c>
      <c r="D85" s="5">
        <f>'25-26'!BK85</f>
        <v>0</v>
      </c>
      <c r="E85" s="5">
        <f>'26-27'!BK85</f>
        <v>0</v>
      </c>
      <c r="F85" s="5">
        <f>'27-28'!BK85</f>
        <v>0</v>
      </c>
      <c r="G85" s="5">
        <f>'28-29'!BK85</f>
        <v>0</v>
      </c>
    </row>
    <row r="86" spans="1:7">
      <c r="A86" s="29" t="s">
        <v>83</v>
      </c>
      <c r="B86" s="5">
        <f>'23-24'!BK86</f>
        <v>0</v>
      </c>
      <c r="C86" s="5">
        <f>'24-25'!BK86</f>
        <v>0</v>
      </c>
      <c r="D86" s="5">
        <f>'25-26'!BK86</f>
        <v>0</v>
      </c>
      <c r="E86" s="5">
        <f>'26-27'!BK86</f>
        <v>0</v>
      </c>
      <c r="F86" s="5">
        <f>'27-28'!BK86</f>
        <v>0</v>
      </c>
      <c r="G86" s="5">
        <f>'28-29'!BK86</f>
        <v>0</v>
      </c>
    </row>
    <row r="87" spans="1:7">
      <c r="A87" s="29" t="s">
        <v>6</v>
      </c>
      <c r="B87" s="5">
        <f>'23-24'!BK87</f>
        <v>0</v>
      </c>
      <c r="C87" s="5">
        <f>'24-25'!BK87</f>
        <v>0</v>
      </c>
      <c r="D87" s="5">
        <f>'25-26'!BK87</f>
        <v>0</v>
      </c>
      <c r="E87" s="5">
        <f>'26-27'!BK87</f>
        <v>0</v>
      </c>
      <c r="F87" s="5">
        <f>'27-28'!BK87</f>
        <v>0</v>
      </c>
      <c r="G87" s="5">
        <f>'28-29'!BK87</f>
        <v>0</v>
      </c>
    </row>
    <row r="88" spans="1:7">
      <c r="A88" s="29" t="s">
        <v>84</v>
      </c>
      <c r="B88" s="5">
        <f>'23-24'!BK88</f>
        <v>0</v>
      </c>
      <c r="C88" s="5">
        <f>'24-25'!BK88</f>
        <v>0</v>
      </c>
      <c r="D88" s="5">
        <f>'25-26'!BK88</f>
        <v>0</v>
      </c>
      <c r="E88" s="5">
        <f>'26-27'!BK88</f>
        <v>0</v>
      </c>
      <c r="F88" s="5">
        <f>'27-28'!BK88</f>
        <v>0</v>
      </c>
      <c r="G88" s="5">
        <f>'28-29'!BK88</f>
        <v>0</v>
      </c>
    </row>
    <row r="89" spans="1:7">
      <c r="A89" s="29" t="s">
        <v>85</v>
      </c>
      <c r="B89" s="5">
        <f>'23-24'!BK89</f>
        <v>0</v>
      </c>
      <c r="C89" s="5">
        <f>'24-25'!BK89</f>
        <v>0</v>
      </c>
      <c r="D89" s="5">
        <f>'25-26'!BK89</f>
        <v>0</v>
      </c>
      <c r="E89" s="5">
        <f>'26-27'!BK89</f>
        <v>0</v>
      </c>
      <c r="F89" s="5">
        <f>'27-28'!BK89</f>
        <v>0</v>
      </c>
      <c r="G89" s="5">
        <f>'28-29'!BK89</f>
        <v>0</v>
      </c>
    </row>
    <row r="90" spans="1:7" ht="15">
      <c r="A90" s="54" t="s">
        <v>86</v>
      </c>
      <c r="B90" s="55">
        <f t="shared" ref="B90:G90" si="18">SUM(B82:B88)</f>
        <v>259126.96000000002</v>
      </c>
      <c r="C90" s="55">
        <f t="shared" si="18"/>
        <v>318775.53999999998</v>
      </c>
      <c r="D90" s="55">
        <f t="shared" si="18"/>
        <v>417964.80015037593</v>
      </c>
      <c r="E90" s="55">
        <f t="shared" si="18"/>
        <v>508564.10654135339</v>
      </c>
      <c r="F90" s="55">
        <f t="shared" si="18"/>
        <v>599163.41293233086</v>
      </c>
      <c r="G90" s="55">
        <f t="shared" si="18"/>
        <v>689762.71932330832</v>
      </c>
    </row>
    <row r="91" spans="1:7" ht="15">
      <c r="A91" s="56" t="s">
        <v>87</v>
      </c>
      <c r="B91" s="49"/>
      <c r="C91" s="49"/>
      <c r="D91" s="49"/>
      <c r="E91" s="49"/>
      <c r="F91" s="49"/>
      <c r="G91" s="49"/>
    </row>
    <row r="92" spans="1:7">
      <c r="A92" s="29" t="s">
        <v>88</v>
      </c>
      <c r="B92" s="5">
        <f>'23-24'!BK92</f>
        <v>0</v>
      </c>
      <c r="C92" s="5">
        <f>'24-25'!BK92</f>
        <v>0</v>
      </c>
      <c r="D92" s="5">
        <f>'25-26'!BK92</f>
        <v>0</v>
      </c>
      <c r="E92" s="5">
        <f>'26-27'!BK92</f>
        <v>0</v>
      </c>
      <c r="F92" s="5">
        <f>'27-28'!BK92</f>
        <v>0</v>
      </c>
      <c r="G92" s="5">
        <f>'28-29'!BK92</f>
        <v>0</v>
      </c>
    </row>
    <row r="93" spans="1:7">
      <c r="A93" s="29" t="s">
        <v>89</v>
      </c>
      <c r="B93" s="5">
        <f>'23-24'!BK93</f>
        <v>25000</v>
      </c>
      <c r="C93" s="5">
        <f>'24-25'!BK93</f>
        <v>50000</v>
      </c>
      <c r="D93" s="5">
        <f>'25-26'!BK93</f>
        <v>50000</v>
      </c>
      <c r="E93" s="5">
        <f>'26-27'!BK93</f>
        <v>50000</v>
      </c>
      <c r="F93" s="5">
        <f>'27-28'!BK93</f>
        <v>50000</v>
      </c>
      <c r="G93" s="5">
        <f>'28-29'!BK93</f>
        <v>50000</v>
      </c>
    </row>
    <row r="94" spans="1:7">
      <c r="A94" s="29" t="s">
        <v>90</v>
      </c>
      <c r="B94" s="5">
        <f>'23-24'!BK94</f>
        <v>0</v>
      </c>
      <c r="C94" s="5">
        <f>'24-25'!BK94</f>
        <v>0</v>
      </c>
      <c r="D94" s="5">
        <f>'25-26'!BK94</f>
        <v>0</v>
      </c>
      <c r="E94" s="5">
        <f>'26-27'!BK94</f>
        <v>0</v>
      </c>
      <c r="F94" s="5">
        <f>'27-28'!BK94</f>
        <v>0</v>
      </c>
      <c r="G94" s="5">
        <f>'28-29'!BK94</f>
        <v>0</v>
      </c>
    </row>
    <row r="95" spans="1:7">
      <c r="A95" s="29" t="s">
        <v>91</v>
      </c>
      <c r="B95" s="5">
        <f>'23-24'!BK95</f>
        <v>0</v>
      </c>
      <c r="C95" s="5">
        <f>'24-25'!BK95</f>
        <v>0</v>
      </c>
      <c r="D95" s="5">
        <f>'25-26'!BK95</f>
        <v>0</v>
      </c>
      <c r="E95" s="5">
        <f>'26-27'!BK95</f>
        <v>0</v>
      </c>
      <c r="F95" s="5">
        <f>'27-28'!BK95</f>
        <v>0</v>
      </c>
      <c r="G95" s="5">
        <f>'28-29'!BK95</f>
        <v>0</v>
      </c>
    </row>
    <row r="96" spans="1:7" ht="15">
      <c r="A96" s="54" t="s">
        <v>92</v>
      </c>
      <c r="B96" s="55">
        <f t="shared" ref="B96:G96" si="19">SUM(B92:B95)</f>
        <v>25000</v>
      </c>
      <c r="C96" s="55">
        <f t="shared" si="19"/>
        <v>50000</v>
      </c>
      <c r="D96" s="55">
        <f t="shared" si="19"/>
        <v>50000</v>
      </c>
      <c r="E96" s="55">
        <f t="shared" si="19"/>
        <v>50000</v>
      </c>
      <c r="F96" s="55">
        <f t="shared" si="19"/>
        <v>50000</v>
      </c>
      <c r="G96" s="55">
        <f t="shared" si="19"/>
        <v>50000</v>
      </c>
    </row>
    <row r="97" spans="1:7" ht="15">
      <c r="A97" s="58" t="s">
        <v>93</v>
      </c>
      <c r="B97" s="59">
        <f t="shared" ref="B97:G97" si="20">B80+B90+B96</f>
        <v>1991470.96</v>
      </c>
      <c r="C97" s="59">
        <f t="shared" si="20"/>
        <v>3146661.54</v>
      </c>
      <c r="D97" s="59">
        <f t="shared" si="20"/>
        <v>4094533.0407518796</v>
      </c>
      <c r="E97" s="59">
        <f t="shared" si="20"/>
        <v>5007292.5727067674</v>
      </c>
      <c r="F97" s="59">
        <f t="shared" si="20"/>
        <v>5944282.1046616537</v>
      </c>
      <c r="G97" s="59">
        <f t="shared" si="20"/>
        <v>6902629.6366165411</v>
      </c>
    </row>
    <row r="98" spans="1:7" ht="15">
      <c r="A98" s="56" t="s">
        <v>94</v>
      </c>
      <c r="B98" s="49"/>
      <c r="C98" s="49"/>
      <c r="D98" s="49"/>
      <c r="E98" s="49"/>
      <c r="F98" s="49"/>
      <c r="G98" s="49"/>
    </row>
    <row r="99" spans="1:7">
      <c r="A99" s="29" t="s">
        <v>95</v>
      </c>
      <c r="B99" s="5">
        <f>'23-24'!BK99</f>
        <v>425000</v>
      </c>
      <c r="C99" s="5">
        <f>'24-25'!BK99</f>
        <v>0</v>
      </c>
      <c r="D99" s="5">
        <f>'25-26'!BK99</f>
        <v>0</v>
      </c>
      <c r="E99" s="5">
        <f>'26-27'!BK99</f>
        <v>0</v>
      </c>
      <c r="F99" s="5">
        <f>'27-28'!BK99</f>
        <v>0</v>
      </c>
      <c r="G99" s="5">
        <f>'28-29'!BK99</f>
        <v>0</v>
      </c>
    </row>
    <row r="100" spans="1:7">
      <c r="A100" s="29" t="s">
        <v>96</v>
      </c>
      <c r="B100" s="5">
        <f>'23-24'!BK100</f>
        <v>0</v>
      </c>
      <c r="C100" s="5">
        <f>'24-25'!BK100</f>
        <v>0</v>
      </c>
      <c r="D100" s="5">
        <f>'25-26'!BK100</f>
        <v>0</v>
      </c>
      <c r="E100" s="5">
        <f>'26-27'!BK100</f>
        <v>0</v>
      </c>
      <c r="F100" s="5">
        <f>'27-28'!BK100</f>
        <v>0</v>
      </c>
      <c r="G100" s="5">
        <f>'28-29'!BK100</f>
        <v>0</v>
      </c>
    </row>
    <row r="101" spans="1:7">
      <c r="A101" s="29" t="s">
        <v>264</v>
      </c>
      <c r="B101" s="5">
        <f>'23-24'!BK101</f>
        <v>0</v>
      </c>
      <c r="C101" s="5">
        <f>'24-25'!BK101</f>
        <v>0</v>
      </c>
      <c r="D101" s="5">
        <f>'25-26'!BK101</f>
        <v>0</v>
      </c>
      <c r="E101" s="5">
        <f>'26-27'!BK101</f>
        <v>0</v>
      </c>
      <c r="F101" s="5">
        <f>'27-28'!BK101</f>
        <v>0</v>
      </c>
      <c r="G101" s="5">
        <f>'28-29'!BK101</f>
        <v>0</v>
      </c>
    </row>
    <row r="102" spans="1:7">
      <c r="A102" s="29"/>
      <c r="B102" s="5">
        <f>'23-24'!BK102</f>
        <v>0</v>
      </c>
      <c r="C102" s="5">
        <f>'24-25'!BK102</f>
        <v>0</v>
      </c>
      <c r="D102" s="5">
        <f>'25-26'!BK102</f>
        <v>0</v>
      </c>
      <c r="E102" s="5">
        <f>'26-27'!BK102</f>
        <v>0</v>
      </c>
      <c r="F102" s="5">
        <f>'27-28'!BK102</f>
        <v>0</v>
      </c>
      <c r="G102" s="5">
        <f>'28-29'!BK102</f>
        <v>0</v>
      </c>
    </row>
    <row r="103" spans="1:7" ht="15">
      <c r="A103" s="54" t="s">
        <v>97</v>
      </c>
      <c r="B103" s="55">
        <f t="shared" ref="B103:G103" si="21">SUM(B99:B102)</f>
        <v>425000</v>
      </c>
      <c r="C103" s="55">
        <f t="shared" si="21"/>
        <v>0</v>
      </c>
      <c r="D103" s="55">
        <f t="shared" si="21"/>
        <v>0</v>
      </c>
      <c r="E103" s="55">
        <f t="shared" si="21"/>
        <v>0</v>
      </c>
      <c r="F103" s="55">
        <f t="shared" si="21"/>
        <v>0</v>
      </c>
      <c r="G103" s="55">
        <f t="shared" si="21"/>
        <v>0</v>
      </c>
    </row>
    <row r="104" spans="1:7" ht="15" thickBot="1">
      <c r="A104" s="29"/>
      <c r="B104" s="42"/>
      <c r="C104" s="42"/>
      <c r="D104" s="42"/>
      <c r="E104" s="42"/>
      <c r="F104" s="42"/>
      <c r="G104" s="42"/>
    </row>
    <row r="105" spans="1:7" ht="15.75" thickBot="1">
      <c r="A105" s="60" t="s">
        <v>98</v>
      </c>
      <c r="B105" s="61" t="str">
        <f t="shared" ref="B105:G105" si="22">B1</f>
        <v>23-24</v>
      </c>
      <c r="C105" s="61" t="str">
        <f t="shared" si="22"/>
        <v>24-25</v>
      </c>
      <c r="D105" s="61" t="str">
        <f t="shared" si="22"/>
        <v>25-26</v>
      </c>
      <c r="E105" s="61" t="str">
        <f t="shared" si="22"/>
        <v>26-27</v>
      </c>
      <c r="F105" s="61" t="str">
        <f t="shared" si="22"/>
        <v>27-28</v>
      </c>
      <c r="G105" s="61" t="str">
        <f t="shared" si="22"/>
        <v>28-29</v>
      </c>
    </row>
    <row r="106" spans="1:7" ht="15">
      <c r="A106" s="48" t="s">
        <v>99</v>
      </c>
      <c r="B106" s="49"/>
      <c r="C106" s="49"/>
      <c r="D106" s="49"/>
      <c r="E106" s="49"/>
      <c r="F106" s="49"/>
      <c r="G106" s="49"/>
    </row>
    <row r="107" spans="1:7">
      <c r="A107" s="29" t="s">
        <v>40</v>
      </c>
      <c r="B107" s="5">
        <f>'23-24'!BK107</f>
        <v>0</v>
      </c>
      <c r="C107" s="5">
        <f>'24-25'!BK107</f>
        <v>0</v>
      </c>
      <c r="D107" s="5">
        <f>'25-26'!BK107</f>
        <v>0</v>
      </c>
      <c r="E107" s="5">
        <f>'26-27'!BK107</f>
        <v>0</v>
      </c>
      <c r="F107" s="5">
        <f>'27-28'!BK107</f>
        <v>0</v>
      </c>
      <c r="G107" s="5">
        <f>'28-29'!BK107</f>
        <v>0</v>
      </c>
    </row>
    <row r="108" spans="1:7">
      <c r="A108" s="29" t="s">
        <v>100</v>
      </c>
      <c r="B108" s="5">
        <f>'23-24'!BK108</f>
        <v>110000.00000000001</v>
      </c>
      <c r="C108" s="5">
        <f>'24-25'!BK108</f>
        <v>118450</v>
      </c>
      <c r="D108" s="5">
        <f>'25-26'!BK108</f>
        <v>120226.74999999999</v>
      </c>
      <c r="E108" s="5">
        <f>'26-27'!BK108</f>
        <v>122030.15124999997</v>
      </c>
      <c r="F108" s="5">
        <f>'27-28'!BK108</f>
        <v>123860.60351874995</v>
      </c>
      <c r="G108" s="5">
        <f>'28-29'!BK108</f>
        <v>125718.51257153119</v>
      </c>
    </row>
    <row r="109" spans="1:7">
      <c r="A109" s="29" t="s">
        <v>42</v>
      </c>
      <c r="B109" s="5">
        <f>'23-24'!BK109</f>
        <v>70000</v>
      </c>
      <c r="C109" s="5">
        <f>'24-25'!BK109</f>
        <v>72100</v>
      </c>
      <c r="D109" s="5">
        <f>'25-26'!BK109</f>
        <v>73181.5</v>
      </c>
      <c r="E109" s="5">
        <f>'26-27'!BK109</f>
        <v>74279.222499999989</v>
      </c>
      <c r="F109" s="5">
        <f>'27-28'!BK109</f>
        <v>75393.410837499978</v>
      </c>
      <c r="G109" s="5">
        <f>'28-29'!BK109</f>
        <v>76524.312000062477</v>
      </c>
    </row>
    <row r="110" spans="1:7">
      <c r="A110" s="32" t="s">
        <v>43</v>
      </c>
      <c r="B110" s="5">
        <f>'23-24'!BK110</f>
        <v>0</v>
      </c>
      <c r="C110" s="5">
        <f>'24-25'!BK110</f>
        <v>0</v>
      </c>
      <c r="D110" s="5">
        <f>'25-26'!BK110</f>
        <v>0</v>
      </c>
      <c r="E110" s="5">
        <f>'26-27'!BK110</f>
        <v>0</v>
      </c>
      <c r="F110" s="5">
        <f>'27-28'!BK110</f>
        <v>0</v>
      </c>
      <c r="G110" s="5">
        <f>'28-29'!BK110</f>
        <v>0</v>
      </c>
    </row>
    <row r="111" spans="1:7">
      <c r="A111" s="32" t="s">
        <v>44</v>
      </c>
      <c r="B111" s="5">
        <f>'23-24'!BK111</f>
        <v>0</v>
      </c>
      <c r="C111" s="5">
        <f>'24-25'!BK111</f>
        <v>0</v>
      </c>
      <c r="D111" s="5">
        <f>'25-26'!BK111</f>
        <v>0</v>
      </c>
      <c r="E111" s="5">
        <f>'26-27'!BK111</f>
        <v>0</v>
      </c>
      <c r="F111" s="5">
        <f>'27-28'!BK111</f>
        <v>0</v>
      </c>
      <c r="G111" s="5">
        <f>'28-29'!BK111</f>
        <v>0</v>
      </c>
    </row>
    <row r="112" spans="1:7">
      <c r="A112" s="29" t="s">
        <v>101</v>
      </c>
      <c r="B112" s="5">
        <f>'23-24'!BK112</f>
        <v>0</v>
      </c>
      <c r="C112" s="5">
        <f>'24-25'!BK112</f>
        <v>0</v>
      </c>
      <c r="D112" s="5">
        <f>'25-26'!BK112</f>
        <v>0</v>
      </c>
      <c r="E112" s="5">
        <f>'26-27'!BK112</f>
        <v>0</v>
      </c>
      <c r="F112" s="5">
        <f>'27-28'!BK112</f>
        <v>0</v>
      </c>
      <c r="G112" s="5">
        <f>'28-29'!BK112</f>
        <v>0</v>
      </c>
    </row>
    <row r="113" spans="1:7">
      <c r="A113" s="29" t="s">
        <v>102</v>
      </c>
      <c r="B113" s="5">
        <f>'23-24'!BK113</f>
        <v>0</v>
      </c>
      <c r="C113" s="5">
        <f>'24-25'!BK113</f>
        <v>0</v>
      </c>
      <c r="D113" s="5">
        <f>'25-26'!BK113</f>
        <v>0</v>
      </c>
      <c r="E113" s="5">
        <f>'26-27'!BK113</f>
        <v>0</v>
      </c>
      <c r="F113" s="5">
        <f>'27-28'!BK113</f>
        <v>0</v>
      </c>
      <c r="G113" s="5">
        <f>'28-29'!BK113</f>
        <v>0</v>
      </c>
    </row>
    <row r="114" spans="1:7">
      <c r="A114" s="29" t="s">
        <v>103</v>
      </c>
      <c r="B114" s="5">
        <f>'23-24'!BK114</f>
        <v>540000</v>
      </c>
      <c r="C114" s="5">
        <f>'24-25'!BK114</f>
        <v>806000</v>
      </c>
      <c r="D114" s="5">
        <f>'25-26'!BK114</f>
        <v>1008000</v>
      </c>
      <c r="E114" s="5">
        <f>'26-27'!BK114</f>
        <v>1280000</v>
      </c>
      <c r="F114" s="5">
        <f>'27-28'!BK114</f>
        <v>1495000</v>
      </c>
      <c r="G114" s="5">
        <f>'28-29'!BK114</f>
        <v>1716000</v>
      </c>
    </row>
    <row r="115" spans="1:7">
      <c r="A115" s="29" t="s">
        <v>30</v>
      </c>
      <c r="B115" s="5">
        <f>'23-24'!BK115</f>
        <v>60000</v>
      </c>
      <c r="C115" s="5">
        <f>'24-25'!BK115</f>
        <v>62000</v>
      </c>
      <c r="D115" s="5">
        <f>'25-26'!BK115</f>
        <v>63000</v>
      </c>
      <c r="E115" s="5">
        <f>'26-27'!BK115</f>
        <v>64000</v>
      </c>
      <c r="F115" s="5">
        <f>'27-28'!BK115</f>
        <v>65000</v>
      </c>
      <c r="G115" s="5">
        <f>'28-29'!BK115</f>
        <v>132000</v>
      </c>
    </row>
    <row r="116" spans="1:7">
      <c r="A116" s="29" t="s">
        <v>104</v>
      </c>
      <c r="B116" s="5">
        <f>'23-24'!BK116</f>
        <v>50000</v>
      </c>
      <c r="C116" s="5">
        <f>'24-25'!BK116</f>
        <v>51500</v>
      </c>
      <c r="D116" s="5">
        <f>'25-26'!BK116</f>
        <v>52272.499999999993</v>
      </c>
      <c r="E116" s="5">
        <f>'26-27'!BK116</f>
        <v>53056.587499999987</v>
      </c>
      <c r="F116" s="5">
        <f>'27-28'!BK116</f>
        <v>53852.43631249998</v>
      </c>
      <c r="G116" s="5">
        <f>'28-29'!BK116</f>
        <v>54660.222857187473</v>
      </c>
    </row>
    <row r="117" spans="1:7">
      <c r="A117" s="29" t="s">
        <v>105</v>
      </c>
      <c r="B117" s="5">
        <f>'23-24'!BK117</f>
        <v>30400</v>
      </c>
      <c r="C117" s="5">
        <f>'24-25'!BK117</f>
        <v>31920</v>
      </c>
      <c r="D117" s="5">
        <f>'25-26'!BK117</f>
        <v>32300</v>
      </c>
      <c r="E117" s="5">
        <f>'26-27'!BK117</f>
        <v>32680</v>
      </c>
      <c r="F117" s="5">
        <f>'27-28'!BK117</f>
        <v>33060</v>
      </c>
      <c r="G117" s="5">
        <f>'28-29'!BK117</f>
        <v>33440</v>
      </c>
    </row>
    <row r="118" spans="1:7">
      <c r="A118" s="29" t="s">
        <v>106</v>
      </c>
      <c r="B118" s="5">
        <f>'23-24'!BK118</f>
        <v>92201.5</v>
      </c>
      <c r="C118" s="5">
        <f>'24-25'!BK118</f>
        <v>60480</v>
      </c>
      <c r="D118" s="5">
        <f>'25-26'!BK118</f>
        <v>61200</v>
      </c>
      <c r="E118" s="5">
        <f>'26-27'!BK118</f>
        <v>90720</v>
      </c>
      <c r="F118" s="5">
        <f>'27-28'!BK118</f>
        <v>122760</v>
      </c>
      <c r="G118" s="5">
        <f>'28-29'!BK118</f>
        <v>152640</v>
      </c>
    </row>
    <row r="119" spans="1:7">
      <c r="A119" s="29" t="s">
        <v>107</v>
      </c>
      <c r="B119" s="5">
        <f>'23-24'!BK119</f>
        <v>42240</v>
      </c>
      <c r="C119" s="5">
        <f>'24-25'!BK119</f>
        <v>56650</v>
      </c>
      <c r="D119" s="5">
        <f>'25-26'!BK119</f>
        <v>57499.749999999993</v>
      </c>
      <c r="E119" s="5">
        <f>'26-27'!BK119</f>
        <v>58362.246249999989</v>
      </c>
      <c r="F119" s="5">
        <f>'27-28'!BK119</f>
        <v>59237.679943749987</v>
      </c>
      <c r="G119" s="5">
        <f>'28-29'!BK119</f>
        <v>60126.245142906228</v>
      </c>
    </row>
    <row r="120" spans="1:7">
      <c r="A120" s="29" t="s">
        <v>53</v>
      </c>
      <c r="B120" s="5">
        <f>'23-24'!BK120</f>
        <v>0</v>
      </c>
      <c r="C120" s="5">
        <f>'24-25'!BK120</f>
        <v>28800</v>
      </c>
      <c r="D120" s="5">
        <f>'25-26'!BK120</f>
        <v>29160</v>
      </c>
      <c r="E120" s="5">
        <f>'26-27'!BK120</f>
        <v>29520</v>
      </c>
      <c r="F120" s="5">
        <f>'27-28'!BK120</f>
        <v>29880</v>
      </c>
      <c r="G120" s="5">
        <f>'28-29'!BK120</f>
        <v>30240</v>
      </c>
    </row>
    <row r="121" spans="1:7" ht="15">
      <c r="A121" s="64" t="s">
        <v>108</v>
      </c>
      <c r="B121" s="65">
        <f t="shared" ref="B121:G121" si="23">SUM(B107:B120)</f>
        <v>994841.5</v>
      </c>
      <c r="C121" s="65">
        <f t="shared" si="23"/>
        <v>1287900</v>
      </c>
      <c r="D121" s="65">
        <f t="shared" si="23"/>
        <v>1496840.5</v>
      </c>
      <c r="E121" s="65">
        <f t="shared" si="23"/>
        <v>1804648.2075</v>
      </c>
      <c r="F121" s="65">
        <f t="shared" si="23"/>
        <v>2058044.1306124998</v>
      </c>
      <c r="G121" s="65">
        <f t="shared" si="23"/>
        <v>2381349.2925716876</v>
      </c>
    </row>
    <row r="122" spans="1:7" ht="15">
      <c r="A122" s="66" t="s">
        <v>109</v>
      </c>
      <c r="B122" s="49"/>
      <c r="C122" s="49"/>
      <c r="D122" s="49"/>
      <c r="E122" s="49"/>
      <c r="F122" s="49"/>
      <c r="G122" s="49"/>
    </row>
    <row r="123" spans="1:7">
      <c r="A123" s="29" t="s">
        <v>55</v>
      </c>
      <c r="B123" s="5">
        <f>'23-24'!BK123</f>
        <v>0</v>
      </c>
      <c r="C123" s="5">
        <f>'24-25'!BK123</f>
        <v>0</v>
      </c>
      <c r="D123" s="5">
        <f>'25-26'!BK123</f>
        <v>0</v>
      </c>
      <c r="E123" s="5">
        <f>'26-27'!BK123</f>
        <v>0</v>
      </c>
      <c r="F123" s="5">
        <f>'27-28'!BK123</f>
        <v>0</v>
      </c>
      <c r="G123" s="5">
        <f>'28-29'!BK123</f>
        <v>0</v>
      </c>
    </row>
    <row r="124" spans="1:7">
      <c r="A124" s="29" t="s">
        <v>56</v>
      </c>
      <c r="B124" s="5">
        <f>'23-24'!BK124</f>
        <v>0</v>
      </c>
      <c r="C124" s="5">
        <f>'24-25'!BK124</f>
        <v>0</v>
      </c>
      <c r="D124" s="5">
        <f>'25-26'!BK124</f>
        <v>0</v>
      </c>
      <c r="E124" s="5">
        <f>'26-27'!BK124</f>
        <v>0</v>
      </c>
      <c r="F124" s="5">
        <f>'27-28'!BK124</f>
        <v>0</v>
      </c>
      <c r="G124" s="5">
        <f>'28-29'!BK124</f>
        <v>0</v>
      </c>
    </row>
    <row r="125" spans="1:7">
      <c r="A125" s="29" t="s">
        <v>57</v>
      </c>
      <c r="B125" s="5">
        <f>'23-24'!BK125</f>
        <v>0</v>
      </c>
      <c r="C125" s="5">
        <f>'24-25'!BK125</f>
        <v>0</v>
      </c>
      <c r="D125" s="5">
        <f>'25-26'!BK125</f>
        <v>0</v>
      </c>
      <c r="E125" s="5">
        <f>'26-27'!BK125</f>
        <v>0</v>
      </c>
      <c r="F125" s="5">
        <f>'27-28'!BK125</f>
        <v>0</v>
      </c>
      <c r="G125" s="5">
        <f>'28-29'!BK125</f>
        <v>0</v>
      </c>
    </row>
    <row r="126" spans="1:7">
      <c r="A126" s="29" t="s">
        <v>110</v>
      </c>
      <c r="B126" s="5">
        <f>'23-24'!BK126</f>
        <v>0</v>
      </c>
      <c r="C126" s="5">
        <f>'24-25'!BK126</f>
        <v>0</v>
      </c>
      <c r="D126" s="5">
        <f>'25-26'!BK126</f>
        <v>0</v>
      </c>
      <c r="E126" s="5">
        <f>'26-27'!BK126</f>
        <v>0</v>
      </c>
      <c r="F126" s="5">
        <f>'27-28'!BK126</f>
        <v>0</v>
      </c>
      <c r="G126" s="5">
        <f>'28-29'!BK126</f>
        <v>0</v>
      </c>
    </row>
    <row r="127" spans="1:7">
      <c r="A127" s="29" t="s">
        <v>59</v>
      </c>
      <c r="B127" s="5">
        <f>'23-24'!BK127</f>
        <v>0</v>
      </c>
      <c r="C127" s="5">
        <f>'24-25'!BK127</f>
        <v>0</v>
      </c>
      <c r="D127" s="5">
        <f>'25-26'!BK127</f>
        <v>0</v>
      </c>
      <c r="E127" s="5">
        <f>'26-27'!BK127</f>
        <v>0</v>
      </c>
      <c r="F127" s="5">
        <f>'27-28'!BK127</f>
        <v>0</v>
      </c>
      <c r="G127" s="5">
        <f>'28-29'!BK127</f>
        <v>0</v>
      </c>
    </row>
    <row r="128" spans="1:7">
      <c r="A128" s="29" t="s">
        <v>111</v>
      </c>
      <c r="B128" s="5">
        <f>'23-24'!BK128</f>
        <v>0</v>
      </c>
      <c r="C128" s="5">
        <f>'24-25'!BK128</f>
        <v>0</v>
      </c>
      <c r="D128" s="5">
        <f>'25-26'!BK128</f>
        <v>0</v>
      </c>
      <c r="E128" s="5">
        <f>'26-27'!BK128</f>
        <v>0</v>
      </c>
      <c r="F128" s="5">
        <f>'27-28'!BK128</f>
        <v>0</v>
      </c>
      <c r="G128" s="5">
        <f>'28-29'!BK128</f>
        <v>0</v>
      </c>
    </row>
    <row r="129" spans="1:7">
      <c r="A129" s="29" t="s">
        <v>112</v>
      </c>
      <c r="B129" s="5">
        <f>'23-24'!BK129</f>
        <v>0</v>
      </c>
      <c r="C129" s="5">
        <f>'24-25'!BK129</f>
        <v>0</v>
      </c>
      <c r="D129" s="5">
        <f>'25-26'!BK129</f>
        <v>0</v>
      </c>
      <c r="E129" s="5">
        <f>'26-27'!BK129</f>
        <v>0</v>
      </c>
      <c r="F129" s="5">
        <f>'27-28'!BK129</f>
        <v>0</v>
      </c>
      <c r="G129" s="5">
        <f>'28-29'!BK129</f>
        <v>0</v>
      </c>
    </row>
    <row r="130" spans="1:7">
      <c r="A130" s="29" t="s">
        <v>60</v>
      </c>
      <c r="B130" s="5">
        <f>'23-24'!BK130</f>
        <v>0</v>
      </c>
      <c r="C130" s="5">
        <f>'24-25'!BK130</f>
        <v>0</v>
      </c>
      <c r="D130" s="5">
        <f>'25-26'!BK130</f>
        <v>0</v>
      </c>
      <c r="E130" s="5">
        <f>'26-27'!BK130</f>
        <v>0</v>
      </c>
      <c r="F130" s="5">
        <f>'27-28'!BK130</f>
        <v>0</v>
      </c>
      <c r="G130" s="5">
        <f>'28-29'!BK130</f>
        <v>0</v>
      </c>
    </row>
    <row r="131" spans="1:7" ht="15">
      <c r="A131" s="68" t="s">
        <v>113</v>
      </c>
      <c r="B131" s="69">
        <f t="shared" ref="B131:G131" si="24">SUM(B123:B130)</f>
        <v>0</v>
      </c>
      <c r="C131" s="69">
        <f t="shared" si="24"/>
        <v>0</v>
      </c>
      <c r="D131" s="69">
        <f t="shared" si="24"/>
        <v>0</v>
      </c>
      <c r="E131" s="69">
        <f t="shared" si="24"/>
        <v>0</v>
      </c>
      <c r="F131" s="69">
        <f t="shared" si="24"/>
        <v>0</v>
      </c>
      <c r="G131" s="69">
        <f t="shared" si="24"/>
        <v>0</v>
      </c>
    </row>
    <row r="132" spans="1:7" ht="15">
      <c r="A132" s="70" t="s">
        <v>114</v>
      </c>
      <c r="B132" s="71">
        <f t="shared" ref="B132:G132" si="25">B121+B131</f>
        <v>994841.5</v>
      </c>
      <c r="C132" s="71">
        <f t="shared" si="25"/>
        <v>1287900</v>
      </c>
      <c r="D132" s="71">
        <f t="shared" si="25"/>
        <v>1496840.5</v>
      </c>
      <c r="E132" s="71">
        <f t="shared" si="25"/>
        <v>1804648.2075</v>
      </c>
      <c r="F132" s="71">
        <f t="shared" si="25"/>
        <v>2058044.1306124998</v>
      </c>
      <c r="G132" s="71">
        <f t="shared" si="25"/>
        <v>2381349.2925716876</v>
      </c>
    </row>
    <row r="133" spans="1:7">
      <c r="A133" s="29" t="s">
        <v>115</v>
      </c>
      <c r="B133" s="5">
        <f>'23-24'!BK133</f>
        <v>323623.90250000003</v>
      </c>
      <c r="C133" s="5">
        <f>'24-25'!BK133</f>
        <v>431446.5</v>
      </c>
      <c r="D133" s="5">
        <f>'25-26'!BK133</f>
        <v>501441.5675</v>
      </c>
      <c r="E133" s="5">
        <f>'26-27'!BK133</f>
        <v>604557.14951250004</v>
      </c>
      <c r="F133" s="5">
        <f>'27-28'!BK133</f>
        <v>689444.78375518753</v>
      </c>
      <c r="G133" s="5">
        <f>'28-29'!BK133</f>
        <v>797752.01301151537</v>
      </c>
    </row>
    <row r="134" spans="1:7">
      <c r="A134" s="29" t="s">
        <v>116</v>
      </c>
      <c r="B134" s="5">
        <f>'23-24'!BK134</f>
        <v>139266.91499999998</v>
      </c>
      <c r="C134" s="5">
        <f>'24-25'!BK134</f>
        <v>194081.55000000002</v>
      </c>
      <c r="D134" s="5">
        <f>'25-26'!BK134</f>
        <v>224526.07499999998</v>
      </c>
      <c r="E134" s="5">
        <f>'26-27'!BK134</f>
        <v>275208.85164374998</v>
      </c>
      <c r="F134" s="5">
        <f>'27-28'!BK134</f>
        <v>318996.84024493751</v>
      </c>
      <c r="G134" s="5">
        <f>'28-29'!BK134</f>
        <v>375062.51358004077</v>
      </c>
    </row>
    <row r="135" spans="1:7">
      <c r="A135" s="29" t="s">
        <v>117</v>
      </c>
      <c r="B135" s="5">
        <f>'23-24'!BK135</f>
        <v>6105</v>
      </c>
      <c r="C135" s="5">
        <f>'24-25'!BK135</f>
        <v>20515</v>
      </c>
      <c r="D135" s="5">
        <f>'25-26'!BK135</f>
        <v>23155</v>
      </c>
      <c r="E135" s="5">
        <f>'26-27'!BK135</f>
        <v>27175</v>
      </c>
      <c r="F135" s="5">
        <f>'27-28'!BK135</f>
        <v>30215</v>
      </c>
      <c r="G135" s="5">
        <f>'28-29'!BK135</f>
        <v>34455</v>
      </c>
    </row>
    <row r="136" spans="1:7">
      <c r="A136" s="29" t="s">
        <v>118</v>
      </c>
      <c r="B136" s="5">
        <f>'23-24'!BK136</f>
        <v>3750</v>
      </c>
      <c r="C136" s="5">
        <f>'24-25'!BK136</f>
        <v>4650</v>
      </c>
      <c r="D136" s="5">
        <f>'25-26'!BK136</f>
        <v>5100</v>
      </c>
      <c r="E136" s="5">
        <f>'26-27'!BK136</f>
        <v>5850</v>
      </c>
      <c r="F136" s="5">
        <f>'27-28'!BK136</f>
        <v>6450</v>
      </c>
      <c r="G136" s="5">
        <f>'28-29'!BK136</f>
        <v>7200</v>
      </c>
    </row>
    <row r="137" spans="1:7">
      <c r="A137" s="29" t="s">
        <v>119</v>
      </c>
      <c r="B137" s="5">
        <f>'23-24'!BK137</f>
        <v>0</v>
      </c>
      <c r="C137" s="5">
        <f>'24-25'!BK137</f>
        <v>0</v>
      </c>
      <c r="D137" s="5">
        <f>'25-26'!BK137</f>
        <v>0</v>
      </c>
      <c r="E137" s="5">
        <f>'26-27'!BK137</f>
        <v>0</v>
      </c>
      <c r="F137" s="5">
        <f>'27-28'!BK137</f>
        <v>0</v>
      </c>
      <c r="G137" s="5">
        <f>'28-29'!BK137</f>
        <v>0</v>
      </c>
    </row>
    <row r="138" spans="1:7">
      <c r="A138" s="29" t="s">
        <v>120</v>
      </c>
      <c r="B138" s="5">
        <f>'23-24'!BK138</f>
        <v>0</v>
      </c>
      <c r="C138" s="5">
        <f>'24-25'!BK138</f>
        <v>0</v>
      </c>
      <c r="D138" s="5">
        <f>'25-26'!BK138</f>
        <v>0</v>
      </c>
      <c r="E138" s="5">
        <f>'26-27'!BK138</f>
        <v>0</v>
      </c>
      <c r="F138" s="5">
        <f>'27-28'!BK138</f>
        <v>0</v>
      </c>
      <c r="G138" s="5">
        <f>'28-29'!BK138</f>
        <v>0</v>
      </c>
    </row>
    <row r="139" spans="1:7">
      <c r="A139" s="29" t="s">
        <v>121</v>
      </c>
      <c r="B139" s="5">
        <f>'23-24'!BK139</f>
        <v>2500</v>
      </c>
      <c r="C139" s="5">
        <f>'24-25'!BK139</f>
        <v>2500</v>
      </c>
      <c r="D139" s="5">
        <f>'25-26'!BK139</f>
        <v>2500</v>
      </c>
      <c r="E139" s="5">
        <f>'26-27'!BK139</f>
        <v>2500</v>
      </c>
      <c r="F139" s="5">
        <f>'27-28'!BK139</f>
        <v>2500</v>
      </c>
      <c r="G139" s="5">
        <f>'28-29'!BK139</f>
        <v>2500</v>
      </c>
    </row>
    <row r="140" spans="1:7">
      <c r="A140" s="29" t="s">
        <v>122</v>
      </c>
      <c r="B140" s="5">
        <f>'23-24'!BK140</f>
        <v>20350</v>
      </c>
      <c r="C140" s="5">
        <f>'24-25'!BK140</f>
        <v>29260</v>
      </c>
      <c r="D140" s="5">
        <f>'25-26'!BK140</f>
        <v>35530</v>
      </c>
      <c r="E140" s="5">
        <f>'26-27'!BK140</f>
        <v>43890</v>
      </c>
      <c r="F140" s="5">
        <f>'27-28'!BK140</f>
        <v>50160</v>
      </c>
      <c r="G140" s="5">
        <f>'28-29'!BK140</f>
        <v>58520</v>
      </c>
    </row>
    <row r="141" spans="1:7" ht="15">
      <c r="A141" s="73" t="s">
        <v>123</v>
      </c>
      <c r="B141" s="74">
        <f t="shared" ref="B141:G141" si="26">SUM(B133:B140)</f>
        <v>495595.8175</v>
      </c>
      <c r="C141" s="74">
        <f t="shared" si="26"/>
        <v>682453.05</v>
      </c>
      <c r="D141" s="74">
        <f t="shared" si="26"/>
        <v>792252.64249999996</v>
      </c>
      <c r="E141" s="74">
        <f t="shared" si="26"/>
        <v>959181.00115625001</v>
      </c>
      <c r="F141" s="74">
        <f t="shared" si="26"/>
        <v>1097766.6240001251</v>
      </c>
      <c r="G141" s="74">
        <f t="shared" si="26"/>
        <v>1275489.5265915561</v>
      </c>
    </row>
    <row r="142" spans="1:7" ht="15">
      <c r="A142" s="70" t="s">
        <v>124</v>
      </c>
      <c r="B142" s="71">
        <f t="shared" ref="B142:G142" si="27">B132+B141</f>
        <v>1490437.3174999999</v>
      </c>
      <c r="C142" s="71">
        <f t="shared" si="27"/>
        <v>1970353.05</v>
      </c>
      <c r="D142" s="71">
        <f t="shared" si="27"/>
        <v>2289093.1425000001</v>
      </c>
      <c r="E142" s="71">
        <f t="shared" si="27"/>
        <v>2763829.20865625</v>
      </c>
      <c r="F142" s="71">
        <f t="shared" si="27"/>
        <v>3155810.7546126246</v>
      </c>
      <c r="G142" s="71">
        <f t="shared" si="27"/>
        <v>3656838.8191632438</v>
      </c>
    </row>
    <row r="143" spans="1:7" ht="15">
      <c r="A143" s="75" t="s">
        <v>125</v>
      </c>
      <c r="B143" s="18" t="str">
        <f t="shared" ref="B143:G143" si="28">B1</f>
        <v>23-24</v>
      </c>
      <c r="C143" s="18" t="str">
        <f t="shared" si="28"/>
        <v>24-25</v>
      </c>
      <c r="D143" s="18" t="str">
        <f t="shared" si="28"/>
        <v>25-26</v>
      </c>
      <c r="E143" s="18" t="str">
        <f t="shared" si="28"/>
        <v>26-27</v>
      </c>
      <c r="F143" s="18" t="str">
        <f t="shared" si="28"/>
        <v>27-28</v>
      </c>
      <c r="G143" s="18" t="str">
        <f t="shared" si="28"/>
        <v>28-29</v>
      </c>
    </row>
    <row r="144" spans="1:7">
      <c r="A144" s="76" t="s">
        <v>126</v>
      </c>
      <c r="B144" s="5">
        <f>'23-24'!BK144</f>
        <v>15000</v>
      </c>
      <c r="C144" s="5">
        <f>'24-25'!BK144</f>
        <v>57750</v>
      </c>
      <c r="D144" s="5">
        <f>'25-26'!BK144</f>
        <v>72660</v>
      </c>
      <c r="E144" s="5">
        <f>'26-27'!BK144</f>
        <v>88410</v>
      </c>
      <c r="F144" s="5">
        <f>'27-28'!BK144</f>
        <v>104160</v>
      </c>
      <c r="G144" s="5">
        <f>'28-29'!BK144</f>
        <v>119910</v>
      </c>
    </row>
    <row r="145" spans="1:7">
      <c r="A145" s="77" t="s">
        <v>127</v>
      </c>
      <c r="B145" s="5">
        <f>'23-24'!BK145</f>
        <v>0</v>
      </c>
      <c r="C145" s="5">
        <f>'24-25'!BK145</f>
        <v>0</v>
      </c>
      <c r="D145" s="5">
        <f>'25-26'!BK145</f>
        <v>0</v>
      </c>
      <c r="E145" s="5">
        <f>'26-27'!BK145</f>
        <v>0</v>
      </c>
      <c r="F145" s="5">
        <f>'27-28'!BK145</f>
        <v>0</v>
      </c>
      <c r="G145" s="5">
        <f>'28-29'!BK145</f>
        <v>0</v>
      </c>
    </row>
    <row r="146" spans="1:7">
      <c r="A146" s="29" t="s">
        <v>128</v>
      </c>
      <c r="B146" s="5">
        <f>'23-24'!BK146</f>
        <v>425000</v>
      </c>
      <c r="C146" s="5">
        <f>'24-25'!BK146</f>
        <v>130000</v>
      </c>
      <c r="D146" s="5">
        <f>'25-26'!BK146</f>
        <v>130000</v>
      </c>
      <c r="E146" s="5">
        <f>'26-27'!BK146</f>
        <v>130000</v>
      </c>
      <c r="F146" s="5">
        <f>'27-28'!BK146</f>
        <v>130000</v>
      </c>
      <c r="G146" s="5">
        <f>'28-29'!BK146</f>
        <v>130000</v>
      </c>
    </row>
    <row r="147" spans="1:7">
      <c r="A147" s="29" t="s">
        <v>129</v>
      </c>
      <c r="B147" s="5">
        <f>'23-24'!BK147</f>
        <v>7100</v>
      </c>
      <c r="C147" s="5">
        <f>'24-25'!BK147</f>
        <v>9150</v>
      </c>
      <c r="D147" s="5">
        <f>'25-26'!BK147</f>
        <v>11150</v>
      </c>
      <c r="E147" s="5">
        <f>'26-27'!BK147</f>
        <v>13025</v>
      </c>
      <c r="F147" s="5">
        <f>'27-28'!BK147</f>
        <v>14900</v>
      </c>
      <c r="G147" s="5">
        <f>'28-29'!BK147</f>
        <v>16775</v>
      </c>
    </row>
    <row r="148" spans="1:7">
      <c r="A148" s="29" t="s">
        <v>130</v>
      </c>
      <c r="B148" s="5">
        <f>'23-24'!BK148</f>
        <v>7360</v>
      </c>
      <c r="C148" s="5">
        <f>'24-25'!BK148</f>
        <v>10640</v>
      </c>
      <c r="D148" s="5">
        <f>'25-26'!BK148</f>
        <v>13840</v>
      </c>
      <c r="E148" s="5">
        <f>'26-27'!BK148</f>
        <v>16840</v>
      </c>
      <c r="F148" s="5">
        <f>'27-28'!BK148</f>
        <v>19840</v>
      </c>
      <c r="G148" s="5">
        <f>'28-29'!BK148</f>
        <v>22840</v>
      </c>
    </row>
    <row r="149" spans="1:7">
      <c r="A149" s="29" t="s">
        <v>131</v>
      </c>
      <c r="B149" s="5">
        <f>'23-24'!BK149</f>
        <v>2760</v>
      </c>
      <c r="C149" s="5">
        <f>'24-25'!BK149</f>
        <v>3990</v>
      </c>
      <c r="D149" s="5">
        <f>'25-26'!BK149</f>
        <v>5190</v>
      </c>
      <c r="E149" s="5">
        <f>'26-27'!BK149</f>
        <v>6315</v>
      </c>
      <c r="F149" s="5">
        <f>'27-28'!BK149</f>
        <v>7440</v>
      </c>
      <c r="G149" s="5">
        <f>'28-29'!BK149</f>
        <v>8565</v>
      </c>
    </row>
    <row r="150" spans="1:7">
      <c r="A150" s="29" t="s">
        <v>132</v>
      </c>
      <c r="B150" s="5">
        <f>'23-24'!BK150</f>
        <v>1472</v>
      </c>
      <c r="C150" s="5">
        <f>'24-25'!BK150</f>
        <v>2128</v>
      </c>
      <c r="D150" s="5">
        <f>'25-26'!BK150</f>
        <v>2768</v>
      </c>
      <c r="E150" s="5">
        <f>'26-27'!BK150</f>
        <v>3368</v>
      </c>
      <c r="F150" s="5">
        <f>'27-28'!BK150</f>
        <v>3968</v>
      </c>
      <c r="G150" s="5">
        <f>'28-29'!BK150</f>
        <v>4568</v>
      </c>
    </row>
    <row r="151" spans="1:7">
      <c r="A151" s="29" t="s">
        <v>133</v>
      </c>
      <c r="B151" s="5">
        <f>'23-24'!BK151</f>
        <v>2250</v>
      </c>
      <c r="C151" s="5">
        <f>'24-25'!BK151</f>
        <v>2550</v>
      </c>
      <c r="D151" s="5">
        <f>'25-26'!BK151</f>
        <v>3316.9172932330825</v>
      </c>
      <c r="E151" s="5">
        <f>'26-27'!BK151</f>
        <v>4035.9022556390978</v>
      </c>
      <c r="F151" s="5">
        <f>'27-28'!BK151</f>
        <v>4754.8872180451126</v>
      </c>
      <c r="G151" s="5">
        <f>'28-29'!BK151</f>
        <v>5473.872180451127</v>
      </c>
    </row>
    <row r="152" spans="1:7">
      <c r="A152" s="29" t="s">
        <v>134</v>
      </c>
      <c r="B152" s="5">
        <f>'23-24'!BK152</f>
        <v>0</v>
      </c>
      <c r="C152" s="5">
        <f>'24-25'!BK152</f>
        <v>0</v>
      </c>
      <c r="D152" s="5">
        <f>'25-26'!BK152</f>
        <v>0</v>
      </c>
      <c r="E152" s="5">
        <f>'26-27'!BK152</f>
        <v>0</v>
      </c>
      <c r="F152" s="5">
        <f>'27-28'!BK152</f>
        <v>0</v>
      </c>
      <c r="G152" s="5">
        <f>'28-29'!BK152</f>
        <v>0</v>
      </c>
    </row>
    <row r="153" spans="1:7">
      <c r="A153" s="78" t="s">
        <v>135</v>
      </c>
      <c r="B153" s="5">
        <f>'23-24'!BK153</f>
        <v>7728</v>
      </c>
      <c r="C153" s="5">
        <f>'24-25'!BK153</f>
        <v>11970</v>
      </c>
      <c r="D153" s="5">
        <f>'25-26'!BK153</f>
        <v>15570</v>
      </c>
      <c r="E153" s="5">
        <f>'26-27'!BK153</f>
        <v>18945</v>
      </c>
      <c r="F153" s="5">
        <f>'27-28'!BK153</f>
        <v>22320</v>
      </c>
      <c r="G153" s="5">
        <f>'28-29'!BK153</f>
        <v>25695</v>
      </c>
    </row>
    <row r="154" spans="1:7" ht="15">
      <c r="A154" s="70" t="s">
        <v>136</v>
      </c>
      <c r="B154" s="71">
        <f t="shared" ref="B154:G154" si="29">SUM(B144:B153)</f>
        <v>468670</v>
      </c>
      <c r="C154" s="71">
        <f t="shared" si="29"/>
        <v>228178</v>
      </c>
      <c r="D154" s="71">
        <f t="shared" si="29"/>
        <v>254494.91729323307</v>
      </c>
      <c r="E154" s="71">
        <f t="shared" si="29"/>
        <v>280938.90225563908</v>
      </c>
      <c r="F154" s="71">
        <f t="shared" si="29"/>
        <v>307382.88721804513</v>
      </c>
      <c r="G154" s="71">
        <f t="shared" si="29"/>
        <v>333826.87218045112</v>
      </c>
    </row>
    <row r="155" spans="1:7" ht="15">
      <c r="A155" s="75" t="s">
        <v>137</v>
      </c>
      <c r="B155" s="18" t="str">
        <f t="shared" ref="B155:G155" si="30">B1</f>
        <v>23-24</v>
      </c>
      <c r="C155" s="18" t="str">
        <f t="shared" si="30"/>
        <v>24-25</v>
      </c>
      <c r="D155" s="18" t="str">
        <f t="shared" si="30"/>
        <v>25-26</v>
      </c>
      <c r="E155" s="18" t="str">
        <f t="shared" si="30"/>
        <v>26-27</v>
      </c>
      <c r="F155" s="18" t="str">
        <f t="shared" si="30"/>
        <v>27-28</v>
      </c>
      <c r="G155" s="18" t="str">
        <f t="shared" si="30"/>
        <v>28-29</v>
      </c>
    </row>
    <row r="156" spans="1:7">
      <c r="A156" s="29" t="s">
        <v>138</v>
      </c>
      <c r="B156" s="5">
        <f>'23-24'!BK156</f>
        <v>3000</v>
      </c>
      <c r="C156" s="5">
        <f>'24-25'!BK156</f>
        <v>3000</v>
      </c>
      <c r="D156" s="5">
        <f>'25-26'!BK156</f>
        <v>3150</v>
      </c>
      <c r="E156" s="5">
        <f>'26-27'!BK156</f>
        <v>3307.5</v>
      </c>
      <c r="F156" s="5">
        <f>'27-28'!BK156</f>
        <v>3472.875</v>
      </c>
      <c r="G156" s="5">
        <f>'28-29'!BK156</f>
        <v>3646.5187500000002</v>
      </c>
    </row>
    <row r="157" spans="1:7">
      <c r="A157" s="29" t="s">
        <v>139</v>
      </c>
      <c r="B157" s="5">
        <f>'23-24'!BK157</f>
        <v>73600</v>
      </c>
      <c r="C157" s="5">
        <f>'24-25'!BK157</f>
        <v>259500</v>
      </c>
      <c r="D157" s="5">
        <f>'25-26'!BK157</f>
        <v>319500</v>
      </c>
      <c r="E157" s="5">
        <f>'26-27'!BK157</f>
        <v>375750</v>
      </c>
      <c r="F157" s="5">
        <f>'27-28'!BK157</f>
        <v>432000</v>
      </c>
      <c r="G157" s="5">
        <f>'28-29'!BK157</f>
        <v>488250</v>
      </c>
    </row>
    <row r="158" spans="1:7">
      <c r="A158" s="29" t="s">
        <v>279</v>
      </c>
      <c r="B158" s="5">
        <f>'23-24'!BK158</f>
        <v>0</v>
      </c>
      <c r="C158" s="5">
        <f>'24-25'!BK158</f>
        <v>0</v>
      </c>
      <c r="D158" s="5">
        <f>'25-26'!BK158</f>
        <v>0</v>
      </c>
      <c r="E158" s="5">
        <f>'26-27'!BK158</f>
        <v>0</v>
      </c>
      <c r="F158" s="5">
        <f>'27-28'!BK158</f>
        <v>0</v>
      </c>
      <c r="G158" s="5">
        <f>'28-29'!BK158</f>
        <v>0</v>
      </c>
    </row>
    <row r="159" spans="1:7">
      <c r="A159" s="29" t="s">
        <v>280</v>
      </c>
      <c r="B159" s="5">
        <f>'23-24'!BK159</f>
        <v>0</v>
      </c>
      <c r="C159" s="5">
        <f>'24-25'!BK159</f>
        <v>0</v>
      </c>
      <c r="D159" s="5">
        <f>'25-26'!BK159</f>
        <v>0</v>
      </c>
      <c r="E159" s="5">
        <f>'26-27'!BK159</f>
        <v>0</v>
      </c>
      <c r="F159" s="5">
        <f>'27-28'!BK159</f>
        <v>0</v>
      </c>
      <c r="G159" s="5">
        <f>'28-29'!BK159</f>
        <v>0</v>
      </c>
    </row>
    <row r="160" spans="1:7">
      <c r="A160" s="29" t="s">
        <v>140</v>
      </c>
      <c r="B160" s="5">
        <f>'23-24'!BK160</f>
        <v>91080</v>
      </c>
      <c r="C160" s="5">
        <f>'24-25'!BK160</f>
        <v>131670</v>
      </c>
      <c r="D160" s="5">
        <f>'25-26'!BK160</f>
        <v>171270</v>
      </c>
      <c r="E160" s="5">
        <f>'26-27'!BK160</f>
        <v>208395</v>
      </c>
      <c r="F160" s="5">
        <f>'27-28'!BK160</f>
        <v>245520</v>
      </c>
      <c r="G160" s="5">
        <f>'28-29'!BK160</f>
        <v>282645</v>
      </c>
    </row>
    <row r="161" spans="1:7">
      <c r="A161" s="29" t="s">
        <v>141</v>
      </c>
      <c r="B161" s="5">
        <f>'23-24'!BK161</f>
        <v>3550</v>
      </c>
      <c r="C161" s="5">
        <f>'24-25'!BK161</f>
        <v>4250</v>
      </c>
      <c r="D161" s="5">
        <f>'25-26'!BK161</f>
        <v>4462.5</v>
      </c>
      <c r="E161" s="5">
        <f>'26-27'!BK161</f>
        <v>4685.625</v>
      </c>
      <c r="F161" s="5">
        <f>'27-28'!BK161</f>
        <v>4919.90625</v>
      </c>
      <c r="G161" s="5">
        <f>'28-29'!BK161</f>
        <v>5165.9015625000002</v>
      </c>
    </row>
    <row r="162" spans="1:7">
      <c r="A162" s="29" t="s">
        <v>142</v>
      </c>
      <c r="B162" s="5">
        <f>'23-24'!BK162</f>
        <v>0</v>
      </c>
      <c r="C162" s="5">
        <f>'24-25'!BK162</f>
        <v>5000</v>
      </c>
      <c r="D162" s="5">
        <f>'25-26'!BK162</f>
        <v>5250</v>
      </c>
      <c r="E162" s="5">
        <f>'26-27'!BK162</f>
        <v>5512.5</v>
      </c>
      <c r="F162" s="5">
        <f>'27-28'!BK162</f>
        <v>5788.125</v>
      </c>
      <c r="G162" s="5">
        <f>'28-29'!BK162</f>
        <v>6077.53125</v>
      </c>
    </row>
    <row r="163" spans="1:7">
      <c r="A163" s="29" t="s">
        <v>143</v>
      </c>
      <c r="B163" s="5">
        <f>'23-24'!BK163</f>
        <v>4500</v>
      </c>
      <c r="C163" s="5">
        <f>'24-25'!BK163</f>
        <v>4500</v>
      </c>
      <c r="D163" s="5">
        <f>'25-26'!BK163</f>
        <v>4500</v>
      </c>
      <c r="E163" s="5">
        <f>'26-27'!BK163</f>
        <v>4500</v>
      </c>
      <c r="F163" s="5">
        <f>'27-28'!BK163</f>
        <v>4500</v>
      </c>
      <c r="G163" s="5">
        <f>'28-29'!BK163</f>
        <v>4500</v>
      </c>
    </row>
    <row r="164" spans="1:7">
      <c r="A164" s="29" t="s">
        <v>144</v>
      </c>
      <c r="B164" s="5">
        <f>'23-24'!BK164</f>
        <v>9552</v>
      </c>
      <c r="C164" s="5">
        <f>'24-25'!BK164</f>
        <v>13488</v>
      </c>
      <c r="D164" s="5">
        <f>'25-26'!BK164</f>
        <v>17328</v>
      </c>
      <c r="E164" s="5">
        <f>'26-27'!BK164</f>
        <v>20928</v>
      </c>
      <c r="F164" s="5">
        <f>'27-28'!BK164</f>
        <v>24528</v>
      </c>
      <c r="G164" s="5">
        <f>'28-29'!BK164</f>
        <v>28128</v>
      </c>
    </row>
    <row r="165" spans="1:7">
      <c r="A165" s="29" t="s">
        <v>145</v>
      </c>
      <c r="B165" s="5">
        <f>'23-24'!BK165</f>
        <v>6000</v>
      </c>
      <c r="C165" s="5">
        <f>'24-25'!BK165</f>
        <v>8500</v>
      </c>
      <c r="D165" s="5">
        <f>'25-26'!BK165</f>
        <v>8500</v>
      </c>
      <c r="E165" s="5">
        <f>'26-27'!BK165</f>
        <v>8500</v>
      </c>
      <c r="F165" s="5">
        <f>'27-28'!BK165</f>
        <v>8500</v>
      </c>
      <c r="G165" s="5">
        <f>'28-29'!BK165</f>
        <v>8500</v>
      </c>
    </row>
    <row r="166" spans="1:7">
      <c r="A166" s="29" t="s">
        <v>146</v>
      </c>
      <c r="B166" s="5">
        <f>'23-24'!BK166</f>
        <v>20621.800000000003</v>
      </c>
      <c r="C166" s="5">
        <f>'24-25'!BK166</f>
        <v>31301.550000000003</v>
      </c>
      <c r="D166" s="5">
        <f>'25-26'!BK166</f>
        <v>41325.375</v>
      </c>
      <c r="E166" s="5">
        <f>'26-27'!BK166</f>
        <v>51046.25</v>
      </c>
      <c r="F166" s="5">
        <f>'27-28'!BK166</f>
        <v>61070</v>
      </c>
      <c r="G166" s="5">
        <f>'28-29'!BK166</f>
        <v>71360.725000000006</v>
      </c>
    </row>
    <row r="167" spans="1:7">
      <c r="A167" s="29" t="s">
        <v>147</v>
      </c>
      <c r="B167" s="5">
        <f>'23-24'!BK167</f>
        <v>8248.7199999999993</v>
      </c>
      <c r="C167" s="5">
        <f>'24-25'!BK167</f>
        <v>12520.62</v>
      </c>
      <c r="D167" s="5">
        <f>'25-26'!BK167</f>
        <v>16530.150000000001</v>
      </c>
      <c r="E167" s="5">
        <f>'26-27'!BK167</f>
        <v>20418.5</v>
      </c>
      <c r="F167" s="5">
        <f>'27-28'!BK167</f>
        <v>24428</v>
      </c>
      <c r="G167" s="5">
        <f>'28-29'!BK167</f>
        <v>28544.29</v>
      </c>
    </row>
    <row r="168" spans="1:7">
      <c r="A168" s="29" t="s">
        <v>148</v>
      </c>
      <c r="B168" s="5">
        <f>'23-24'!BK168</f>
        <v>8248.7199999999993</v>
      </c>
      <c r="C168" s="5">
        <f>'24-25'!BK168</f>
        <v>12520.62</v>
      </c>
      <c r="D168" s="5">
        <f>'25-26'!BK168</f>
        <v>16530.150000000001</v>
      </c>
      <c r="E168" s="5">
        <f>'26-27'!BK168</f>
        <v>20418.5</v>
      </c>
      <c r="F168" s="5">
        <f>'27-28'!BK168</f>
        <v>24428</v>
      </c>
      <c r="G168" s="5">
        <f>'28-29'!BK168</f>
        <v>28544.29</v>
      </c>
    </row>
    <row r="169" spans="1:7">
      <c r="A169" s="78" t="s">
        <v>149</v>
      </c>
      <c r="B169" s="5">
        <f>'23-24'!BK169</f>
        <v>0</v>
      </c>
      <c r="C169" s="5">
        <f>'24-25'!BK169</f>
        <v>0</v>
      </c>
      <c r="D169" s="5">
        <f>'25-26'!BK169</f>
        <v>0</v>
      </c>
      <c r="E169" s="5">
        <f>'26-27'!BK169</f>
        <v>0</v>
      </c>
      <c r="F169" s="5">
        <f>'27-28'!BK169</f>
        <v>0</v>
      </c>
      <c r="G169" s="5">
        <f>'28-29'!BK169</f>
        <v>0</v>
      </c>
    </row>
    <row r="170" spans="1:7" ht="15">
      <c r="A170" s="70" t="s">
        <v>150</v>
      </c>
      <c r="B170" s="71">
        <f t="shared" ref="B170:G170" si="31">SUM(B156:B169)</f>
        <v>228401.24</v>
      </c>
      <c r="C170" s="71">
        <f t="shared" si="31"/>
        <v>486250.79</v>
      </c>
      <c r="D170" s="71">
        <f t="shared" si="31"/>
        <v>608346.17500000005</v>
      </c>
      <c r="E170" s="71">
        <f t="shared" si="31"/>
        <v>723461.875</v>
      </c>
      <c r="F170" s="71">
        <f t="shared" si="31"/>
        <v>839154.90625</v>
      </c>
      <c r="G170" s="71">
        <f t="shared" si="31"/>
        <v>955362.25656250014</v>
      </c>
    </row>
    <row r="171" spans="1:7" ht="15">
      <c r="A171" s="75" t="s">
        <v>151</v>
      </c>
      <c r="B171" s="18" t="str">
        <f t="shared" ref="B171:G171" si="32">B1</f>
        <v>23-24</v>
      </c>
      <c r="C171" s="18" t="str">
        <f t="shared" si="32"/>
        <v>24-25</v>
      </c>
      <c r="D171" s="18" t="str">
        <f t="shared" si="32"/>
        <v>25-26</v>
      </c>
      <c r="E171" s="18" t="str">
        <f t="shared" si="32"/>
        <v>26-27</v>
      </c>
      <c r="F171" s="18" t="str">
        <f t="shared" si="32"/>
        <v>27-28</v>
      </c>
      <c r="G171" s="18" t="str">
        <f t="shared" si="32"/>
        <v>28-29</v>
      </c>
    </row>
    <row r="172" spans="1:7">
      <c r="A172" s="81" t="s">
        <v>152</v>
      </c>
      <c r="B172" s="5">
        <f>'23-24'!BK172</f>
        <v>4800</v>
      </c>
      <c r="C172" s="5">
        <f>'24-25'!BK172</f>
        <v>2400</v>
      </c>
      <c r="D172" s="5">
        <f>'25-26'!BK172</f>
        <v>2520</v>
      </c>
      <c r="E172" s="5">
        <f>'26-27'!BK172</f>
        <v>2646</v>
      </c>
      <c r="F172" s="5">
        <f>'27-28'!BK172</f>
        <v>2778.3</v>
      </c>
      <c r="G172" s="5">
        <f>'28-29'!BK172</f>
        <v>2917.2150000000001</v>
      </c>
    </row>
    <row r="173" spans="1:7">
      <c r="A173" s="29" t="s">
        <v>153</v>
      </c>
      <c r="B173" s="5">
        <f>'23-24'!BK173</f>
        <v>1750</v>
      </c>
      <c r="C173" s="5">
        <f>'24-25'!BK173</f>
        <v>8580</v>
      </c>
      <c r="D173" s="5">
        <f>'25-26'!BK173</f>
        <v>9009</v>
      </c>
      <c r="E173" s="5">
        <f>'26-27'!BK173</f>
        <v>9459.4500000000007</v>
      </c>
      <c r="F173" s="5">
        <f>'27-28'!BK173</f>
        <v>9932.4225000000006</v>
      </c>
      <c r="G173" s="5">
        <f>'28-29'!BK173</f>
        <v>10429.043625</v>
      </c>
    </row>
    <row r="174" spans="1:7">
      <c r="A174" s="29" t="s">
        <v>154</v>
      </c>
      <c r="B174" s="5">
        <f>'23-24'!BK174</f>
        <v>0</v>
      </c>
      <c r="C174" s="5">
        <f>'24-25'!BK174</f>
        <v>0</v>
      </c>
      <c r="D174" s="5">
        <f>'25-26'!BK174</f>
        <v>0</v>
      </c>
      <c r="E174" s="5">
        <f>'26-27'!BK174</f>
        <v>0</v>
      </c>
      <c r="F174" s="5">
        <f>'27-28'!BK174</f>
        <v>0</v>
      </c>
      <c r="G174" s="5">
        <f>'28-29'!BK174</f>
        <v>0</v>
      </c>
    </row>
    <row r="175" spans="1:7">
      <c r="A175" s="29" t="s">
        <v>155</v>
      </c>
      <c r="B175" s="5">
        <f>'23-24'!BK175</f>
        <v>1000</v>
      </c>
      <c r="C175" s="5">
        <f>'24-25'!BK175</f>
        <v>1000</v>
      </c>
      <c r="D175" s="5">
        <f>'25-26'!BK175</f>
        <v>1000</v>
      </c>
      <c r="E175" s="5">
        <f>'26-27'!BK175</f>
        <v>1000</v>
      </c>
      <c r="F175" s="5">
        <f>'27-28'!BK175</f>
        <v>1000</v>
      </c>
      <c r="G175" s="5">
        <f>'28-29'!BK175</f>
        <v>1000</v>
      </c>
    </row>
    <row r="176" spans="1:7">
      <c r="A176" s="29" t="s">
        <v>156</v>
      </c>
      <c r="B176" s="5">
        <f>'23-24'!BK176</f>
        <v>5500</v>
      </c>
      <c r="C176" s="5">
        <f>'24-25'!BK176</f>
        <v>6500</v>
      </c>
      <c r="D176" s="5">
        <f>'25-26'!BK176</f>
        <v>6825</v>
      </c>
      <c r="E176" s="5">
        <f>'26-27'!BK176</f>
        <v>7166.25</v>
      </c>
      <c r="F176" s="5">
        <f>'27-28'!BK176</f>
        <v>7524.5625</v>
      </c>
      <c r="G176" s="5">
        <f>'28-29'!BK176</f>
        <v>7900.7906250000005</v>
      </c>
    </row>
    <row r="177" spans="1:7">
      <c r="A177" s="29" t="s">
        <v>157</v>
      </c>
      <c r="B177" s="5">
        <f>'23-24'!BK177</f>
        <v>15500</v>
      </c>
      <c r="C177" s="5">
        <f>'24-25'!BK177</f>
        <v>7500</v>
      </c>
      <c r="D177" s="5">
        <f>'25-26'!BK177</f>
        <v>7875</v>
      </c>
      <c r="E177" s="5">
        <f>'26-27'!BK177</f>
        <v>8268.75</v>
      </c>
      <c r="F177" s="5">
        <f>'27-28'!BK177</f>
        <v>8682.1875</v>
      </c>
      <c r="G177" s="5">
        <f>'28-29'!BK177</f>
        <v>9116.296875</v>
      </c>
    </row>
    <row r="178" spans="1:7">
      <c r="A178" s="29" t="s">
        <v>158</v>
      </c>
      <c r="B178" s="5">
        <f>'23-24'!BK178</f>
        <v>1960</v>
      </c>
      <c r="C178" s="5">
        <f>'24-25'!BK178</f>
        <v>1540</v>
      </c>
      <c r="D178" s="5">
        <f>'25-26'!BK178</f>
        <v>1617</v>
      </c>
      <c r="E178" s="5">
        <f>'26-27'!BK178</f>
        <v>1697.8500000000001</v>
      </c>
      <c r="F178" s="5">
        <f>'27-28'!BK178</f>
        <v>1782.7425000000003</v>
      </c>
      <c r="G178" s="5">
        <f>'28-29'!BK178</f>
        <v>1871.8796250000005</v>
      </c>
    </row>
    <row r="179" spans="1:7">
      <c r="A179" s="29" t="s">
        <v>159</v>
      </c>
      <c r="B179" s="5">
        <f>'23-24'!BK179</f>
        <v>0</v>
      </c>
      <c r="C179" s="5">
        <f>'24-25'!BK179</f>
        <v>0</v>
      </c>
      <c r="D179" s="5">
        <f>'25-26'!BK179</f>
        <v>0</v>
      </c>
      <c r="E179" s="5">
        <f>'26-27'!BK179</f>
        <v>0</v>
      </c>
      <c r="F179" s="5">
        <f>'27-28'!BK179</f>
        <v>0</v>
      </c>
      <c r="G179" s="5">
        <f>'28-29'!BK179</f>
        <v>0</v>
      </c>
    </row>
    <row r="180" spans="1:7">
      <c r="A180" s="29" t="s">
        <v>160</v>
      </c>
      <c r="B180" s="5">
        <f>'23-24'!BK180</f>
        <v>0</v>
      </c>
      <c r="C180" s="5">
        <f>'24-25'!BK180</f>
        <v>0</v>
      </c>
      <c r="D180" s="5">
        <f>'25-26'!BK180</f>
        <v>0</v>
      </c>
      <c r="E180" s="5">
        <f>'26-27'!BK180</f>
        <v>0</v>
      </c>
      <c r="F180" s="5">
        <f>'27-28'!BK180</f>
        <v>0</v>
      </c>
      <c r="G180" s="5">
        <f>'28-29'!BK180</f>
        <v>0</v>
      </c>
    </row>
    <row r="181" spans="1:7">
      <c r="A181" s="29" t="s">
        <v>161</v>
      </c>
      <c r="B181" s="5">
        <f>'23-24'!BK181</f>
        <v>9190</v>
      </c>
      <c r="C181" s="5">
        <f>'24-25'!BK181</f>
        <v>11000</v>
      </c>
      <c r="D181" s="5">
        <f>'25-26'!BK181</f>
        <v>11550</v>
      </c>
      <c r="E181" s="5">
        <f>'26-27'!BK181</f>
        <v>12127.5</v>
      </c>
      <c r="F181" s="5">
        <f>'27-28'!BK181</f>
        <v>12733.875</v>
      </c>
      <c r="G181" s="5">
        <f>'28-29'!BK181</f>
        <v>13370.56875</v>
      </c>
    </row>
    <row r="182" spans="1:7">
      <c r="A182" s="29" t="s">
        <v>162</v>
      </c>
      <c r="B182" s="5">
        <f>'23-24'!BK182</f>
        <v>71605.439999999988</v>
      </c>
      <c r="C182" s="5">
        <f>'24-25'!BK182</f>
        <v>102415.32</v>
      </c>
      <c r="D182" s="5">
        <f>'25-26'!BK182</f>
        <v>133216.92000000001</v>
      </c>
      <c r="E182" s="5">
        <f>'26-27'!BK182</f>
        <v>162093.42000000001</v>
      </c>
      <c r="F182" s="5">
        <f>'27-28'!BK182</f>
        <v>190969.91999999998</v>
      </c>
      <c r="G182" s="5">
        <f>'28-29'!BK182</f>
        <v>219846.41999999998</v>
      </c>
    </row>
    <row r="183" spans="1:7">
      <c r="A183" s="29" t="s">
        <v>163</v>
      </c>
      <c r="B183" s="5">
        <f>'23-24'!BK183</f>
        <v>120473.99999999999</v>
      </c>
      <c r="C183" s="5">
        <f>'24-25'!BK183</f>
        <v>174163.5</v>
      </c>
      <c r="D183" s="5">
        <f>'25-26'!BK183</f>
        <v>226543.5</v>
      </c>
      <c r="E183" s="5">
        <f>'26-27'!BK183</f>
        <v>275649.75</v>
      </c>
      <c r="F183" s="5">
        <f>'27-28'!BK183</f>
        <v>324756</v>
      </c>
      <c r="G183" s="5">
        <f>'28-29'!BK183</f>
        <v>373862.24999999994</v>
      </c>
    </row>
    <row r="184" spans="1:7">
      <c r="A184" s="29" t="s">
        <v>164</v>
      </c>
      <c r="B184" s="5">
        <f>'23-24'!BK184</f>
        <v>5000</v>
      </c>
      <c r="C184" s="5">
        <f>'24-25'!BK184</f>
        <v>5000</v>
      </c>
      <c r="D184" s="5">
        <f>'25-26'!BK184</f>
        <v>5000</v>
      </c>
      <c r="E184" s="5">
        <f>'26-27'!BK184</f>
        <v>5000</v>
      </c>
      <c r="F184" s="5">
        <f>'27-28'!BK184</f>
        <v>5000</v>
      </c>
      <c r="G184" s="5">
        <f>'28-29'!BK184</f>
        <v>5000</v>
      </c>
    </row>
    <row r="185" spans="1:7">
      <c r="A185" s="29" t="s">
        <v>165</v>
      </c>
      <c r="B185" s="5">
        <f>'23-24'!BK185</f>
        <v>800</v>
      </c>
      <c r="C185" s="5">
        <f>'24-25'!BK185</f>
        <v>1000</v>
      </c>
      <c r="D185" s="5">
        <f>'25-26'!BK185</f>
        <v>1000</v>
      </c>
      <c r="E185" s="5">
        <f>'26-27'!BK185</f>
        <v>1000</v>
      </c>
      <c r="F185" s="5">
        <f>'27-28'!BK185</f>
        <v>1000</v>
      </c>
      <c r="G185" s="5">
        <f>'28-29'!BK185</f>
        <v>1000</v>
      </c>
    </row>
    <row r="186" spans="1:7">
      <c r="A186" s="29" t="s">
        <v>166</v>
      </c>
      <c r="B186" s="5">
        <f>'23-24'!BK186</f>
        <v>800</v>
      </c>
      <c r="C186" s="5">
        <f>'24-25'!BK186</f>
        <v>800</v>
      </c>
      <c r="D186" s="5">
        <f>'25-26'!BK186</f>
        <v>800</v>
      </c>
      <c r="E186" s="5">
        <f>'26-27'!BK186</f>
        <v>800</v>
      </c>
      <c r="F186" s="5">
        <f>'27-28'!BK186</f>
        <v>800</v>
      </c>
      <c r="G186" s="5">
        <f>'28-29'!BK186</f>
        <v>800</v>
      </c>
    </row>
    <row r="187" spans="1:7">
      <c r="A187" s="29" t="s">
        <v>167</v>
      </c>
      <c r="B187" s="5">
        <f>'23-24'!BK187</f>
        <v>3120</v>
      </c>
      <c r="C187" s="5">
        <f>'24-25'!BK187</f>
        <v>4030</v>
      </c>
      <c r="D187" s="5">
        <f>'25-26'!BK187</f>
        <v>4430</v>
      </c>
      <c r="E187" s="5">
        <f>'26-27'!BK187</f>
        <v>4805</v>
      </c>
      <c r="F187" s="5">
        <f>'27-28'!BK187</f>
        <v>5180</v>
      </c>
      <c r="G187" s="5">
        <f>'28-29'!BK187</f>
        <v>5555</v>
      </c>
    </row>
    <row r="188" spans="1:7">
      <c r="A188" s="29" t="s">
        <v>168</v>
      </c>
      <c r="B188" s="5">
        <f>'23-24'!BK188</f>
        <v>0</v>
      </c>
      <c r="C188" s="5">
        <f>'24-25'!BK188</f>
        <v>0</v>
      </c>
      <c r="D188" s="5">
        <f>'25-26'!BK188</f>
        <v>0</v>
      </c>
      <c r="E188" s="5">
        <f>'26-27'!BK188</f>
        <v>0</v>
      </c>
      <c r="F188" s="5">
        <f>'27-28'!BK188</f>
        <v>0</v>
      </c>
      <c r="G188" s="5">
        <f>'28-29'!BK188</f>
        <v>0</v>
      </c>
    </row>
    <row r="189" spans="1:7">
      <c r="A189" s="29" t="s">
        <v>169</v>
      </c>
      <c r="B189" s="5">
        <f>'23-24'!BK189</f>
        <v>0</v>
      </c>
      <c r="C189" s="5">
        <f>'24-25'!BK189</f>
        <v>0</v>
      </c>
      <c r="D189" s="5">
        <f>'25-26'!BK189</f>
        <v>0</v>
      </c>
      <c r="E189" s="5">
        <f>'26-27'!BK189</f>
        <v>0</v>
      </c>
      <c r="F189" s="5">
        <f>'27-28'!BK189</f>
        <v>0</v>
      </c>
      <c r="G189" s="5">
        <f>'28-29'!BK189</f>
        <v>0</v>
      </c>
    </row>
    <row r="190" spans="1:7">
      <c r="A190" s="29" t="s">
        <v>170</v>
      </c>
      <c r="B190" s="5">
        <f>'23-24'!BK190</f>
        <v>0</v>
      </c>
      <c r="C190" s="5">
        <f>'24-25'!BK190</f>
        <v>0</v>
      </c>
      <c r="D190" s="5">
        <f>'25-26'!BK190</f>
        <v>0</v>
      </c>
      <c r="E190" s="5">
        <f>'26-27'!BK190</f>
        <v>0</v>
      </c>
      <c r="F190" s="5">
        <f>'27-28'!BK190</f>
        <v>0</v>
      </c>
      <c r="G190" s="5">
        <f>'28-29'!BK190</f>
        <v>0</v>
      </c>
    </row>
    <row r="191" spans="1:7">
      <c r="A191" s="29" t="s">
        <v>171</v>
      </c>
      <c r="B191" s="5">
        <f>'23-24'!BK191</f>
        <v>0</v>
      </c>
      <c r="C191" s="5">
        <f>'24-25'!BK191</f>
        <v>0</v>
      </c>
      <c r="D191" s="5">
        <f>'25-26'!BK191</f>
        <v>0</v>
      </c>
      <c r="E191" s="5">
        <f>'26-27'!BK191</f>
        <v>0</v>
      </c>
      <c r="F191" s="5">
        <f>'27-28'!BK191</f>
        <v>0</v>
      </c>
      <c r="G191" s="5">
        <f>'28-29'!BK191</f>
        <v>0</v>
      </c>
    </row>
    <row r="192" spans="1:7">
      <c r="A192" s="29" t="s">
        <v>172</v>
      </c>
      <c r="B192" s="5">
        <f>'23-24'!BK192</f>
        <v>0</v>
      </c>
      <c r="C192" s="5">
        <f>'24-25'!BK192</f>
        <v>0</v>
      </c>
      <c r="D192" s="5">
        <f>'25-26'!BK192</f>
        <v>0</v>
      </c>
      <c r="E192" s="5">
        <f>'26-27'!BK192</f>
        <v>0</v>
      </c>
      <c r="F192" s="5">
        <f>'27-28'!BK192</f>
        <v>0</v>
      </c>
      <c r="G192" s="5">
        <f>'28-29'!BK192</f>
        <v>0</v>
      </c>
    </row>
    <row r="193" spans="1:14">
      <c r="A193" s="29" t="s">
        <v>173</v>
      </c>
      <c r="B193" s="5">
        <f>'23-24'!BK193</f>
        <v>0</v>
      </c>
      <c r="C193" s="5">
        <f>'24-25'!BK193</f>
        <v>0</v>
      </c>
      <c r="D193" s="5">
        <f>'25-26'!BK193</f>
        <v>0</v>
      </c>
      <c r="E193" s="5">
        <f>'26-27'!BK193</f>
        <v>0</v>
      </c>
      <c r="F193" s="5">
        <f>'27-28'!BK193</f>
        <v>0</v>
      </c>
      <c r="G193" s="5">
        <f>'28-29'!BK193</f>
        <v>0</v>
      </c>
    </row>
    <row r="194" spans="1:14">
      <c r="A194" s="29" t="s">
        <v>174</v>
      </c>
      <c r="B194" s="5">
        <f>'23-24'!BK194</f>
        <v>25000</v>
      </c>
      <c r="C194" s="5">
        <f>'24-25'!BK194</f>
        <v>50000</v>
      </c>
      <c r="D194" s="5">
        <f>'25-26'!BK194</f>
        <v>50000</v>
      </c>
      <c r="E194" s="5">
        <f>'26-27'!BK194</f>
        <v>50000</v>
      </c>
      <c r="F194" s="5">
        <f>'27-28'!BK194</f>
        <v>50000</v>
      </c>
      <c r="G194" s="5">
        <f>'28-29'!BK194</f>
        <v>50000</v>
      </c>
    </row>
    <row r="195" spans="1:14">
      <c r="A195" s="29" t="s">
        <v>175</v>
      </c>
      <c r="B195" s="5">
        <f>'23-24'!BK195</f>
        <v>3000</v>
      </c>
      <c r="C195" s="5">
        <f>'24-25'!BK195</f>
        <v>3000</v>
      </c>
      <c r="D195" s="5">
        <f>'25-26'!BK195</f>
        <v>3000</v>
      </c>
      <c r="E195" s="5">
        <f>'26-27'!BK195</f>
        <v>3000</v>
      </c>
      <c r="F195" s="5">
        <f>'27-28'!BK195</f>
        <v>3000</v>
      </c>
      <c r="G195" s="5">
        <f>'28-29'!BK195</f>
        <v>3000</v>
      </c>
    </row>
    <row r="196" spans="1:14">
      <c r="A196" s="78" t="s">
        <v>176</v>
      </c>
      <c r="B196" s="5">
        <f>'23-24'!BK196</f>
        <v>0</v>
      </c>
      <c r="C196" s="5">
        <f>'24-25'!BK196</f>
        <v>0</v>
      </c>
      <c r="D196" s="5">
        <f>'25-26'!BK196</f>
        <v>41325.375</v>
      </c>
      <c r="E196" s="5">
        <f>'26-27'!BK196</f>
        <v>102092.5</v>
      </c>
      <c r="F196" s="5">
        <f>'27-28'!BK196</f>
        <v>244280</v>
      </c>
      <c r="G196" s="5">
        <f>'28-29'!BK196</f>
        <v>285442.90000000002</v>
      </c>
      <c r="I196" s="140">
        <f>B196/B74</f>
        <v>0</v>
      </c>
      <c r="J196" s="140">
        <f t="shared" ref="J196:N196" si="33">C196/C74</f>
        <v>0</v>
      </c>
      <c r="K196" s="140">
        <f t="shared" si="33"/>
        <v>1.2500000000000001E-2</v>
      </c>
      <c r="L196" s="140">
        <f t="shared" si="33"/>
        <v>2.5000000000000001E-2</v>
      </c>
      <c r="M196" s="140">
        <f t="shared" si="33"/>
        <v>0.05</v>
      </c>
      <c r="N196" s="140">
        <f t="shared" si="33"/>
        <v>0.05</v>
      </c>
    </row>
    <row r="197" spans="1:14" ht="15">
      <c r="A197" s="70" t="s">
        <v>177</v>
      </c>
      <c r="B197" s="71">
        <f t="shared" ref="B197:G197" si="34">SUM(B172:B196)</f>
        <v>269499.43999999994</v>
      </c>
      <c r="C197" s="71">
        <f t="shared" si="34"/>
        <v>378928.82</v>
      </c>
      <c r="D197" s="71">
        <f t="shared" si="34"/>
        <v>505711.79500000004</v>
      </c>
      <c r="E197" s="71">
        <f t="shared" si="34"/>
        <v>646806.47</v>
      </c>
      <c r="F197" s="71">
        <f t="shared" si="34"/>
        <v>869420.01</v>
      </c>
      <c r="G197" s="71">
        <f t="shared" si="34"/>
        <v>991112.36450000003</v>
      </c>
    </row>
    <row r="198" spans="1:14" ht="15">
      <c r="A198" s="75" t="s">
        <v>178</v>
      </c>
      <c r="B198" s="18" t="str">
        <f t="shared" ref="B198:G198" si="35">B1</f>
        <v>23-24</v>
      </c>
      <c r="C198" s="18" t="str">
        <f t="shared" si="35"/>
        <v>24-25</v>
      </c>
      <c r="D198" s="18" t="str">
        <f t="shared" si="35"/>
        <v>25-26</v>
      </c>
      <c r="E198" s="18" t="str">
        <f t="shared" si="35"/>
        <v>26-27</v>
      </c>
      <c r="F198" s="18" t="str">
        <f t="shared" si="35"/>
        <v>27-28</v>
      </c>
      <c r="G198" s="18" t="str">
        <f t="shared" si="35"/>
        <v>28-29</v>
      </c>
    </row>
    <row r="199" spans="1:14">
      <c r="A199" s="81" t="s">
        <v>179</v>
      </c>
      <c r="B199" s="5">
        <f>'23-24'!BK199</f>
        <v>18000</v>
      </c>
      <c r="C199" s="5">
        <f>'24-25'!BK199</f>
        <v>15500</v>
      </c>
      <c r="D199" s="5">
        <f>'25-26'!BK199</f>
        <v>17050</v>
      </c>
      <c r="E199" s="5">
        <f>'26-27'!BK199</f>
        <v>17902.5</v>
      </c>
      <c r="F199" s="5">
        <f>'27-28'!BK199</f>
        <v>18797.625</v>
      </c>
      <c r="G199" s="5">
        <f>'28-29'!BK199</f>
        <v>19361.553749999999</v>
      </c>
    </row>
    <row r="200" spans="1:14">
      <c r="A200" s="29" t="s">
        <v>180</v>
      </c>
      <c r="B200" s="5">
        <f>'23-24'!BK200</f>
        <v>1250</v>
      </c>
      <c r="C200" s="5">
        <f>'24-25'!BK200</f>
        <v>1250</v>
      </c>
      <c r="D200" s="5">
        <f>'25-26'!BK200</f>
        <v>1375</v>
      </c>
      <c r="E200" s="5">
        <f>'26-27'!BK200</f>
        <v>1443.75</v>
      </c>
      <c r="F200" s="5">
        <f>'27-28'!BK200</f>
        <v>1515.9375</v>
      </c>
      <c r="G200" s="5">
        <f>'28-29'!BK200</f>
        <v>1561.4156250000001</v>
      </c>
    </row>
    <row r="201" spans="1:14">
      <c r="A201" s="29" t="s">
        <v>181</v>
      </c>
      <c r="B201" s="5">
        <f>'23-24'!BK201</f>
        <v>8000</v>
      </c>
      <c r="C201" s="5">
        <f>'24-25'!BK201</f>
        <v>14000</v>
      </c>
      <c r="D201" s="5">
        <f>'25-26'!BK201</f>
        <v>15400.000000000002</v>
      </c>
      <c r="E201" s="5">
        <f>'26-27'!BK201</f>
        <v>16170.000000000002</v>
      </c>
      <c r="F201" s="5">
        <f>'27-28'!BK201</f>
        <v>16978.500000000004</v>
      </c>
      <c r="G201" s="5">
        <f>'28-29'!BK201</f>
        <v>17487.855000000003</v>
      </c>
    </row>
    <row r="202" spans="1:14">
      <c r="A202" s="29" t="s">
        <v>182</v>
      </c>
      <c r="B202" s="5">
        <f>'23-24'!BK202</f>
        <v>18000</v>
      </c>
      <c r="C202" s="5">
        <f>'24-25'!BK202</f>
        <v>13500</v>
      </c>
      <c r="D202" s="5">
        <f>'25-26'!BK202</f>
        <v>14850.000000000002</v>
      </c>
      <c r="E202" s="5">
        <f>'26-27'!BK202</f>
        <v>15592.500000000002</v>
      </c>
      <c r="F202" s="5">
        <f>'27-28'!BK202</f>
        <v>16372.125000000002</v>
      </c>
      <c r="G202" s="5">
        <f>'28-29'!BK202</f>
        <v>16863.288750000003</v>
      </c>
    </row>
    <row r="203" spans="1:14">
      <c r="A203" s="29" t="s">
        <v>183</v>
      </c>
      <c r="B203" s="5">
        <f>'23-24'!BK203</f>
        <v>4000</v>
      </c>
      <c r="C203" s="5">
        <f>'24-25'!BK203</f>
        <v>6000</v>
      </c>
      <c r="D203" s="5">
        <f>'25-26'!BK203</f>
        <v>6600.0000000000009</v>
      </c>
      <c r="E203" s="5">
        <f>'26-27'!BK203</f>
        <v>6930.0000000000009</v>
      </c>
      <c r="F203" s="5">
        <f>'27-28'!BK203</f>
        <v>7276.5000000000009</v>
      </c>
      <c r="G203" s="5">
        <f>'28-29'!BK203</f>
        <v>7494.795000000001</v>
      </c>
    </row>
    <row r="204" spans="1:14">
      <c r="A204" s="29" t="s">
        <v>184</v>
      </c>
      <c r="B204" s="5">
        <f>'23-24'!BK204</f>
        <v>20605</v>
      </c>
      <c r="C204" s="5">
        <f>'24-25'!BK204</f>
        <v>0</v>
      </c>
      <c r="D204" s="5">
        <f>'25-26'!BK204</f>
        <v>0</v>
      </c>
      <c r="E204" s="5">
        <f>'26-27'!BK204</f>
        <v>0</v>
      </c>
      <c r="F204" s="5">
        <f>'27-28'!BK204</f>
        <v>0</v>
      </c>
      <c r="G204" s="5">
        <f>'28-29'!BK204</f>
        <v>0</v>
      </c>
    </row>
    <row r="205" spans="1:14">
      <c r="A205" s="29" t="s">
        <v>185</v>
      </c>
      <c r="B205" s="5">
        <f>'23-24'!BK205</f>
        <v>21500</v>
      </c>
      <c r="C205" s="5">
        <f>'24-25'!BK205</f>
        <v>40000</v>
      </c>
      <c r="D205" s="5">
        <f>'25-26'!BK205</f>
        <v>40000</v>
      </c>
      <c r="E205" s="5">
        <f>'26-27'!BK205</f>
        <v>40000</v>
      </c>
      <c r="F205" s="5">
        <f>'27-28'!BK205</f>
        <v>40000</v>
      </c>
      <c r="G205" s="5">
        <f>'28-29'!BK205</f>
        <v>40000</v>
      </c>
    </row>
    <row r="206" spans="1:14">
      <c r="A206" s="29" t="s">
        <v>186</v>
      </c>
      <c r="B206" s="5">
        <f>'23-24'!BK206</f>
        <v>0</v>
      </c>
      <c r="C206" s="5">
        <f>'24-25'!BK206</f>
        <v>0</v>
      </c>
      <c r="D206" s="5">
        <f>'25-26'!BK206</f>
        <v>0</v>
      </c>
      <c r="E206" s="5">
        <f>'26-27'!BK206</f>
        <v>0</v>
      </c>
      <c r="F206" s="5">
        <f>'27-28'!BK206</f>
        <v>0</v>
      </c>
      <c r="G206" s="5">
        <f>'28-29'!BK206</f>
        <v>0</v>
      </c>
    </row>
    <row r="207" spans="1:14">
      <c r="A207" s="29" t="s">
        <v>187</v>
      </c>
      <c r="B207" s="5">
        <f>'23-24'!BK207</f>
        <v>0</v>
      </c>
      <c r="C207" s="5">
        <f>'24-25'!BK207</f>
        <v>0</v>
      </c>
      <c r="D207" s="5">
        <f>'25-26'!BK207</f>
        <v>0</v>
      </c>
      <c r="E207" s="5">
        <f>'26-27'!BK207</f>
        <v>0</v>
      </c>
      <c r="F207" s="5">
        <f>'27-28'!BK207</f>
        <v>0</v>
      </c>
      <c r="G207" s="5">
        <f>'28-29'!BK207</f>
        <v>0</v>
      </c>
    </row>
    <row r="208" spans="1:14">
      <c r="A208" s="78" t="s">
        <v>188</v>
      </c>
      <c r="B208" s="5">
        <f>'23-24'!BK208</f>
        <v>11500</v>
      </c>
      <c r="C208" s="5">
        <f>'24-25'!BK208</f>
        <v>11500</v>
      </c>
      <c r="D208" s="5">
        <f>'25-26'!BK208</f>
        <v>11845</v>
      </c>
      <c r="E208" s="5">
        <f>'26-27'!BK208</f>
        <v>12200.35</v>
      </c>
      <c r="F208" s="5">
        <f>'27-28'!BK208</f>
        <v>12566.360500000001</v>
      </c>
      <c r="G208" s="5">
        <f>'28-29'!BK208</f>
        <v>12943.351315000002</v>
      </c>
    </row>
    <row r="209" spans="1:9" ht="15">
      <c r="A209" s="70" t="s">
        <v>189</v>
      </c>
      <c r="B209" s="71">
        <f t="shared" ref="B209:G209" si="36">SUM(B199:B208)</f>
        <v>102855</v>
      </c>
      <c r="C209" s="71">
        <f t="shared" si="36"/>
        <v>101750</v>
      </c>
      <c r="D209" s="71">
        <f t="shared" si="36"/>
        <v>107120</v>
      </c>
      <c r="E209" s="71">
        <f t="shared" si="36"/>
        <v>110239.1</v>
      </c>
      <c r="F209" s="71">
        <f t="shared" si="36"/>
        <v>113507.048</v>
      </c>
      <c r="G209" s="71">
        <f t="shared" si="36"/>
        <v>115712.25944000001</v>
      </c>
    </row>
    <row r="210" spans="1:9">
      <c r="A210" s="85"/>
      <c r="B210" s="5"/>
      <c r="C210" s="5"/>
      <c r="D210" s="5"/>
      <c r="E210" s="5"/>
      <c r="F210" s="5"/>
      <c r="G210" s="5"/>
    </row>
    <row r="211" spans="1:9" ht="15">
      <c r="A211" s="70" t="s">
        <v>190</v>
      </c>
      <c r="B211" s="71">
        <f t="shared" ref="B211:G211" si="37">B142+B154+B170+B197+B209</f>
        <v>2559862.9975000001</v>
      </c>
      <c r="C211" s="71">
        <f t="shared" si="37"/>
        <v>3165460.6599999997</v>
      </c>
      <c r="D211" s="71">
        <f t="shared" si="37"/>
        <v>3764766.0297932327</v>
      </c>
      <c r="E211" s="71">
        <f t="shared" si="37"/>
        <v>4525275.5559118884</v>
      </c>
      <c r="F211" s="71">
        <f t="shared" si="37"/>
        <v>5285275.6060806699</v>
      </c>
      <c r="G211" s="71">
        <f t="shared" si="37"/>
        <v>6052852.5718461955</v>
      </c>
    </row>
    <row r="212" spans="1:9">
      <c r="A212" s="86"/>
      <c r="B212" s="52"/>
      <c r="C212" s="52"/>
      <c r="D212" s="52"/>
      <c r="E212" s="52"/>
      <c r="F212" s="52"/>
      <c r="G212" s="52"/>
    </row>
    <row r="213" spans="1:9" ht="15">
      <c r="A213" s="43" t="s">
        <v>191</v>
      </c>
      <c r="B213" s="9">
        <f>'23-24'!BK213</f>
        <v>119600</v>
      </c>
      <c r="C213" s="9">
        <f>'24-25'!BK213</f>
        <v>199500</v>
      </c>
      <c r="D213" s="9">
        <f>'25-26'!BK213</f>
        <v>267285</v>
      </c>
      <c r="E213" s="9">
        <f>'26-27'!BK213</f>
        <v>334979.17500000005</v>
      </c>
      <c r="F213" s="9">
        <f>'27-28'!BK213</f>
        <v>406494.44400000008</v>
      </c>
      <c r="G213" s="9">
        <f>'28-29'!BK213</f>
        <v>481999.14788250014</v>
      </c>
      <c r="I213" s="7">
        <f>5434+4355+3038+2850</f>
        <v>15677</v>
      </c>
    </row>
    <row r="214" spans="1:9" ht="15">
      <c r="A214" s="43" t="s">
        <v>192</v>
      </c>
      <c r="B214" s="9">
        <f>'23-24'!BK214</f>
        <v>0</v>
      </c>
      <c r="C214" s="9">
        <f>'24-25'!BK214</f>
        <v>0</v>
      </c>
      <c r="D214" s="9">
        <f>'25-26'!BK214</f>
        <v>0</v>
      </c>
      <c r="E214" s="9">
        <f>'26-27'!BK214</f>
        <v>0</v>
      </c>
      <c r="F214" s="9">
        <f>'27-28'!BK214</f>
        <v>0</v>
      </c>
      <c r="G214" s="9">
        <f>'28-29'!BK214</f>
        <v>0</v>
      </c>
    </row>
    <row r="215" spans="1:9" ht="15">
      <c r="A215" s="43" t="s">
        <v>193</v>
      </c>
      <c r="B215" s="9">
        <f>'23-24'!BK215</f>
        <v>0</v>
      </c>
      <c r="C215" s="9">
        <f>'24-25'!BK215</f>
        <v>0</v>
      </c>
      <c r="D215" s="9">
        <f>'25-26'!BK215</f>
        <v>0</v>
      </c>
      <c r="E215" s="9">
        <f>'26-27'!BK215</f>
        <v>0</v>
      </c>
      <c r="F215" s="9">
        <f>'27-28'!BK215</f>
        <v>0</v>
      </c>
      <c r="G215" s="9">
        <f>'28-29'!BK215</f>
        <v>0</v>
      </c>
    </row>
    <row r="216" spans="1:9" ht="15">
      <c r="A216" s="43" t="s">
        <v>194</v>
      </c>
      <c r="B216" s="9">
        <f>'23-24'!BK216</f>
        <v>0</v>
      </c>
      <c r="C216" s="9">
        <f>'24-25'!BK216</f>
        <v>0</v>
      </c>
      <c r="D216" s="9">
        <f>'25-26'!BK216</f>
        <v>0</v>
      </c>
      <c r="E216" s="9">
        <f>'26-27'!BK216</f>
        <v>0</v>
      </c>
      <c r="F216" s="9">
        <f>'27-28'!BK216</f>
        <v>0</v>
      </c>
      <c r="G216" s="9">
        <f>'28-29'!BK216</f>
        <v>0</v>
      </c>
    </row>
    <row r="217" spans="1:9" ht="15">
      <c r="B217" s="9">
        <f>'23-24'!CC217</f>
        <v>0</v>
      </c>
      <c r="C217" s="9">
        <f>'24-25'!CC217</f>
        <v>0</v>
      </c>
      <c r="D217" s="9">
        <f>'25-26'!CC217</f>
        <v>0</v>
      </c>
      <c r="E217" s="9">
        <f>'26-27'!CC217</f>
        <v>0</v>
      </c>
      <c r="F217" s="9">
        <f>'27-28'!CC217</f>
        <v>0</v>
      </c>
      <c r="G217" s="9">
        <f>'28-29'!CC217</f>
        <v>0</v>
      </c>
    </row>
    <row r="218" spans="1:9" ht="15.75" thickBot="1">
      <c r="A218" s="43"/>
      <c r="B218" s="35"/>
      <c r="C218" s="35"/>
      <c r="D218" s="35"/>
      <c r="E218" s="35"/>
      <c r="F218" s="35"/>
      <c r="G218" s="35"/>
    </row>
    <row r="219" spans="1:9" ht="15.75" thickBot="1">
      <c r="A219" s="87" t="s">
        <v>195</v>
      </c>
      <c r="B219" s="88">
        <f t="shared" ref="B219:G219" si="38">(B97+B103)-B211-B213-B214-B216-B215</f>
        <v>-262992.03750000009</v>
      </c>
      <c r="C219" s="88">
        <f t="shared" si="38"/>
        <v>-218299.11999999965</v>
      </c>
      <c r="D219" s="88">
        <f t="shared" si="38"/>
        <v>62482.01095864689</v>
      </c>
      <c r="E219" s="88">
        <f t="shared" si="38"/>
        <v>147037.84179487894</v>
      </c>
      <c r="F219" s="88">
        <f t="shared" si="38"/>
        <v>252512.05458098376</v>
      </c>
      <c r="G219" s="88">
        <f t="shared" si="38"/>
        <v>367777.91688784544</v>
      </c>
    </row>
    <row r="220" spans="1:9">
      <c r="A220" s="89"/>
      <c r="B220" s="90">
        <f t="shared" ref="B220:G220" si="39">B219/(B97)</f>
        <v>-0.13205918779754644</v>
      </c>
      <c r="C220" s="90">
        <f t="shared" si="39"/>
        <v>-6.9374833367048319E-2</v>
      </c>
      <c r="D220" s="90">
        <f t="shared" si="39"/>
        <v>1.5259862440180311E-2</v>
      </c>
      <c r="E220" s="90">
        <f t="shared" si="39"/>
        <v>2.9364739459471094E-2</v>
      </c>
      <c r="F220" s="90">
        <f t="shared" si="39"/>
        <v>4.2479823490032133E-2</v>
      </c>
      <c r="G220" s="90">
        <f t="shared" si="39"/>
        <v>5.328084168631695E-2</v>
      </c>
    </row>
    <row r="221" spans="1:9">
      <c r="B221" s="91"/>
      <c r="C221" s="91"/>
      <c r="D221" s="91"/>
      <c r="E221" s="91"/>
      <c r="F221" s="91"/>
      <c r="G221" s="91"/>
    </row>
    <row r="222" spans="1:9" ht="15">
      <c r="A222" s="1" t="str">
        <f t="shared" ref="A222:G222" si="40">A1</f>
        <v>Pinecrest Academy of Nevada - Springs</v>
      </c>
      <c r="B222" s="1" t="str">
        <f t="shared" si="40"/>
        <v>23-24</v>
      </c>
      <c r="C222" s="1" t="str">
        <f t="shared" si="40"/>
        <v>24-25</v>
      </c>
      <c r="D222" s="1" t="str">
        <f t="shared" si="40"/>
        <v>25-26</v>
      </c>
      <c r="E222" s="1" t="str">
        <f t="shared" si="40"/>
        <v>26-27</v>
      </c>
      <c r="F222" s="1" t="str">
        <f t="shared" si="40"/>
        <v>27-28</v>
      </c>
      <c r="G222" s="1" t="str">
        <f t="shared" si="40"/>
        <v>28-29</v>
      </c>
    </row>
    <row r="223" spans="1:9">
      <c r="B223" s="92" t="b">
        <f>B219='23-24'!BK219</f>
        <v>1</v>
      </c>
      <c r="C223" s="92" t="b">
        <f>C219='24-25'!BK219</f>
        <v>1</v>
      </c>
      <c r="D223" s="92" t="b">
        <f>D219='25-26'!BK219</f>
        <v>1</v>
      </c>
      <c r="E223" s="92" t="b">
        <f>E219='26-27'!BK219</f>
        <v>1</v>
      </c>
      <c r="F223" s="92" t="b">
        <f>F219='27-28'!BK219</f>
        <v>1</v>
      </c>
      <c r="G223" s="92" t="b">
        <f>G219='28-29'!BK219</f>
        <v>1</v>
      </c>
    </row>
    <row r="224" spans="1:9" s="14" customFormat="1" ht="15">
      <c r="A224" s="7"/>
      <c r="B224" s="92"/>
      <c r="C224" s="92"/>
      <c r="D224" s="92"/>
      <c r="E224" s="92"/>
      <c r="F224" s="92"/>
      <c r="G224" s="92"/>
      <c r="H224" s="7"/>
      <c r="I224" s="3" t="s">
        <v>267</v>
      </c>
    </row>
    <row r="225" spans="1:9" s="14" customFormat="1">
      <c r="A225" s="143" t="s">
        <v>268</v>
      </c>
      <c r="B225" s="144">
        <f>B132/SUM(B211:B216)</f>
        <v>0.37128391059261118</v>
      </c>
      <c r="C225" s="144">
        <f t="shared" ref="C225:G225" si="41">C132/SUM(C211:C216)</f>
        <v>0.38273850131727843</v>
      </c>
      <c r="D225" s="144">
        <f t="shared" si="41"/>
        <v>0.37123550494269397</v>
      </c>
      <c r="E225" s="144">
        <f t="shared" si="41"/>
        <v>0.37130733005045791</v>
      </c>
      <c r="F225" s="144">
        <f t="shared" si="41"/>
        <v>0.36158244491682001</v>
      </c>
      <c r="G225" s="144">
        <f t="shared" si="41"/>
        <v>0.36440754812881249</v>
      </c>
      <c r="H225" s="7"/>
      <c r="I225" s="145">
        <f>AVERAGE(B225:G225)</f>
        <v>0.370425873324779</v>
      </c>
    </row>
    <row r="226" spans="1:9">
      <c r="A226" s="143" t="s">
        <v>269</v>
      </c>
      <c r="B226" s="144">
        <f>(B141-B140)/SUM(B211:B216)</f>
        <v>0.1773660684784284</v>
      </c>
      <c r="C226" s="144">
        <f t="shared" ref="C226:G226" si="42">(C141-C140)/SUM(C211:C216)</f>
        <v>0.194116102979938</v>
      </c>
      <c r="D226" s="144">
        <f t="shared" si="42"/>
        <v>0.18767685153498798</v>
      </c>
      <c r="E226" s="144">
        <f t="shared" si="42"/>
        <v>0.18832161107418371</v>
      </c>
      <c r="F226" s="144">
        <f t="shared" si="42"/>
        <v>0.18405638576092462</v>
      </c>
      <c r="G226" s="144">
        <f t="shared" si="42"/>
        <v>0.18622756548821595</v>
      </c>
      <c r="I226" s="145">
        <f t="shared" ref="I226:I238" si="43">AVERAGE(B226:G226)</f>
        <v>0.18629409755277973</v>
      </c>
    </row>
    <row r="227" spans="1:9">
      <c r="A227" s="143" t="s">
        <v>141</v>
      </c>
      <c r="B227" s="144">
        <f>(B161)/SUM(B211:B216)</f>
        <v>1.3248923397383098E-3</v>
      </c>
      <c r="C227" s="144">
        <f t="shared" ref="C227:G227" si="44">(C161)/SUM(C211:C216)</f>
        <v>1.2630162517264021E-3</v>
      </c>
      <c r="D227" s="144">
        <f t="shared" si="44"/>
        <v>1.1067568259990105E-3</v>
      </c>
      <c r="E227" s="144">
        <f t="shared" si="44"/>
        <v>9.6406983983756669E-4</v>
      </c>
      <c r="F227" s="144">
        <f t="shared" si="44"/>
        <v>8.6438949688950797E-4</v>
      </c>
      <c r="G227" s="144">
        <f t="shared" si="44"/>
        <v>7.9051549814116839E-4</v>
      </c>
      <c r="H227" s="144"/>
      <c r="I227" s="145">
        <f t="shared" si="43"/>
        <v>1.052273375388661E-3</v>
      </c>
    </row>
    <row r="228" spans="1:9">
      <c r="A228" s="143" t="s">
        <v>270</v>
      </c>
      <c r="B228" s="144">
        <f>(B160+B167+B168)/SUM(B211:B216)</f>
        <v>4.0148880615396516E-2</v>
      </c>
      <c r="C228" s="144">
        <f t="shared" ref="C228:G228" si="45">(C160+C167+C168)/SUM(C211:C216)</f>
        <v>4.6571492458399207E-2</v>
      </c>
      <c r="D228" s="144">
        <f t="shared" si="45"/>
        <v>5.067651636603375E-2</v>
      </c>
      <c r="E228" s="144">
        <f t="shared" si="45"/>
        <v>5.1279616768818766E-2</v>
      </c>
      <c r="F228" s="144">
        <f t="shared" si="45"/>
        <v>5.1719587651969143E-2</v>
      </c>
      <c r="G228" s="144">
        <f t="shared" si="45"/>
        <v>5.1987955438123477E-2</v>
      </c>
      <c r="I228" s="145">
        <f t="shared" si="43"/>
        <v>4.8730674883123472E-2</v>
      </c>
    </row>
    <row r="229" spans="1:9">
      <c r="A229" s="143" t="s">
        <v>271</v>
      </c>
      <c r="B229" s="144">
        <f>(B140+B156+B157+B158+B159)/SUM(B211:B216)</f>
        <v>3.6182623193698346E-2</v>
      </c>
      <c r="C229" s="144">
        <f t="shared" ref="C229:G229" si="46">(C140+C156+C157+C158+C159)/SUM(C211:C216)</f>
        <v>8.6705322730281198E-2</v>
      </c>
      <c r="D229" s="144">
        <f t="shared" si="46"/>
        <v>8.8833201106179399E-2</v>
      </c>
      <c r="E229" s="144">
        <f t="shared" si="46"/>
        <v>8.7021673434109478E-2</v>
      </c>
      <c r="F229" s="144">
        <f t="shared" si="46"/>
        <v>8.5321942159823735E-2</v>
      </c>
      <c r="G229" s="144">
        <f t="shared" si="46"/>
        <v>8.4227851274466484E-2</v>
      </c>
      <c r="I229" s="145">
        <f t="shared" si="43"/>
        <v>7.8048768983093111E-2</v>
      </c>
    </row>
    <row r="230" spans="1:9">
      <c r="A230" s="143" t="s">
        <v>272</v>
      </c>
      <c r="B230" s="144">
        <f>(B177+B191+B192+B193)/SUM(B211:B216)</f>
        <v>5.7847412016743104E-3</v>
      </c>
      <c r="C230" s="144">
        <f t="shared" ref="C230:G230" si="47">(C177+C191+C192+C193)/SUM(C211:C216)</f>
        <v>2.2288522089289448E-3</v>
      </c>
      <c r="D230" s="144">
        <f t="shared" si="47"/>
        <v>1.9531002811747245E-3</v>
      </c>
      <c r="E230" s="144">
        <f t="shared" si="47"/>
        <v>1.7012997173604118E-3</v>
      </c>
      <c r="F230" s="144">
        <f t="shared" si="47"/>
        <v>1.5253932298050141E-3</v>
      </c>
      <c r="G230" s="144">
        <f t="shared" si="47"/>
        <v>1.3950273496608852E-3</v>
      </c>
      <c r="I230" s="145">
        <f t="shared" si="43"/>
        <v>2.4314023314340487E-3</v>
      </c>
    </row>
    <row r="231" spans="1:9">
      <c r="A231" s="143" t="s">
        <v>273</v>
      </c>
      <c r="B231" s="144">
        <f>(B154)/SUM(B211:B216)</f>
        <v>0.17491191348314186</v>
      </c>
      <c r="C231" s="144">
        <f t="shared" ref="C231:G231" si="48">(C154)/SUM(C211:C216)</f>
        <v>6.7810005243865171E-2</v>
      </c>
      <c r="D231" s="144">
        <f t="shared" si="48"/>
        <v>6.3117980256882755E-2</v>
      </c>
      <c r="E231" s="144">
        <f t="shared" si="48"/>
        <v>5.7803328798556389E-2</v>
      </c>
      <c r="F231" s="144">
        <f t="shared" si="48"/>
        <v>5.4004797191989258E-2</v>
      </c>
      <c r="G231" s="144">
        <f t="shared" si="48"/>
        <v>5.1084077573272081E-2</v>
      </c>
      <c r="I231" s="145">
        <f t="shared" si="43"/>
        <v>7.8122017091284593E-2</v>
      </c>
    </row>
    <row r="232" spans="1:9">
      <c r="A232" s="143" t="s">
        <v>2</v>
      </c>
      <c r="B232" s="144">
        <f>(B182+B183)/SUM(B211:B216)</f>
        <v>7.1685796810485702E-2</v>
      </c>
      <c r="C232" s="144">
        <f t="shared" ref="C232:G232" si="49">(C182+C183)/SUM(C211:C216)</f>
        <v>8.2193775186661475E-2</v>
      </c>
      <c r="D232" s="144">
        <f t="shared" si="49"/>
        <v>8.922516539143327E-2</v>
      </c>
      <c r="E232" s="144">
        <f t="shared" si="49"/>
        <v>9.0065890418436975E-2</v>
      </c>
      <c r="F232" s="144">
        <f t="shared" si="49"/>
        <v>9.0609057544882812E-2</v>
      </c>
      <c r="G232" s="144">
        <f t="shared" si="49"/>
        <v>9.0852661309451826E-2</v>
      </c>
      <c r="I232" s="145">
        <f t="shared" si="43"/>
        <v>8.5772057776892008E-2</v>
      </c>
    </row>
    <row r="233" spans="1:9">
      <c r="A233" s="143" t="s">
        <v>274</v>
      </c>
      <c r="B233" s="144">
        <f>(B209+B213+B214+B215+B216)/SUM(B211:B216)</f>
        <v>8.302223251731991E-2</v>
      </c>
      <c r="C233" s="144">
        <f t="shared" ref="C233:G233" si="50">(C209+C213+C214+C215+C216)/SUM(C211:C216)</f>
        <v>8.9525563725312618E-2</v>
      </c>
      <c r="D233" s="144">
        <f t="shared" si="50"/>
        <v>9.285720771723463E-2</v>
      </c>
      <c r="E233" s="144">
        <f t="shared" si="50"/>
        <v>9.1603897254263364E-2</v>
      </c>
      <c r="F233" s="144">
        <f t="shared" si="50"/>
        <v>9.1360242494798266E-2</v>
      </c>
      <c r="G233" s="144">
        <f t="shared" si="50"/>
        <v>9.1465182831618266E-2</v>
      </c>
      <c r="I233" s="145">
        <f t="shared" si="43"/>
        <v>8.9972387756757852E-2</v>
      </c>
    </row>
    <row r="234" spans="1:9">
      <c r="A234" s="143" t="s">
        <v>275</v>
      </c>
      <c r="B234" s="144">
        <f>(B179+B180+B181)/SUM(B211:B216)</f>
        <v>3.429791718928188E-3</v>
      </c>
      <c r="C234" s="144">
        <f t="shared" ref="C234:G234" si="51">(C179+C180+C181)/SUM(C211:C216)</f>
        <v>3.2689832397624526E-3</v>
      </c>
      <c r="D234" s="144">
        <f t="shared" si="51"/>
        <v>2.8645470790562627E-3</v>
      </c>
      <c r="E234" s="144">
        <f t="shared" si="51"/>
        <v>2.4952395854619374E-3</v>
      </c>
      <c r="F234" s="144">
        <f t="shared" si="51"/>
        <v>2.2372434037140209E-3</v>
      </c>
      <c r="G234" s="144">
        <f t="shared" si="51"/>
        <v>2.0460401128359652E-3</v>
      </c>
      <c r="I234" s="145">
        <f t="shared" si="43"/>
        <v>2.7236408566264705E-3</v>
      </c>
    </row>
    <row r="235" spans="1:9">
      <c r="A235" s="143" t="s">
        <v>276</v>
      </c>
      <c r="B235" s="144">
        <f>(B185)/SUM(B211:B216)</f>
        <v>2.985672878283515E-4</v>
      </c>
      <c r="C235" s="144">
        <f t="shared" ref="C235:G235" si="52">(C185)/SUM(C211:C216)</f>
        <v>2.9718029452385932E-4</v>
      </c>
      <c r="D235" s="144">
        <f t="shared" si="52"/>
        <v>2.4801273411742531E-4</v>
      </c>
      <c r="E235" s="144">
        <f t="shared" si="52"/>
        <v>2.0575053271176561E-4</v>
      </c>
      <c r="F235" s="144">
        <f t="shared" si="52"/>
        <v>1.7569226992679139E-4</v>
      </c>
      <c r="G235" s="144">
        <f t="shared" si="52"/>
        <v>1.5302566039578273E-4</v>
      </c>
      <c r="I235" s="145">
        <f t="shared" si="43"/>
        <v>2.2970479658399599E-4</v>
      </c>
    </row>
    <row r="236" spans="1:9">
      <c r="A236" s="143" t="s">
        <v>277</v>
      </c>
      <c r="B236" s="144">
        <f>(B162+B163)/SUM(B211:B216)</f>
        <v>1.6794409940344773E-3</v>
      </c>
      <c r="C236" s="144">
        <f t="shared" ref="C236:G236" si="53">(C162+C163)/SUM(C211:C216)</f>
        <v>2.8232127979766638E-3</v>
      </c>
      <c r="D236" s="144">
        <f t="shared" si="53"/>
        <v>2.4181241576448969E-3</v>
      </c>
      <c r="E236" s="144">
        <f t="shared" si="53"/>
        <v>2.0600772087765533E-3</v>
      </c>
      <c r="F236" s="144">
        <f t="shared" si="53"/>
        <v>1.8075440345405706E-3</v>
      </c>
      <c r="G236" s="144">
        <f t="shared" si="53"/>
        <v>1.618633704888279E-3</v>
      </c>
      <c r="I236" s="145">
        <f t="shared" si="43"/>
        <v>2.0678388163102401E-3</v>
      </c>
    </row>
    <row r="237" spans="1:9">
      <c r="A237" s="143" t="s">
        <v>278</v>
      </c>
      <c r="B237" s="144">
        <f>(B164+B165+B172+B173+B176+B178)/SUM(B211:B216)</f>
        <v>1.1032807703477159E-2</v>
      </c>
      <c r="C237" s="144">
        <f t="shared" ref="C237:G237" si="54">(C164+C165+C172+C173+C176+C178)/SUM(C211:C216)</f>
        <v>1.2186769517834423E-2</v>
      </c>
      <c r="D237" s="144">
        <f t="shared" si="54"/>
        <v>1.1358735209843962E-2</v>
      </c>
      <c r="E237" s="144">
        <f t="shared" si="54"/>
        <v>1.0369322759867843E-2</v>
      </c>
      <c r="F237" s="144">
        <f t="shared" si="54"/>
        <v>9.671161521927582E-3</v>
      </c>
      <c r="G237" s="144">
        <f t="shared" si="54"/>
        <v>9.1428132477167339E-3</v>
      </c>
      <c r="I237" s="145">
        <f t="shared" si="43"/>
        <v>1.0626934993444616E-2</v>
      </c>
    </row>
    <row r="238" spans="1:9">
      <c r="A238" s="143" t="s">
        <v>3</v>
      </c>
      <c r="B238" s="144">
        <f>(B166+B169+B175+B184+B186+B187+B189+B194+B195+B196)/SUM(B211:B216)</f>
        <v>2.1848333063237236E-2</v>
      </c>
      <c r="C238" s="144">
        <f t="shared" ref="C238:G238" si="55">(C166+C169+C175+C184+C186+C187+C189+C194+C195+C196)/SUM(C211:C216)</f>
        <v>2.8271222047511251E-2</v>
      </c>
      <c r="D238" s="144">
        <f t="shared" si="55"/>
        <v>3.6428296396718018E-2</v>
      </c>
      <c r="E238" s="144">
        <f t="shared" si="55"/>
        <v>4.480089255715751E-2</v>
      </c>
      <c r="F238" s="144">
        <f t="shared" si="55"/>
        <v>6.5064118321988648E-2</v>
      </c>
      <c r="G238" s="144">
        <f t="shared" si="55"/>
        <v>6.4601102382400591E-2</v>
      </c>
      <c r="I238" s="145">
        <f t="shared" si="43"/>
        <v>4.3502327461502205E-2</v>
      </c>
    </row>
    <row r="239" spans="1:9">
      <c r="A239"/>
      <c r="B239"/>
      <c r="C239"/>
      <c r="D239"/>
    </row>
    <row r="240" spans="1:9">
      <c r="A240"/>
      <c r="B240" s="146">
        <f>SUM(B225:B239)</f>
        <v>0.99999999999999989</v>
      </c>
      <c r="C240" s="146">
        <f t="shared" ref="C240:I240" si="56">SUM(C225:C239)</f>
        <v>1.0000000000000002</v>
      </c>
      <c r="D240" s="146">
        <f t="shared" si="56"/>
        <v>1</v>
      </c>
      <c r="E240" s="146">
        <f t="shared" si="56"/>
        <v>1</v>
      </c>
      <c r="F240" s="146">
        <f t="shared" si="56"/>
        <v>0.99999999999999989</v>
      </c>
      <c r="G240" s="146">
        <f t="shared" si="56"/>
        <v>0.99999999999999989</v>
      </c>
      <c r="I240" s="146">
        <f t="shared" si="56"/>
        <v>1</v>
      </c>
    </row>
  </sheetData>
  <pageMargins left="0.7" right="0.7" top="0.75" bottom="0.75" header="0.3" footer="0.3"/>
  <pageSetup scale="56" fitToHeight="0" orientation="portrait" r:id="rId1"/>
  <rowBreaks count="2" manualBreakCount="2">
    <brk id="71" max="7" man="1"/>
    <brk id="14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23-24</vt:lpstr>
      <vt:lpstr>24-25</vt:lpstr>
      <vt:lpstr>25-26</vt:lpstr>
      <vt:lpstr>26-27</vt:lpstr>
      <vt:lpstr>27-28</vt:lpstr>
      <vt:lpstr>28-29</vt:lpstr>
      <vt:lpstr>6-Year (System)</vt:lpstr>
      <vt:lpstr>6-Year (Virtual)</vt:lpstr>
      <vt:lpstr>6-Year (Springs)</vt:lpstr>
      <vt:lpstr>Bond</vt:lpstr>
      <vt:lpstr>FFE</vt:lpstr>
      <vt:lpstr>'23-24'!Print_Area</vt:lpstr>
      <vt:lpstr>'24-25'!Print_Area</vt:lpstr>
      <vt:lpstr>'25-26'!Print_Area</vt:lpstr>
      <vt:lpstr>'26-27'!Print_Area</vt:lpstr>
      <vt:lpstr>'27-28'!Print_Area</vt:lpstr>
      <vt:lpstr>'28-29'!Print_Area</vt:lpstr>
      <vt:lpstr>'6-Year (Springs)'!Print_Area</vt:lpstr>
      <vt:lpstr>'6-Year (System)'!Print_Area</vt:lpstr>
      <vt:lpstr>'6-Year (Virtual)'!Print_Area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Padron</dc:creator>
  <cp:lastModifiedBy>Paul Ballou</cp:lastModifiedBy>
  <cp:lastPrinted>2024-04-26T11:51:32Z</cp:lastPrinted>
  <dcterms:created xsi:type="dcterms:W3CDTF">2024-04-17T18:19:16Z</dcterms:created>
  <dcterms:modified xsi:type="dcterms:W3CDTF">2024-05-02T16:59:46Z</dcterms:modified>
</cp:coreProperties>
</file>