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School Growth &amp; Development\Active Projects or Drafts\Nevada\Young Women's Leadership Academy (YWLA)\Amend_Enroll Reduction 3\"/>
    </mc:Choice>
  </mc:AlternateContent>
  <bookViews>
    <workbookView xWindow="0" yWindow="0" windowWidth="0" windowHeight="0" firstSheet="7" activeTab="7"/>
  </bookViews>
  <sheets>
    <sheet name="23-24" sheetId="1" r:id="rId1"/>
    <sheet name="24-25" sheetId="3" r:id="rId2"/>
    <sheet name="25-26" sheetId="4" r:id="rId3"/>
    <sheet name="26-27" sheetId="5" r:id="rId4"/>
    <sheet name="27-28" sheetId="6" r:id="rId5"/>
    <sheet name="28-29" sheetId="7" r:id="rId6"/>
    <sheet name="6-Year (auto-populated)" sheetId="8" r:id="rId7"/>
    <sheet name="Enrollment Tables" sheetId="10" r:id="rId8"/>
    <sheet name="Staffing Tables" sheetId="9" r:id="rId9"/>
    <sheet name="FFE" sheetId="2" r:id="rId10"/>
  </sheets>
  <externalReferences>
    <externalReference r:id="rId11"/>
  </externalReferences>
  <definedNames>
    <definedName name="_Toc4075975" localSheetId="8">'Staffing Tables'!$B$47</definedName>
    <definedName name="_Toc4075978" localSheetId="7">'Enrollment Tables'!$B$8</definedName>
    <definedName name="_xlnm.Print_Area" localSheetId="0">'23-24'!$A$1:$I$223</definedName>
    <definedName name="_xlnm.Print_Area" localSheetId="1">'24-25'!$A$1:$I$224</definedName>
    <definedName name="_xlnm.Print_Area" localSheetId="2">'25-26'!$A$1:$I$224</definedName>
    <definedName name="_xlnm.Print_Area" localSheetId="3">'26-27'!$A$1:$I$224</definedName>
    <definedName name="_xlnm.Print_Area" localSheetId="4">'27-28'!$A$1:$I$224</definedName>
    <definedName name="_xlnm.Print_Area" localSheetId="5">'28-29'!$A$1:$I$224</definedName>
    <definedName name="_xlnm.Print_Area" localSheetId="6">'6-Year (auto-populated)'!$A$1:$G$241</definedName>
    <definedName name="_xlnm.Print_Area" localSheetId="7">'Enrollment Tables'!$A$1:$I$74</definedName>
    <definedName name="_xlnm.Print_Area" localSheetId="8">'Staffing Tables'!$A$1:$I$131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" i="10" l="1"/>
  <c r="E23" i="10"/>
  <c r="F23" i="10"/>
  <c r="G23" i="10"/>
  <c r="H23" i="10"/>
  <c r="E24" i="10"/>
  <c r="F24" i="10"/>
  <c r="G24" i="10"/>
  <c r="H24" i="10"/>
  <c r="E25" i="10"/>
  <c r="F25" i="10"/>
  <c r="G25" i="10"/>
  <c r="H25" i="10"/>
  <c r="E26" i="10"/>
  <c r="F26" i="10"/>
  <c r="G26" i="10"/>
  <c r="H26" i="10"/>
  <c r="E27" i="10"/>
  <c r="F27" i="10"/>
  <c r="G27" i="10"/>
  <c r="H27" i="10"/>
  <c r="E28" i="10"/>
  <c r="F28" i="10"/>
  <c r="G28" i="10"/>
  <c r="H28" i="10"/>
  <c r="E29" i="10"/>
  <c r="F29" i="10"/>
  <c r="G29" i="10"/>
  <c r="H29" i="10"/>
  <c r="D24" i="10"/>
  <c r="D25" i="10"/>
  <c r="D26" i="10"/>
  <c r="D27" i="10"/>
  <c r="D28" i="10"/>
  <c r="D29" i="10"/>
  <c r="D23" i="10"/>
  <c r="B13" i="4" l="1"/>
  <c r="D27" i="9"/>
  <c r="E27" i="9"/>
  <c r="F27" i="9"/>
  <c r="G27" i="9"/>
  <c r="H27" i="9"/>
  <c r="C27" i="9"/>
  <c r="B163" i="7"/>
  <c r="B163" i="6"/>
  <c r="B163" i="5"/>
  <c r="B163" i="4"/>
  <c r="B163" i="3"/>
  <c r="B207" i="7"/>
  <c r="B202" i="7"/>
  <c r="B203" i="7"/>
  <c r="B204" i="7"/>
  <c r="B205" i="7"/>
  <c r="B206" i="7"/>
  <c r="B202" i="6"/>
  <c r="B203" i="6"/>
  <c r="B204" i="6"/>
  <c r="B205" i="6"/>
  <c r="B206" i="6"/>
  <c r="B201" i="6"/>
  <c r="B202" i="5"/>
  <c r="B203" i="5"/>
  <c r="B204" i="5"/>
  <c r="B205" i="5"/>
  <c r="B206" i="5"/>
  <c r="B201" i="5"/>
  <c r="B202" i="4"/>
  <c r="B203" i="4"/>
  <c r="B204" i="4"/>
  <c r="B205" i="4"/>
  <c r="B206" i="4"/>
  <c r="B201" i="4"/>
  <c r="B207" i="3"/>
  <c r="B206" i="3"/>
  <c r="B204" i="3"/>
  <c r="B203" i="3"/>
  <c r="B202" i="3"/>
  <c r="B201" i="3"/>
  <c r="D131" i="7"/>
  <c r="D131" i="6"/>
  <c r="D131" i="5"/>
  <c r="D131" i="4"/>
  <c r="D131" i="3"/>
  <c r="F120" i="7"/>
  <c r="F120" i="6"/>
  <c r="F120" i="5"/>
  <c r="F120" i="4"/>
  <c r="F120" i="3"/>
  <c r="B118" i="7"/>
  <c r="C117" i="7"/>
  <c r="B116" i="7"/>
  <c r="C117" i="6"/>
  <c r="B116" i="6"/>
  <c r="J116" i="5"/>
  <c r="J116" i="4"/>
  <c r="C117" i="5"/>
  <c r="B116" i="5"/>
  <c r="C117" i="4"/>
  <c r="B116" i="4"/>
  <c r="B114" i="7"/>
  <c r="J215" i="7"/>
  <c r="J215" i="4"/>
  <c r="B78" i="7"/>
  <c r="B77" i="7"/>
  <c r="B78" i="6"/>
  <c r="B77" i="6"/>
  <c r="B78" i="5"/>
  <c r="B77" i="5"/>
  <c r="B78" i="4"/>
  <c r="B77" i="4"/>
  <c r="B216" i="8"/>
  <c r="C216" i="8"/>
  <c r="D216" i="8"/>
  <c r="E216" i="8"/>
  <c r="F216" i="8"/>
  <c r="G216" i="8"/>
  <c r="B217" i="8"/>
  <c r="C217" i="8"/>
  <c r="D217" i="8"/>
  <c r="E217" i="8"/>
  <c r="F217" i="8"/>
  <c r="G217" i="8"/>
  <c r="B218" i="8"/>
  <c r="C218" i="8"/>
  <c r="D218" i="8"/>
  <c r="E218" i="8"/>
  <c r="F218" i="8"/>
  <c r="G218" i="8"/>
  <c r="B215" i="8"/>
  <c r="B202" i="8"/>
  <c r="B203" i="8"/>
  <c r="B204" i="8"/>
  <c r="B205" i="8"/>
  <c r="B206" i="8"/>
  <c r="B207" i="8"/>
  <c r="D207" i="8"/>
  <c r="E207" i="8"/>
  <c r="B208" i="8"/>
  <c r="B209" i="8"/>
  <c r="B210" i="8"/>
  <c r="B201" i="8"/>
  <c r="B175" i="8"/>
  <c r="C175" i="8"/>
  <c r="D175" i="8"/>
  <c r="E175" i="8"/>
  <c r="F175" i="8"/>
  <c r="G175" i="8"/>
  <c r="B176" i="8"/>
  <c r="C176" i="8"/>
  <c r="D176" i="8"/>
  <c r="E176" i="8"/>
  <c r="F176" i="8"/>
  <c r="G176" i="8"/>
  <c r="B177" i="8"/>
  <c r="C177" i="8"/>
  <c r="D177" i="8"/>
  <c r="E177" i="8"/>
  <c r="F177" i="8"/>
  <c r="G177" i="8"/>
  <c r="B178" i="8"/>
  <c r="C178" i="8"/>
  <c r="D178" i="8"/>
  <c r="E178" i="8"/>
  <c r="F178" i="8"/>
  <c r="G178" i="8"/>
  <c r="B179" i="8"/>
  <c r="C179" i="8"/>
  <c r="D179" i="8"/>
  <c r="E179" i="8"/>
  <c r="F179" i="8"/>
  <c r="G179" i="8"/>
  <c r="B180" i="8"/>
  <c r="B181" i="8"/>
  <c r="C181" i="8"/>
  <c r="D181" i="8"/>
  <c r="E181" i="8"/>
  <c r="F181" i="8"/>
  <c r="G181" i="8"/>
  <c r="B182" i="8"/>
  <c r="C182" i="8"/>
  <c r="D182" i="8"/>
  <c r="E182" i="8"/>
  <c r="F182" i="8"/>
  <c r="G182" i="8"/>
  <c r="B183" i="8"/>
  <c r="C183" i="8"/>
  <c r="D183" i="8"/>
  <c r="E183" i="8"/>
  <c r="F183" i="8"/>
  <c r="G183" i="8"/>
  <c r="B184" i="8"/>
  <c r="B185" i="8"/>
  <c r="B186" i="8"/>
  <c r="C186" i="8"/>
  <c r="D186" i="8"/>
  <c r="E186" i="8"/>
  <c r="F186" i="8"/>
  <c r="G186" i="8"/>
  <c r="B187" i="8"/>
  <c r="C187" i="8"/>
  <c r="D187" i="8"/>
  <c r="E187" i="8"/>
  <c r="F187" i="8"/>
  <c r="G187" i="8"/>
  <c r="B188" i="8"/>
  <c r="C188" i="8"/>
  <c r="D188" i="8"/>
  <c r="E188" i="8"/>
  <c r="F188" i="8"/>
  <c r="G188" i="8"/>
  <c r="B189" i="8"/>
  <c r="D189" i="8"/>
  <c r="E189" i="8"/>
  <c r="F189" i="8"/>
  <c r="G189" i="8"/>
  <c r="B190" i="8"/>
  <c r="C190" i="8"/>
  <c r="D190" i="8"/>
  <c r="E190" i="8"/>
  <c r="F190" i="8"/>
  <c r="G190" i="8"/>
  <c r="B191" i="8"/>
  <c r="C191" i="8"/>
  <c r="B192" i="8"/>
  <c r="C192" i="8"/>
  <c r="D192" i="8"/>
  <c r="E192" i="8"/>
  <c r="F192" i="8"/>
  <c r="G192" i="8"/>
  <c r="B193" i="8"/>
  <c r="C193" i="8"/>
  <c r="B194" i="8"/>
  <c r="C194" i="8"/>
  <c r="D194" i="8"/>
  <c r="E194" i="8"/>
  <c r="F194" i="8"/>
  <c r="G194" i="8"/>
  <c r="B195" i="8"/>
  <c r="C195" i="8"/>
  <c r="D195" i="8"/>
  <c r="E195" i="8"/>
  <c r="F195" i="8"/>
  <c r="G195" i="8"/>
  <c r="B196" i="8"/>
  <c r="C196" i="8"/>
  <c r="D196" i="8"/>
  <c r="E196" i="8"/>
  <c r="F196" i="8"/>
  <c r="G196" i="8"/>
  <c r="B197" i="8"/>
  <c r="C197" i="8"/>
  <c r="D197" i="8"/>
  <c r="E197" i="8"/>
  <c r="F197" i="8"/>
  <c r="G197" i="8"/>
  <c r="B198" i="8"/>
  <c r="I196" i="7"/>
  <c r="I196" i="6"/>
  <c r="I196" i="5"/>
  <c r="I196" i="4"/>
  <c r="I196" i="3"/>
  <c r="C80" i="3"/>
  <c r="B118" i="3"/>
  <c r="B109" i="3"/>
  <c r="B114" i="3"/>
  <c r="B16" i="7" l="1"/>
  <c r="B15" i="7"/>
  <c r="B12" i="7"/>
  <c r="B11" i="7"/>
  <c r="B10" i="7"/>
  <c r="B15" i="6"/>
  <c r="B14" i="6"/>
  <c r="B12" i="6"/>
  <c r="B11" i="6"/>
  <c r="B10" i="6"/>
  <c r="B11" i="5"/>
  <c r="B12" i="5"/>
  <c r="B13" i="5"/>
  <c r="B14" i="5"/>
  <c r="B10" i="5"/>
  <c r="B12" i="4"/>
  <c r="B11" i="4"/>
  <c r="B10" i="4"/>
  <c r="B12" i="3"/>
  <c r="B11" i="3"/>
  <c r="B10" i="3"/>
  <c r="B2" i="7"/>
  <c r="B2" i="6"/>
  <c r="B2" i="5"/>
  <c r="B2" i="4"/>
  <c r="B95" i="1"/>
  <c r="B97" i="1" s="1"/>
  <c r="I220" i="1"/>
  <c r="I219" i="1"/>
  <c r="I218" i="1"/>
  <c r="I217" i="1"/>
  <c r="I216" i="1"/>
  <c r="H211" i="1"/>
  <c r="G211" i="1"/>
  <c r="F211" i="1"/>
  <c r="E211" i="1"/>
  <c r="D211" i="1"/>
  <c r="C211" i="1"/>
  <c r="I210" i="1"/>
  <c r="I209" i="1"/>
  <c r="I208" i="1"/>
  <c r="B207" i="1"/>
  <c r="I207" i="1" s="1"/>
  <c r="B206" i="1"/>
  <c r="I206" i="1" s="1"/>
  <c r="I205" i="1"/>
  <c r="B204" i="1"/>
  <c r="I204" i="1" s="1"/>
  <c r="B203" i="1"/>
  <c r="I203" i="1" s="1"/>
  <c r="I202" i="1"/>
  <c r="B202" i="1"/>
  <c r="B201" i="1"/>
  <c r="I201" i="1" s="1"/>
  <c r="I200" i="1"/>
  <c r="H200" i="1"/>
  <c r="G200" i="1"/>
  <c r="F200" i="1"/>
  <c r="E200" i="1"/>
  <c r="D200" i="1"/>
  <c r="C200" i="1"/>
  <c r="B200" i="1"/>
  <c r="H199" i="1"/>
  <c r="G199" i="1"/>
  <c r="F199" i="1"/>
  <c r="E199" i="1"/>
  <c r="C199" i="1"/>
  <c r="B197" i="1"/>
  <c r="I197" i="1" s="1"/>
  <c r="I196" i="1"/>
  <c r="I195" i="1"/>
  <c r="I194" i="1"/>
  <c r="I193" i="1"/>
  <c r="I192" i="1"/>
  <c r="I191" i="1"/>
  <c r="I190" i="1"/>
  <c r="I189" i="1"/>
  <c r="B188" i="1"/>
  <c r="I188" i="1" s="1"/>
  <c r="I187" i="1"/>
  <c r="I186" i="1"/>
  <c r="I183" i="1"/>
  <c r="I182" i="1"/>
  <c r="I181" i="1"/>
  <c r="B179" i="1"/>
  <c r="I179" i="1" s="1"/>
  <c r="I178" i="1"/>
  <c r="I177" i="1"/>
  <c r="I176" i="1"/>
  <c r="I175" i="1"/>
  <c r="B174" i="1"/>
  <c r="I173" i="1"/>
  <c r="H173" i="1"/>
  <c r="G173" i="1"/>
  <c r="F173" i="1"/>
  <c r="E173" i="1"/>
  <c r="D173" i="1"/>
  <c r="C173" i="1"/>
  <c r="B173" i="1"/>
  <c r="F172" i="1"/>
  <c r="E172" i="1"/>
  <c r="D172" i="1"/>
  <c r="H171" i="1"/>
  <c r="G171" i="1"/>
  <c r="I170" i="1"/>
  <c r="B169" i="1"/>
  <c r="I169" i="1" s="1"/>
  <c r="I167" i="1"/>
  <c r="I165" i="1"/>
  <c r="B164" i="1"/>
  <c r="I164" i="1" s="1"/>
  <c r="B163" i="1"/>
  <c r="I161" i="1"/>
  <c r="B160" i="1"/>
  <c r="I160" i="1" s="1"/>
  <c r="C159" i="1"/>
  <c r="C172" i="1" s="1"/>
  <c r="I158" i="1"/>
  <c r="I157" i="1"/>
  <c r="H157" i="1"/>
  <c r="G157" i="1"/>
  <c r="F157" i="1"/>
  <c r="E157" i="1"/>
  <c r="D157" i="1"/>
  <c r="C157" i="1"/>
  <c r="B157" i="1"/>
  <c r="H156" i="1"/>
  <c r="G156" i="1"/>
  <c r="F156" i="1"/>
  <c r="E156" i="1"/>
  <c r="D156" i="1"/>
  <c r="I155" i="1"/>
  <c r="B155" i="1"/>
  <c r="I154" i="1"/>
  <c r="C153" i="1"/>
  <c r="C156" i="1" s="1"/>
  <c r="B153" i="1"/>
  <c r="I153" i="1" s="1"/>
  <c r="B152" i="1"/>
  <c r="I152" i="1" s="1"/>
  <c r="I148" i="1"/>
  <c r="E148" i="1"/>
  <c r="I147" i="1"/>
  <c r="I146" i="1"/>
  <c r="I145" i="1"/>
  <c r="H145" i="1"/>
  <c r="G145" i="1"/>
  <c r="F145" i="1"/>
  <c r="E145" i="1"/>
  <c r="D145" i="1"/>
  <c r="C145" i="1"/>
  <c r="B145" i="1"/>
  <c r="I141" i="1"/>
  <c r="I140" i="1"/>
  <c r="I139" i="1"/>
  <c r="D137" i="1"/>
  <c r="H133" i="1"/>
  <c r="H134" i="1" s="1"/>
  <c r="F133" i="1"/>
  <c r="E133" i="1"/>
  <c r="I132" i="1"/>
  <c r="H131" i="1"/>
  <c r="D131" i="1"/>
  <c r="D133" i="1" s="1"/>
  <c r="C131" i="1"/>
  <c r="C133" i="1" s="1"/>
  <c r="B131" i="1"/>
  <c r="B133" i="1" s="1"/>
  <c r="I130" i="1"/>
  <c r="I129" i="1"/>
  <c r="I128" i="1"/>
  <c r="I127" i="1"/>
  <c r="I126" i="1"/>
  <c r="I125" i="1"/>
  <c r="H123" i="1"/>
  <c r="G123" i="1"/>
  <c r="G134" i="1" s="1"/>
  <c r="E123" i="1"/>
  <c r="E134" i="1" s="1"/>
  <c r="D123" i="1"/>
  <c r="D134" i="1" s="1"/>
  <c r="C123" i="1"/>
  <c r="C134" i="1" s="1"/>
  <c r="I122" i="1"/>
  <c r="B121" i="1"/>
  <c r="I121" i="1" s="1"/>
  <c r="F120" i="1"/>
  <c r="F123" i="1" s="1"/>
  <c r="F134" i="1" s="1"/>
  <c r="D120" i="1"/>
  <c r="C120" i="1"/>
  <c r="I120" i="1" s="1"/>
  <c r="B120" i="1"/>
  <c r="B119" i="1"/>
  <c r="I119" i="1" s="1"/>
  <c r="I118" i="1"/>
  <c r="B118" i="1"/>
  <c r="C117" i="1"/>
  <c r="I117" i="1" s="1"/>
  <c r="I115" i="1"/>
  <c r="E114" i="1"/>
  <c r="I114" i="1" s="1"/>
  <c r="I113" i="1"/>
  <c r="I112" i="1"/>
  <c r="I111" i="1"/>
  <c r="I110" i="1"/>
  <c r="B109" i="1"/>
  <c r="I108" i="1"/>
  <c r="I106" i="1"/>
  <c r="H106" i="1"/>
  <c r="G106" i="1"/>
  <c r="F106" i="1"/>
  <c r="E106" i="1"/>
  <c r="D106" i="1"/>
  <c r="C106" i="1"/>
  <c r="B106" i="1"/>
  <c r="I104" i="1"/>
  <c r="H104" i="1"/>
  <c r="G104" i="1"/>
  <c r="F104" i="1"/>
  <c r="E104" i="1"/>
  <c r="D104" i="1"/>
  <c r="C104" i="1"/>
  <c r="B104" i="1"/>
  <c r="I103" i="1"/>
  <c r="I102" i="1"/>
  <c r="I101" i="1"/>
  <c r="I100" i="1"/>
  <c r="E98" i="1"/>
  <c r="H97" i="1"/>
  <c r="D97" i="1"/>
  <c r="C97" i="1"/>
  <c r="I96" i="1"/>
  <c r="I94" i="1"/>
  <c r="I93" i="1"/>
  <c r="H91" i="1"/>
  <c r="G91" i="1"/>
  <c r="F91" i="1"/>
  <c r="E91" i="1"/>
  <c r="B91" i="1"/>
  <c r="B90" i="1"/>
  <c r="I90" i="1" s="1"/>
  <c r="I89" i="1"/>
  <c r="I88" i="1"/>
  <c r="I87" i="1"/>
  <c r="I86" i="1"/>
  <c r="D84" i="1"/>
  <c r="I84" i="1" s="1"/>
  <c r="C83" i="1"/>
  <c r="C91" i="1" s="1"/>
  <c r="H81" i="1"/>
  <c r="H98" i="1" s="1"/>
  <c r="G81" i="1"/>
  <c r="G98" i="1" s="1"/>
  <c r="F81" i="1"/>
  <c r="F98" i="1" s="1"/>
  <c r="E81" i="1"/>
  <c r="D81" i="1"/>
  <c r="C80" i="1"/>
  <c r="C81" i="1" s="1"/>
  <c r="I79" i="1"/>
  <c r="I78" i="1"/>
  <c r="B77" i="1"/>
  <c r="I77" i="1" s="1"/>
  <c r="B76" i="1"/>
  <c r="I76" i="1" s="1"/>
  <c r="I73" i="1"/>
  <c r="H73" i="1"/>
  <c r="G73" i="1"/>
  <c r="F73" i="1"/>
  <c r="E73" i="1"/>
  <c r="D73" i="1"/>
  <c r="C73" i="1"/>
  <c r="B73" i="1"/>
  <c r="D65" i="1"/>
  <c r="C65" i="1"/>
  <c r="B65" i="1"/>
  <c r="F64" i="1"/>
  <c r="E64" i="1"/>
  <c r="D64" i="1"/>
  <c r="D66" i="1" s="1"/>
  <c r="H62" i="1"/>
  <c r="H65" i="1" s="1"/>
  <c r="G62" i="1"/>
  <c r="G65" i="1" s="1"/>
  <c r="F62" i="1"/>
  <c r="F65" i="1" s="1"/>
  <c r="F66" i="1" s="1"/>
  <c r="F136" i="1" s="1"/>
  <c r="E62" i="1"/>
  <c r="E65" i="1" s="1"/>
  <c r="E66" i="1" s="1"/>
  <c r="D62" i="1"/>
  <c r="C62" i="1"/>
  <c r="B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5" i="1"/>
  <c r="I44" i="1"/>
  <c r="I43" i="1"/>
  <c r="I42" i="1"/>
  <c r="I41" i="1"/>
  <c r="I40" i="1"/>
  <c r="I62" i="1" s="1"/>
  <c r="I65" i="1" s="1"/>
  <c r="I39" i="1"/>
  <c r="I38" i="1"/>
  <c r="H38" i="1"/>
  <c r="G38" i="1"/>
  <c r="F38" i="1"/>
  <c r="E38" i="1"/>
  <c r="D38" i="1"/>
  <c r="C38" i="1"/>
  <c r="B38" i="1"/>
  <c r="H36" i="1"/>
  <c r="H64" i="1" s="1"/>
  <c r="H66" i="1" s="1"/>
  <c r="G36" i="1"/>
  <c r="G137" i="1" s="1"/>
  <c r="F36" i="1"/>
  <c r="F142" i="1" s="1"/>
  <c r="E36" i="1"/>
  <c r="E142" i="1" s="1"/>
  <c r="D36" i="1"/>
  <c r="D142" i="1" s="1"/>
  <c r="C36" i="1"/>
  <c r="C64" i="1" s="1"/>
  <c r="C66" i="1" s="1"/>
  <c r="B36" i="1"/>
  <c r="B142" i="1" s="1"/>
  <c r="I35" i="1"/>
  <c r="I34" i="1"/>
  <c r="I33" i="1"/>
  <c r="I32" i="1"/>
  <c r="I31" i="1"/>
  <c r="I30" i="1"/>
  <c r="I29" i="1"/>
  <c r="I36" i="1" s="1"/>
  <c r="I64" i="1" s="1"/>
  <c r="I66" i="1" s="1"/>
  <c r="I28" i="1"/>
  <c r="I27" i="1"/>
  <c r="J27" i="1" s="1"/>
  <c r="I26" i="1"/>
  <c r="H26" i="1"/>
  <c r="G26" i="1"/>
  <c r="F26" i="1"/>
  <c r="E26" i="1"/>
  <c r="D26" i="1"/>
  <c r="C26" i="1"/>
  <c r="B26" i="1"/>
  <c r="I24" i="1"/>
  <c r="I23" i="1"/>
  <c r="I22" i="1"/>
  <c r="I21" i="1"/>
  <c r="I20" i="1"/>
  <c r="J28" i="1" s="1"/>
  <c r="I19" i="1"/>
  <c r="H19" i="1"/>
  <c r="G19" i="1"/>
  <c r="F19" i="1"/>
  <c r="E19" i="1"/>
  <c r="D19" i="1"/>
  <c r="C19" i="1"/>
  <c r="B19" i="1"/>
  <c r="H17" i="1"/>
  <c r="G17" i="1"/>
  <c r="F17" i="1"/>
  <c r="D17" i="1"/>
  <c r="C17" i="1"/>
  <c r="B17" i="1"/>
  <c r="B162" i="1" s="1"/>
  <c r="I162" i="1" s="1"/>
  <c r="I16" i="1"/>
  <c r="I15" i="1"/>
  <c r="I14" i="1"/>
  <c r="I13" i="1"/>
  <c r="I12" i="1"/>
  <c r="I11" i="1"/>
  <c r="I10" i="1"/>
  <c r="J9" i="1"/>
  <c r="I9" i="1"/>
  <c r="J8" i="1"/>
  <c r="I8" i="1"/>
  <c r="J7" i="1"/>
  <c r="I7" i="1"/>
  <c r="J6" i="1"/>
  <c r="I6" i="1"/>
  <c r="J5" i="1"/>
  <c r="I5" i="1"/>
  <c r="J4" i="1"/>
  <c r="J17" i="1" s="1"/>
  <c r="I4" i="1"/>
  <c r="I17" i="1" s="1"/>
  <c r="B3" i="1"/>
  <c r="I3" i="1" s="1"/>
  <c r="I2" i="1"/>
  <c r="L113" i="1"/>
  <c r="B121" i="7"/>
  <c r="B121" i="6"/>
  <c r="B121" i="5"/>
  <c r="B121" i="4"/>
  <c r="B121" i="3"/>
  <c r="I23" i="7"/>
  <c r="I23" i="6"/>
  <c r="I23" i="5"/>
  <c r="I23" i="4"/>
  <c r="I23" i="3"/>
  <c r="I95" i="1" l="1"/>
  <c r="I97" i="1" s="1"/>
  <c r="C135" i="1"/>
  <c r="D136" i="1"/>
  <c r="D138" i="1"/>
  <c r="D135" i="1"/>
  <c r="D143" i="1" s="1"/>
  <c r="D144" i="1" s="1"/>
  <c r="E135" i="1"/>
  <c r="E143" i="1" s="1"/>
  <c r="E144" i="1" s="1"/>
  <c r="E213" i="1" s="1"/>
  <c r="E221" i="1" s="1"/>
  <c r="G135" i="1"/>
  <c r="H135" i="1"/>
  <c r="C98" i="1"/>
  <c r="B123" i="1"/>
  <c r="B134" i="1" s="1"/>
  <c r="H163" i="1"/>
  <c r="H172" i="1" s="1"/>
  <c r="H138" i="1"/>
  <c r="H136" i="1"/>
  <c r="I211" i="1"/>
  <c r="C138" i="1"/>
  <c r="C136" i="1"/>
  <c r="E136" i="1"/>
  <c r="F135" i="1"/>
  <c r="F143" i="1" s="1"/>
  <c r="F144" i="1"/>
  <c r="F213" i="1" s="1"/>
  <c r="F221" i="1" s="1"/>
  <c r="H142" i="1"/>
  <c r="I174" i="1"/>
  <c r="D184" i="1"/>
  <c r="I83" i="1"/>
  <c r="H137" i="1"/>
  <c r="C142" i="1"/>
  <c r="I142" i="1" s="1"/>
  <c r="B150" i="1"/>
  <c r="I150" i="1" s="1"/>
  <c r="G64" i="1"/>
  <c r="G66" i="1" s="1"/>
  <c r="I109" i="1"/>
  <c r="B151" i="1"/>
  <c r="I151" i="1" s="1"/>
  <c r="D185" i="1"/>
  <c r="I185" i="1" s="1"/>
  <c r="I80" i="1"/>
  <c r="I159" i="1"/>
  <c r="B198" i="1"/>
  <c r="I198" i="1" s="1"/>
  <c r="B211" i="1"/>
  <c r="D85" i="1"/>
  <c r="I85" i="1" s="1"/>
  <c r="B137" i="1"/>
  <c r="B166" i="1"/>
  <c r="I166" i="1" s="1"/>
  <c r="B180" i="1"/>
  <c r="I180" i="1" s="1"/>
  <c r="B64" i="1"/>
  <c r="B66" i="1" s="1"/>
  <c r="B75" i="1"/>
  <c r="I131" i="1"/>
  <c r="I133" i="1" s="1"/>
  <c r="C137" i="1"/>
  <c r="B215" i="1"/>
  <c r="I215" i="1" s="1"/>
  <c r="G142" i="1"/>
  <c r="B116" i="1"/>
  <c r="I116" i="1" s="1"/>
  <c r="B149" i="1"/>
  <c r="B164" i="3"/>
  <c r="B164" i="4" s="1"/>
  <c r="B164" i="5" s="1"/>
  <c r="B164" i="6" s="1"/>
  <c r="B164" i="7" s="1"/>
  <c r="B147" i="7"/>
  <c r="B147" i="6"/>
  <c r="B147" i="4"/>
  <c r="B160" i="3"/>
  <c r="B90" i="3" s="1"/>
  <c r="D213" i="1" l="1"/>
  <c r="B168" i="1"/>
  <c r="I75" i="1"/>
  <c r="B171" i="1"/>
  <c r="I171" i="1" s="1"/>
  <c r="B81" i="1"/>
  <c r="B98" i="1" s="1"/>
  <c r="B135" i="1"/>
  <c r="B136" i="1"/>
  <c r="I136" i="1" s="1"/>
  <c r="J136" i="1" s="1"/>
  <c r="B138" i="1"/>
  <c r="I138" i="1" s="1"/>
  <c r="I70" i="1"/>
  <c r="I123" i="1"/>
  <c r="I134" i="1" s="1"/>
  <c r="C221" i="1"/>
  <c r="G136" i="1"/>
  <c r="G143" i="1" s="1"/>
  <c r="G144" i="1" s="1"/>
  <c r="G138" i="1"/>
  <c r="G163" i="1"/>
  <c r="H143" i="1"/>
  <c r="H144" i="1" s="1"/>
  <c r="H213" i="1" s="1"/>
  <c r="H221" i="1" s="1"/>
  <c r="C143" i="1"/>
  <c r="C144" i="1" s="1"/>
  <c r="C213" i="1" s="1"/>
  <c r="I137" i="1"/>
  <c r="B199" i="1"/>
  <c r="B156" i="1"/>
  <c r="I149" i="1"/>
  <c r="I156" i="1" s="1"/>
  <c r="D91" i="1"/>
  <c r="D98" i="1" s="1"/>
  <c r="D221" i="1" s="1"/>
  <c r="I69" i="1"/>
  <c r="I91" i="1"/>
  <c r="D199" i="1"/>
  <c r="I184" i="1"/>
  <c r="I199" i="1"/>
  <c r="B160" i="4"/>
  <c r="B90" i="8"/>
  <c r="N113" i="1"/>
  <c r="B78" i="3"/>
  <c r="N40" i="1"/>
  <c r="N109" i="1"/>
  <c r="G213" i="1" l="1"/>
  <c r="G221" i="1" s="1"/>
  <c r="I135" i="1"/>
  <c r="B143" i="1"/>
  <c r="B144" i="1" s="1"/>
  <c r="I163" i="1"/>
  <c r="G172" i="1"/>
  <c r="J75" i="1"/>
  <c r="I81" i="1"/>
  <c r="I98" i="1" s="1"/>
  <c r="I168" i="1"/>
  <c r="B172" i="1"/>
  <c r="B90" i="4"/>
  <c r="B160" i="5"/>
  <c r="B108" i="4"/>
  <c r="B108" i="5" s="1"/>
  <c r="B108" i="6" s="1"/>
  <c r="B108" i="7" s="1"/>
  <c r="B109" i="4"/>
  <c r="B110" i="3"/>
  <c r="B109" i="8"/>
  <c r="B39" i="8"/>
  <c r="B40" i="8"/>
  <c r="C40" i="8"/>
  <c r="E40" i="8"/>
  <c r="F40" i="8"/>
  <c r="I40" i="3"/>
  <c r="I41" i="3"/>
  <c r="I40" i="4"/>
  <c r="D40" i="8" s="1"/>
  <c r="I41" i="4"/>
  <c r="I40" i="5"/>
  <c r="I41" i="5"/>
  <c r="I40" i="6"/>
  <c r="I41" i="6"/>
  <c r="I40" i="7"/>
  <c r="G40" i="8" s="1"/>
  <c r="I41" i="7"/>
  <c r="B213" i="1" l="1"/>
  <c r="B221" i="1" s="1"/>
  <c r="J135" i="1"/>
  <c r="I143" i="1"/>
  <c r="I144" i="1" s="1"/>
  <c r="I71" i="1"/>
  <c r="I172" i="1"/>
  <c r="I109" i="3"/>
  <c r="C109" i="8" s="1"/>
  <c r="I109" i="4"/>
  <c r="D109" i="8" s="1"/>
  <c r="B109" i="5"/>
  <c r="B90" i="5"/>
  <c r="B160" i="6"/>
  <c r="B207" i="5"/>
  <c r="B119" i="7"/>
  <c r="B119" i="6"/>
  <c r="B119" i="5"/>
  <c r="B119" i="4"/>
  <c r="B119" i="3"/>
  <c r="B111" i="3"/>
  <c r="B112" i="3"/>
  <c r="B113" i="3"/>
  <c r="B115" i="3"/>
  <c r="I68" i="1" l="1"/>
  <c r="I213" i="1"/>
  <c r="I221" i="1" s="1"/>
  <c r="B90" i="6"/>
  <c r="B160" i="7"/>
  <c r="B90" i="7" s="1"/>
  <c r="I109" i="5"/>
  <c r="E109" i="8" s="1"/>
  <c r="B109" i="6"/>
  <c r="C120" i="7"/>
  <c r="E120" i="7"/>
  <c r="D120" i="7"/>
  <c r="B120" i="7"/>
  <c r="C131" i="6"/>
  <c r="B131" i="6"/>
  <c r="C120" i="6"/>
  <c r="E120" i="6"/>
  <c r="D120" i="6"/>
  <c r="B120" i="6"/>
  <c r="C131" i="5"/>
  <c r="B131" i="5"/>
  <c r="C120" i="5"/>
  <c r="E120" i="5"/>
  <c r="D120" i="5"/>
  <c r="B120" i="5"/>
  <c r="C131" i="4"/>
  <c r="B131" i="4"/>
  <c r="C120" i="4"/>
  <c r="E120" i="4"/>
  <c r="D120" i="4"/>
  <c r="B120" i="4"/>
  <c r="B118" i="4"/>
  <c r="B118" i="5" s="1"/>
  <c r="B118" i="6" s="1"/>
  <c r="B111" i="4"/>
  <c r="B112" i="4"/>
  <c r="B113" i="4"/>
  <c r="B114" i="4"/>
  <c r="B114" i="5" s="1"/>
  <c r="B115" i="4"/>
  <c r="I11" i="8"/>
  <c r="I12" i="8"/>
  <c r="I13" i="8"/>
  <c r="I14" i="8"/>
  <c r="I15" i="8"/>
  <c r="K15" i="8"/>
  <c r="I16" i="8"/>
  <c r="K16" i="8"/>
  <c r="L16" i="8"/>
  <c r="I10" i="8"/>
  <c r="B178" i="3"/>
  <c r="B120" i="3"/>
  <c r="C120" i="3"/>
  <c r="D120" i="3"/>
  <c r="E120" i="3"/>
  <c r="I109" i="6" l="1"/>
  <c r="F109" i="8" s="1"/>
  <c r="B109" i="7"/>
  <c r="I109" i="7" s="1"/>
  <c r="G109" i="8" s="1"/>
  <c r="N219" i="1"/>
  <c r="N218" i="1"/>
  <c r="N217" i="1"/>
  <c r="N216" i="1"/>
  <c r="N215" i="1"/>
  <c r="N209" i="1"/>
  <c r="N208" i="1"/>
  <c r="N207" i="1"/>
  <c r="N206" i="1"/>
  <c r="N205" i="1"/>
  <c r="B201" i="7"/>
  <c r="N199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B179" i="3"/>
  <c r="B179" i="4" s="1"/>
  <c r="B179" i="5" s="1"/>
  <c r="B179" i="6" s="1"/>
  <c r="B179" i="7" s="1"/>
  <c r="N178" i="1"/>
  <c r="N177" i="1"/>
  <c r="N176" i="1"/>
  <c r="N175" i="1"/>
  <c r="N174" i="1"/>
  <c r="N173" i="1"/>
  <c r="N170" i="1"/>
  <c r="N169" i="1"/>
  <c r="N167" i="1"/>
  <c r="N166" i="1"/>
  <c r="N165" i="1"/>
  <c r="N164" i="1"/>
  <c r="N162" i="1"/>
  <c r="N161" i="1"/>
  <c r="N160" i="1"/>
  <c r="N158" i="1"/>
  <c r="N157" i="1"/>
  <c r="N155" i="1"/>
  <c r="N154" i="1"/>
  <c r="N153" i="1"/>
  <c r="N152" i="1"/>
  <c r="N151" i="1"/>
  <c r="N150" i="1"/>
  <c r="N149" i="1"/>
  <c r="N148" i="1"/>
  <c r="N147" i="1"/>
  <c r="N145" i="1"/>
  <c r="N141" i="1"/>
  <c r="N140" i="1"/>
  <c r="N139" i="1"/>
  <c r="N132" i="1"/>
  <c r="N130" i="1"/>
  <c r="N129" i="1"/>
  <c r="N128" i="1"/>
  <c r="N127" i="1"/>
  <c r="N126" i="1"/>
  <c r="N122" i="1"/>
  <c r="N121" i="1"/>
  <c r="N120" i="1"/>
  <c r="N119" i="1"/>
  <c r="N118" i="1"/>
  <c r="N115" i="1"/>
  <c r="N112" i="1"/>
  <c r="N111" i="1"/>
  <c r="N110" i="1"/>
  <c r="N106" i="1"/>
  <c r="N100" i="1"/>
  <c r="N104" i="1" s="1"/>
  <c r="N96" i="1"/>
  <c r="N95" i="1"/>
  <c r="N93" i="1"/>
  <c r="N90" i="1"/>
  <c r="N89" i="1"/>
  <c r="N88" i="1"/>
  <c r="N87" i="1"/>
  <c r="N86" i="1"/>
  <c r="N85" i="1"/>
  <c r="N79" i="1"/>
  <c r="N78" i="1"/>
  <c r="N77" i="1"/>
  <c r="N76" i="1"/>
  <c r="N73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38" i="1"/>
  <c r="N35" i="1"/>
  <c r="N34" i="1"/>
  <c r="N33" i="1"/>
  <c r="N32" i="1"/>
  <c r="N31" i="1"/>
  <c r="N30" i="1"/>
  <c r="N29" i="1"/>
  <c r="N26" i="1"/>
  <c r="N24" i="1"/>
  <c r="N23" i="1"/>
  <c r="N22" i="1"/>
  <c r="N21" i="1"/>
  <c r="N19" i="1"/>
  <c r="N16" i="1"/>
  <c r="N15" i="1"/>
  <c r="N14" i="1"/>
  <c r="N13" i="1"/>
  <c r="N12" i="1"/>
  <c r="N11" i="1"/>
  <c r="N10" i="1"/>
  <c r="M9" i="1"/>
  <c r="N9" i="1"/>
  <c r="M8" i="1"/>
  <c r="N8" i="1"/>
  <c r="M7" i="1"/>
  <c r="N7" i="1"/>
  <c r="M6" i="1"/>
  <c r="N6" i="1"/>
  <c r="M5" i="1"/>
  <c r="N5" i="1"/>
  <c r="M4" i="1"/>
  <c r="N2" i="1"/>
  <c r="N108" i="1" l="1"/>
  <c r="B108" i="8"/>
  <c r="N168" i="1"/>
  <c r="N27" i="1"/>
  <c r="N179" i="1"/>
  <c r="N202" i="1"/>
  <c r="N94" i="1"/>
  <c r="N97" i="1"/>
  <c r="N4" i="1"/>
  <c r="N17" i="1" s="1"/>
  <c r="N84" i="1"/>
  <c r="N204" i="1"/>
  <c r="N131" i="1"/>
  <c r="N196" i="1"/>
  <c r="N201" i="1"/>
  <c r="N203" i="1"/>
  <c r="N20" i="1"/>
  <c r="N159" i="1"/>
  <c r="N83" i="1"/>
  <c r="N39" i="1"/>
  <c r="N62" i="1" s="1"/>
  <c r="N65" i="1" s="1"/>
  <c r="N80" i="1"/>
  <c r="N114" i="1"/>
  <c r="N125" i="1"/>
  <c r="N214" i="1"/>
  <c r="N171" i="1"/>
  <c r="N197" i="1"/>
  <c r="N198" i="1" l="1"/>
  <c r="N133" i="1"/>
  <c r="N3" i="1"/>
  <c r="N91" i="1"/>
  <c r="N142" i="1"/>
  <c r="N200" i="1"/>
  <c r="N210" i="1" s="1"/>
  <c r="N137" i="1"/>
  <c r="N75" i="1"/>
  <c r="N81" i="1" s="1"/>
  <c r="N146" i="1"/>
  <c r="N156" i="1" s="1"/>
  <c r="N28" i="1"/>
  <c r="N36" i="1" s="1"/>
  <c r="N64" i="1" s="1"/>
  <c r="N66" i="1" s="1"/>
  <c r="N138" i="1" l="1"/>
  <c r="N98" i="1"/>
  <c r="N71" i="1" s="1"/>
  <c r="N116" i="1"/>
  <c r="N163" i="1" l="1"/>
  <c r="N172" i="1" s="1"/>
  <c r="N117" i="1"/>
  <c r="N135" i="1" l="1"/>
  <c r="N123" i="1"/>
  <c r="N134" i="1" s="1"/>
  <c r="N136" i="1"/>
  <c r="N70" i="1" l="1"/>
  <c r="N143" i="1"/>
  <c r="N144" i="1" s="1"/>
  <c r="N69" i="1"/>
  <c r="N212" i="1" l="1"/>
  <c r="N220" i="1" s="1"/>
  <c r="N221" i="1" s="1"/>
  <c r="N68" i="1" l="1"/>
  <c r="A2" i="10" l="1"/>
  <c r="A5" i="10"/>
  <c r="C15" i="10"/>
  <c r="D14" i="10" s="1"/>
  <c r="D15" i="10" s="1"/>
  <c r="E14" i="10" s="1"/>
  <c r="E15" i="10" s="1"/>
  <c r="F14" i="10" s="1"/>
  <c r="F15" i="10" s="1"/>
  <c r="G14" i="10" s="1"/>
  <c r="G15" i="10" s="1"/>
  <c r="H14" i="10" s="1"/>
  <c r="H15" i="10" s="1"/>
  <c r="C35" i="10"/>
  <c r="C36" i="10" s="1"/>
  <c r="D35" i="10" s="1"/>
  <c r="D36" i="10" s="1"/>
  <c r="E35" i="10" s="1"/>
  <c r="E36" i="10" s="1"/>
  <c r="F35" i="10" s="1"/>
  <c r="F36" i="10" s="1"/>
  <c r="G35" i="10" s="1"/>
  <c r="G36" i="10" s="1"/>
  <c r="H35" i="10" s="1"/>
  <c r="H36" i="10" s="1"/>
  <c r="C58" i="10"/>
  <c r="C59" i="10" s="1"/>
  <c r="D58" i="10" s="1"/>
  <c r="D59" i="10" s="1"/>
  <c r="E58" i="10" s="1"/>
  <c r="E59" i="10" s="1"/>
  <c r="F58" i="10" s="1"/>
  <c r="F59" i="10" s="1"/>
  <c r="G58" i="10" s="1"/>
  <c r="G59" i="10" s="1"/>
  <c r="H58" i="10" s="1"/>
  <c r="H59" i="10" s="1"/>
  <c r="A5" i="9"/>
  <c r="C13" i="9"/>
  <c r="D12" i="9" s="1"/>
  <c r="D13" i="9" s="1"/>
  <c r="E12" i="9" s="1"/>
  <c r="E13" i="9" s="1"/>
  <c r="F12" i="9" s="1"/>
  <c r="F13" i="9" s="1"/>
  <c r="G12" i="9" s="1"/>
  <c r="G13" i="9" s="1"/>
  <c r="H12" i="9" s="1"/>
  <c r="H13" i="9" s="1"/>
  <c r="C24" i="9"/>
  <c r="D24" i="9"/>
  <c r="E24" i="9"/>
  <c r="F24" i="9"/>
  <c r="G24" i="9"/>
  <c r="H24" i="9"/>
  <c r="C33" i="9"/>
  <c r="C115" i="9" s="1"/>
  <c r="D33" i="9"/>
  <c r="D94" i="9" s="1"/>
  <c r="E33" i="9"/>
  <c r="E94" i="9" s="1"/>
  <c r="F33" i="9"/>
  <c r="F94" i="9" s="1"/>
  <c r="G33" i="9"/>
  <c r="G94" i="9" s="1"/>
  <c r="H33" i="9"/>
  <c r="H94" i="9" s="1"/>
  <c r="C39" i="9"/>
  <c r="C121" i="9" s="1"/>
  <c r="D39" i="9"/>
  <c r="D121" i="9" s="1"/>
  <c r="E39" i="9"/>
  <c r="E100" i="9" s="1"/>
  <c r="F39" i="9"/>
  <c r="F100" i="9" s="1"/>
  <c r="G39" i="9"/>
  <c r="G100" i="9" s="1"/>
  <c r="H39" i="9"/>
  <c r="H121" i="9" s="1"/>
  <c r="C52" i="9"/>
  <c r="D52" i="9"/>
  <c r="E52" i="9"/>
  <c r="F52" i="9"/>
  <c r="G52" i="9"/>
  <c r="H52" i="9"/>
  <c r="C53" i="9"/>
  <c r="D53" i="9"/>
  <c r="E53" i="9"/>
  <c r="F53" i="9"/>
  <c r="G53" i="9"/>
  <c r="H53" i="9"/>
  <c r="C64" i="9"/>
  <c r="D64" i="9"/>
  <c r="E64" i="9"/>
  <c r="F64" i="9"/>
  <c r="G64" i="9"/>
  <c r="H64" i="9"/>
  <c r="C85" i="9"/>
  <c r="D85" i="9"/>
  <c r="E85" i="9"/>
  <c r="F85" i="9"/>
  <c r="G85" i="9"/>
  <c r="H85" i="9"/>
  <c r="C94" i="9"/>
  <c r="F121" i="9" l="1"/>
  <c r="E115" i="9"/>
  <c r="G121" i="9"/>
  <c r="C100" i="9"/>
  <c r="F115" i="9"/>
  <c r="E121" i="9"/>
  <c r="G115" i="9"/>
  <c r="H100" i="9"/>
  <c r="D100" i="9"/>
  <c r="H115" i="9"/>
  <c r="D115" i="9"/>
  <c r="B169" i="3" l="1"/>
  <c r="B169" i="4" s="1"/>
  <c r="B169" i="5" s="1"/>
  <c r="B169" i="6" s="1"/>
  <c r="B169" i="7" s="1"/>
  <c r="B208" i="4"/>
  <c r="B208" i="5" s="1"/>
  <c r="B208" i="6" s="1"/>
  <c r="B208" i="7" s="1"/>
  <c r="B209" i="5"/>
  <c r="B209" i="6" s="1"/>
  <c r="B209" i="7" s="1"/>
  <c r="E19" i="2"/>
  <c r="E18" i="2"/>
  <c r="E17" i="2"/>
  <c r="E16" i="2"/>
  <c r="D16" i="2"/>
  <c r="E15" i="2"/>
  <c r="D14" i="2"/>
  <c r="J14" i="2" s="1"/>
  <c r="D17" i="2"/>
  <c r="D15" i="2"/>
  <c r="D18" i="2"/>
  <c r="B186" i="7"/>
  <c r="B186" i="5"/>
  <c r="B186" i="4"/>
  <c r="B178" i="4"/>
  <c r="B178" i="5" s="1"/>
  <c r="B178" i="6" s="1"/>
  <c r="B178" i="7" s="1"/>
  <c r="B186" i="3"/>
  <c r="B183" i="3"/>
  <c r="B183" i="4" s="1"/>
  <c r="B183" i="5" s="1"/>
  <c r="B183" i="6" s="1"/>
  <c r="B183" i="7" s="1"/>
  <c r="B182" i="3"/>
  <c r="B182" i="4" s="1"/>
  <c r="B182" i="5" s="1"/>
  <c r="B182" i="6" s="1"/>
  <c r="B182" i="7" s="1"/>
  <c r="B181" i="3"/>
  <c r="B181" i="4" s="1"/>
  <c r="B181" i="5" s="1"/>
  <c r="B181" i="6" s="1"/>
  <c r="B181" i="7" s="1"/>
  <c r="B175" i="3"/>
  <c r="B175" i="4" s="1"/>
  <c r="B175" i="5" s="1"/>
  <c r="B175" i="6" s="1"/>
  <c r="B175" i="7" s="1"/>
  <c r="B174" i="3"/>
  <c r="B174" i="4" s="1"/>
  <c r="B174" i="5" s="1"/>
  <c r="B174" i="6" s="1"/>
  <c r="B174" i="7" s="1"/>
  <c r="B165" i="3"/>
  <c r="B165" i="4"/>
  <c r="B165" i="5"/>
  <c r="B165" i="6"/>
  <c r="B165" i="7"/>
  <c r="B158" i="6"/>
  <c r="B158" i="7"/>
  <c r="B158" i="5"/>
  <c r="B158" i="4"/>
  <c r="B158" i="3"/>
  <c r="J15" i="2" l="1"/>
  <c r="C131" i="7"/>
  <c r="B131" i="7"/>
  <c r="B133" i="7" s="1"/>
  <c r="D123" i="7"/>
  <c r="B133" i="6"/>
  <c r="D123" i="6"/>
  <c r="I119" i="6"/>
  <c r="F119" i="8" s="1"/>
  <c r="I119" i="4"/>
  <c r="D119" i="8" s="1"/>
  <c r="C133" i="4"/>
  <c r="B133" i="4"/>
  <c r="D123" i="4"/>
  <c r="I121" i="3"/>
  <c r="C121" i="8" s="1"/>
  <c r="I119" i="3"/>
  <c r="C119" i="8" s="1"/>
  <c r="I118" i="3"/>
  <c r="C118" i="8" s="1"/>
  <c r="C108" i="4"/>
  <c r="C108" i="5" s="1"/>
  <c r="C110" i="4"/>
  <c r="C110" i="5" s="1"/>
  <c r="C110" i="6" s="1"/>
  <c r="C110" i="7" s="1"/>
  <c r="C111" i="4"/>
  <c r="C111" i="5" s="1"/>
  <c r="C112" i="4"/>
  <c r="C112" i="5" s="1"/>
  <c r="C112" i="6" s="1"/>
  <c r="C112" i="7" s="1"/>
  <c r="C113" i="4"/>
  <c r="C113" i="5" s="1"/>
  <c r="C113" i="6" s="1"/>
  <c r="C113" i="7" s="1"/>
  <c r="C114" i="4"/>
  <c r="C114" i="5" s="1"/>
  <c r="C114" i="6" s="1"/>
  <c r="C114" i="7" s="1"/>
  <c r="C115" i="4"/>
  <c r="B111" i="5"/>
  <c r="B111" i="6" s="1"/>
  <c r="B112" i="5"/>
  <c r="B112" i="6" s="1"/>
  <c r="B112" i="7" s="1"/>
  <c r="I110" i="3"/>
  <c r="C110" i="8" s="1"/>
  <c r="I112" i="3"/>
  <c r="C112" i="8" s="1"/>
  <c r="I113" i="3"/>
  <c r="C113" i="8" s="1"/>
  <c r="B115" i="5"/>
  <c r="B230" i="8"/>
  <c r="B231" i="8"/>
  <c r="B229" i="8"/>
  <c r="B174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58" i="8"/>
  <c r="B147" i="8"/>
  <c r="B148" i="8"/>
  <c r="B149" i="8"/>
  <c r="B150" i="8"/>
  <c r="B151" i="8"/>
  <c r="B152" i="8"/>
  <c r="B153" i="8"/>
  <c r="B154" i="8"/>
  <c r="B155" i="8"/>
  <c r="B146" i="8"/>
  <c r="B136" i="8"/>
  <c r="B137" i="8"/>
  <c r="B138" i="8"/>
  <c r="B139" i="8"/>
  <c r="D139" i="8"/>
  <c r="B140" i="8"/>
  <c r="G140" i="8"/>
  <c r="B141" i="8"/>
  <c r="B142" i="8"/>
  <c r="B135" i="8"/>
  <c r="B126" i="8"/>
  <c r="B127" i="8"/>
  <c r="B128" i="8"/>
  <c r="B129" i="8"/>
  <c r="B130" i="8"/>
  <c r="B131" i="8"/>
  <c r="B132" i="8"/>
  <c r="B125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01" i="8"/>
  <c r="B102" i="8"/>
  <c r="B103" i="8"/>
  <c r="B100" i="8"/>
  <c r="B94" i="8"/>
  <c r="B95" i="8"/>
  <c r="B96" i="8"/>
  <c r="B93" i="8"/>
  <c r="B84" i="8"/>
  <c r="B85" i="8"/>
  <c r="B86" i="8"/>
  <c r="B87" i="8"/>
  <c r="B88" i="8"/>
  <c r="B89" i="8"/>
  <c r="B83" i="8"/>
  <c r="B76" i="8"/>
  <c r="B77" i="8"/>
  <c r="B78" i="8"/>
  <c r="B79" i="8"/>
  <c r="E79" i="8"/>
  <c r="B80" i="8"/>
  <c r="B75" i="8"/>
  <c r="B41" i="8"/>
  <c r="C28" i="9" s="1"/>
  <c r="B42" i="8"/>
  <c r="C38" i="9" s="1"/>
  <c r="B43" i="8"/>
  <c r="B44" i="8"/>
  <c r="C31" i="9" s="1"/>
  <c r="B45" i="8"/>
  <c r="B46" i="8"/>
  <c r="C46" i="8"/>
  <c r="D46" i="8"/>
  <c r="E46" i="8"/>
  <c r="F46" i="8"/>
  <c r="G46" i="8"/>
  <c r="B47" i="8"/>
  <c r="C40" i="9" s="1"/>
  <c r="B48" i="8"/>
  <c r="C41" i="9" s="1"/>
  <c r="B49" i="8"/>
  <c r="B50" i="8"/>
  <c r="B51" i="8"/>
  <c r="C43" i="9" s="1"/>
  <c r="B52" i="8"/>
  <c r="B53" i="8"/>
  <c r="B54" i="8"/>
  <c r="B55" i="8"/>
  <c r="B56" i="8"/>
  <c r="B57" i="8"/>
  <c r="B58" i="8"/>
  <c r="B59" i="8"/>
  <c r="B60" i="8"/>
  <c r="B61" i="8"/>
  <c r="B28" i="8"/>
  <c r="C37" i="9" s="1"/>
  <c r="B29" i="8"/>
  <c r="B30" i="8"/>
  <c r="B33" i="8"/>
  <c r="E33" i="8"/>
  <c r="B34" i="8"/>
  <c r="B35" i="8"/>
  <c r="B27" i="8"/>
  <c r="B21" i="8"/>
  <c r="B22" i="8"/>
  <c r="D22" i="8"/>
  <c r="B23" i="8"/>
  <c r="B24" i="8"/>
  <c r="B20" i="8"/>
  <c r="B5" i="8"/>
  <c r="C39" i="10" s="1"/>
  <c r="C18" i="10" s="1"/>
  <c r="B6" i="8"/>
  <c r="C40" i="10" s="1"/>
  <c r="C19" i="10" s="1"/>
  <c r="B7" i="8"/>
  <c r="C41" i="10" s="1"/>
  <c r="C20" i="10" s="1"/>
  <c r="B8" i="8"/>
  <c r="C42" i="10" s="1"/>
  <c r="C21" i="10" s="1"/>
  <c r="B9" i="8"/>
  <c r="C43" i="10" s="1"/>
  <c r="C22" i="10" s="1"/>
  <c r="B10" i="8"/>
  <c r="C44" i="10" s="1"/>
  <c r="B11" i="8"/>
  <c r="C45" i="10" s="1"/>
  <c r="B12" i="8"/>
  <c r="C46" i="10" s="1"/>
  <c r="B13" i="8"/>
  <c r="C47" i="10" s="1"/>
  <c r="B14" i="8"/>
  <c r="C48" i="10" s="1"/>
  <c r="B15" i="8"/>
  <c r="C49" i="10" s="1"/>
  <c r="B16" i="8"/>
  <c r="C50" i="10" s="1"/>
  <c r="B4" i="8"/>
  <c r="C38" i="10" s="1"/>
  <c r="B2" i="8"/>
  <c r="G224" i="8"/>
  <c r="G200" i="8"/>
  <c r="G173" i="8"/>
  <c r="G157" i="8"/>
  <c r="G145" i="8"/>
  <c r="G106" i="8"/>
  <c r="G73" i="8"/>
  <c r="G38" i="8"/>
  <c r="G26" i="8"/>
  <c r="G19" i="8"/>
  <c r="F224" i="8"/>
  <c r="F200" i="8"/>
  <c r="F173" i="8"/>
  <c r="F157" i="8"/>
  <c r="F145" i="8"/>
  <c r="F106" i="8"/>
  <c r="F73" i="8"/>
  <c r="F38" i="8"/>
  <c r="F26" i="8"/>
  <c r="F19" i="8"/>
  <c r="E224" i="8"/>
  <c r="E200" i="8"/>
  <c r="E173" i="8"/>
  <c r="E157" i="8"/>
  <c r="E145" i="8"/>
  <c r="E106" i="8"/>
  <c r="E73" i="8"/>
  <c r="E38" i="8"/>
  <c r="E26" i="8"/>
  <c r="E19" i="8"/>
  <c r="D224" i="8"/>
  <c r="D200" i="8"/>
  <c r="D173" i="8"/>
  <c r="D157" i="8"/>
  <c r="D145" i="8"/>
  <c r="D106" i="8"/>
  <c r="D73" i="8"/>
  <c r="D38" i="8"/>
  <c r="D26" i="8"/>
  <c r="D19" i="8"/>
  <c r="C224" i="8"/>
  <c r="C200" i="8"/>
  <c r="C173" i="8"/>
  <c r="C157" i="8"/>
  <c r="C145" i="8"/>
  <c r="C106" i="8"/>
  <c r="C73" i="8"/>
  <c r="C38" i="8"/>
  <c r="C26" i="8"/>
  <c r="C19" i="8"/>
  <c r="A231" i="8"/>
  <c r="A230" i="8"/>
  <c r="A229" i="8"/>
  <c r="B224" i="8"/>
  <c r="A224" i="8"/>
  <c r="B200" i="8"/>
  <c r="B173" i="8"/>
  <c r="B157" i="8"/>
  <c r="B145" i="8"/>
  <c r="B106" i="8"/>
  <c r="B73" i="8"/>
  <c r="B38" i="8"/>
  <c r="B26" i="8"/>
  <c r="B19" i="8"/>
  <c r="I240" i="7"/>
  <c r="A231" i="7"/>
  <c r="A230" i="7"/>
  <c r="A229" i="7"/>
  <c r="I224" i="7"/>
  <c r="H224" i="7"/>
  <c r="G224" i="7"/>
  <c r="F224" i="7"/>
  <c r="E224" i="7"/>
  <c r="D224" i="7"/>
  <c r="C224" i="7"/>
  <c r="B224" i="7"/>
  <c r="A224" i="7"/>
  <c r="I220" i="7"/>
  <c r="I219" i="7"/>
  <c r="I218" i="7"/>
  <c r="I217" i="7"/>
  <c r="I231" i="7" s="1"/>
  <c r="I216" i="7"/>
  <c r="G230" i="8" s="1"/>
  <c r="H211" i="7"/>
  <c r="G211" i="7"/>
  <c r="F211" i="7"/>
  <c r="E211" i="7"/>
  <c r="D211" i="7"/>
  <c r="C211" i="7"/>
  <c r="I210" i="7"/>
  <c r="G210" i="8" s="1"/>
  <c r="I209" i="7"/>
  <c r="G209" i="8" s="1"/>
  <c r="I208" i="7"/>
  <c r="G208" i="8" s="1"/>
  <c r="I207" i="7"/>
  <c r="G207" i="8" s="1"/>
  <c r="I206" i="7"/>
  <c r="G206" i="8" s="1"/>
  <c r="I205" i="7"/>
  <c r="G205" i="8" s="1"/>
  <c r="I204" i="7"/>
  <c r="G204" i="8" s="1"/>
  <c r="I203" i="7"/>
  <c r="G203" i="8" s="1"/>
  <c r="I202" i="7"/>
  <c r="G202" i="8" s="1"/>
  <c r="I200" i="7"/>
  <c r="H200" i="7"/>
  <c r="G200" i="7"/>
  <c r="F200" i="7"/>
  <c r="E200" i="7"/>
  <c r="D200" i="7"/>
  <c r="C200" i="7"/>
  <c r="B200" i="7"/>
  <c r="H199" i="7"/>
  <c r="G199" i="7"/>
  <c r="F199" i="7"/>
  <c r="E199" i="7"/>
  <c r="C199" i="7"/>
  <c r="I197" i="7"/>
  <c r="I195" i="7"/>
  <c r="I194" i="7"/>
  <c r="I193" i="7"/>
  <c r="I192" i="7"/>
  <c r="I191" i="7"/>
  <c r="G191" i="8" s="1"/>
  <c r="I190" i="7"/>
  <c r="B189" i="7"/>
  <c r="I189" i="7" s="1"/>
  <c r="B188" i="7"/>
  <c r="I188" i="7" s="1"/>
  <c r="I187" i="7"/>
  <c r="I186" i="7"/>
  <c r="I183" i="7"/>
  <c r="I182" i="7"/>
  <c r="I181" i="7"/>
  <c r="I179" i="7"/>
  <c r="I178" i="7"/>
  <c r="B177" i="7"/>
  <c r="I177" i="7" s="1"/>
  <c r="I176" i="7"/>
  <c r="I175" i="7"/>
  <c r="I174" i="7"/>
  <c r="G174" i="8" s="1"/>
  <c r="I173" i="7"/>
  <c r="H173" i="7"/>
  <c r="G173" i="7"/>
  <c r="F173" i="7"/>
  <c r="E173" i="7"/>
  <c r="D173" i="7"/>
  <c r="C173" i="7"/>
  <c r="B173" i="7"/>
  <c r="F172" i="7"/>
  <c r="E172" i="7"/>
  <c r="D172" i="7"/>
  <c r="H171" i="7"/>
  <c r="G171" i="7"/>
  <c r="G172" i="7" s="1"/>
  <c r="I170" i="7"/>
  <c r="G170" i="8" s="1"/>
  <c r="I169" i="7"/>
  <c r="G169" i="8" s="1"/>
  <c r="B167" i="7"/>
  <c r="I167" i="7" s="1"/>
  <c r="G167" i="8" s="1"/>
  <c r="I165" i="7"/>
  <c r="G165" i="8" s="1"/>
  <c r="I164" i="7"/>
  <c r="G164" i="8" s="1"/>
  <c r="I161" i="7"/>
  <c r="G161" i="8" s="1"/>
  <c r="I160" i="7"/>
  <c r="G160" i="8" s="1"/>
  <c r="I158" i="7"/>
  <c r="G158" i="8" s="1"/>
  <c r="I157" i="7"/>
  <c r="H157" i="7"/>
  <c r="G157" i="7"/>
  <c r="F157" i="7"/>
  <c r="E157" i="7"/>
  <c r="D157" i="7"/>
  <c r="C157" i="7"/>
  <c r="B157" i="7"/>
  <c r="H156" i="7"/>
  <c r="G156" i="7"/>
  <c r="F156" i="7"/>
  <c r="E156" i="7"/>
  <c r="D156" i="7"/>
  <c r="I154" i="7"/>
  <c r="G154" i="8" s="1"/>
  <c r="B153" i="7"/>
  <c r="I148" i="7"/>
  <c r="G148" i="8" s="1"/>
  <c r="I147" i="7"/>
  <c r="G147" i="8" s="1"/>
  <c r="I145" i="7"/>
  <c r="H145" i="7"/>
  <c r="G145" i="7"/>
  <c r="F145" i="7"/>
  <c r="E145" i="7"/>
  <c r="D145" i="7"/>
  <c r="C145" i="7"/>
  <c r="B145" i="7"/>
  <c r="I141" i="7"/>
  <c r="G141" i="8" s="1"/>
  <c r="I140" i="7"/>
  <c r="I139" i="7"/>
  <c r="G139" i="8" s="1"/>
  <c r="F133" i="7"/>
  <c r="E133" i="7"/>
  <c r="I132" i="7"/>
  <c r="G132" i="8" s="1"/>
  <c r="H131" i="7"/>
  <c r="H133" i="7" s="1"/>
  <c r="D133" i="7"/>
  <c r="C133" i="7"/>
  <c r="I130" i="7"/>
  <c r="G130" i="8" s="1"/>
  <c r="I129" i="7"/>
  <c r="G129" i="8" s="1"/>
  <c r="I128" i="7"/>
  <c r="G128" i="8" s="1"/>
  <c r="I127" i="7"/>
  <c r="G127" i="8" s="1"/>
  <c r="I126" i="7"/>
  <c r="G126" i="8" s="1"/>
  <c r="I125" i="7"/>
  <c r="G125" i="8" s="1"/>
  <c r="H123" i="7"/>
  <c r="G123" i="7"/>
  <c r="G134" i="7" s="1"/>
  <c r="F123" i="7"/>
  <c r="E123" i="7"/>
  <c r="I122" i="7"/>
  <c r="G122" i="8" s="1"/>
  <c r="I121" i="7"/>
  <c r="G121" i="8" s="1"/>
  <c r="I119" i="7"/>
  <c r="G119" i="8" s="1"/>
  <c r="I106" i="7"/>
  <c r="H106" i="7"/>
  <c r="G106" i="7"/>
  <c r="F106" i="7"/>
  <c r="E106" i="7"/>
  <c r="D106" i="7"/>
  <c r="C106" i="7"/>
  <c r="B106" i="7"/>
  <c r="H104" i="7"/>
  <c r="G104" i="7"/>
  <c r="F104" i="7"/>
  <c r="E104" i="7"/>
  <c r="D104" i="7"/>
  <c r="C104" i="7"/>
  <c r="B104" i="7"/>
  <c r="I103" i="7"/>
  <c r="G103" i="8" s="1"/>
  <c r="I102" i="7"/>
  <c r="G102" i="8" s="1"/>
  <c r="I101" i="7"/>
  <c r="G101" i="8" s="1"/>
  <c r="I100" i="7"/>
  <c r="G100" i="8" s="1"/>
  <c r="H97" i="7"/>
  <c r="D97" i="7"/>
  <c r="C97" i="7"/>
  <c r="B97" i="7"/>
  <c r="I96" i="7"/>
  <c r="G96" i="8" s="1"/>
  <c r="I95" i="7"/>
  <c r="G95" i="8" s="1"/>
  <c r="I94" i="7"/>
  <c r="G94" i="8" s="1"/>
  <c r="I93" i="7"/>
  <c r="G93" i="8" s="1"/>
  <c r="H91" i="7"/>
  <c r="G91" i="7"/>
  <c r="E91" i="7"/>
  <c r="B91" i="7"/>
  <c r="I90" i="7"/>
  <c r="G90" i="8" s="1"/>
  <c r="I89" i="7"/>
  <c r="G89" i="8" s="1"/>
  <c r="I88" i="7"/>
  <c r="G88" i="8" s="1"/>
  <c r="I87" i="7"/>
  <c r="G87" i="8" s="1"/>
  <c r="H81" i="7"/>
  <c r="G81" i="7"/>
  <c r="F81" i="7"/>
  <c r="E81" i="7"/>
  <c r="D81" i="7"/>
  <c r="I79" i="7"/>
  <c r="G79" i="8" s="1"/>
  <c r="J78" i="7"/>
  <c r="J77" i="7"/>
  <c r="I77" i="7"/>
  <c r="G77" i="8" s="1"/>
  <c r="J76" i="7"/>
  <c r="I73" i="7"/>
  <c r="H73" i="7"/>
  <c r="G73" i="7"/>
  <c r="F73" i="7"/>
  <c r="E73" i="7"/>
  <c r="D73" i="7"/>
  <c r="C73" i="7"/>
  <c r="B73" i="7"/>
  <c r="H62" i="7"/>
  <c r="H65" i="7" s="1"/>
  <c r="G62" i="7"/>
  <c r="G65" i="7" s="1"/>
  <c r="F62" i="7"/>
  <c r="F65" i="7" s="1"/>
  <c r="E62" i="7"/>
  <c r="E65" i="7" s="1"/>
  <c r="D62" i="7"/>
  <c r="D65" i="7" s="1"/>
  <c r="C62" i="7"/>
  <c r="C65" i="7" s="1"/>
  <c r="B62" i="7"/>
  <c r="B65" i="7" s="1"/>
  <c r="I61" i="7"/>
  <c r="G61" i="8" s="1"/>
  <c r="I60" i="7"/>
  <c r="G60" i="8" s="1"/>
  <c r="I59" i="7"/>
  <c r="G59" i="8" s="1"/>
  <c r="I58" i="7"/>
  <c r="G58" i="8" s="1"/>
  <c r="I57" i="7"/>
  <c r="G57" i="8" s="1"/>
  <c r="I56" i="7"/>
  <c r="G56" i="8" s="1"/>
  <c r="I55" i="7"/>
  <c r="G55" i="8" s="1"/>
  <c r="I54" i="7"/>
  <c r="G54" i="8" s="1"/>
  <c r="I53" i="7"/>
  <c r="G53" i="8" s="1"/>
  <c r="I52" i="7"/>
  <c r="G52" i="8" s="1"/>
  <c r="I51" i="7"/>
  <c r="G51" i="8" s="1"/>
  <c r="H43" i="9" s="1"/>
  <c r="I50" i="7"/>
  <c r="G50" i="8" s="1"/>
  <c r="I49" i="7"/>
  <c r="G49" i="8" s="1"/>
  <c r="I48" i="7"/>
  <c r="G48" i="8" s="1"/>
  <c r="H41" i="9" s="1"/>
  <c r="I47" i="7"/>
  <c r="G47" i="8" s="1"/>
  <c r="H40" i="9" s="1"/>
  <c r="I45" i="7"/>
  <c r="G45" i="8" s="1"/>
  <c r="I44" i="7"/>
  <c r="G44" i="8" s="1"/>
  <c r="H31" i="9" s="1"/>
  <c r="I43" i="7"/>
  <c r="G43" i="8" s="1"/>
  <c r="I42" i="7"/>
  <c r="G42" i="8" s="1"/>
  <c r="H38" i="9" s="1"/>
  <c r="G41" i="8"/>
  <c r="H28" i="9" s="1"/>
  <c r="I39" i="7"/>
  <c r="I38" i="7"/>
  <c r="H38" i="7"/>
  <c r="G38" i="7"/>
  <c r="F38" i="7"/>
  <c r="E38" i="7"/>
  <c r="D38" i="7"/>
  <c r="C38" i="7"/>
  <c r="B38" i="7"/>
  <c r="H36" i="7"/>
  <c r="G36" i="7"/>
  <c r="G137" i="7" s="1"/>
  <c r="F36" i="7"/>
  <c r="F142" i="7" s="1"/>
  <c r="E36" i="7"/>
  <c r="E142" i="7" s="1"/>
  <c r="D36" i="7"/>
  <c r="C36" i="7"/>
  <c r="C137" i="7" s="1"/>
  <c r="B36" i="7"/>
  <c r="I35" i="7"/>
  <c r="G35" i="8" s="1"/>
  <c r="I34" i="7"/>
  <c r="G34" i="8" s="1"/>
  <c r="I33" i="7"/>
  <c r="G33" i="8" s="1"/>
  <c r="I32" i="7"/>
  <c r="G32" i="8" s="1"/>
  <c r="I31" i="7"/>
  <c r="G31" i="8" s="1"/>
  <c r="I30" i="7"/>
  <c r="G30" i="8" s="1"/>
  <c r="I29" i="7"/>
  <c r="G29" i="8" s="1"/>
  <c r="I28" i="7"/>
  <c r="G28" i="8" s="1"/>
  <c r="H37" i="9" s="1"/>
  <c r="I27" i="7"/>
  <c r="J27" i="7" s="1"/>
  <c r="I26" i="7"/>
  <c r="H26" i="7"/>
  <c r="G26" i="7"/>
  <c r="F26" i="7"/>
  <c r="E26" i="7"/>
  <c r="D26" i="7"/>
  <c r="C26" i="7"/>
  <c r="B26" i="7"/>
  <c r="G23" i="8"/>
  <c r="I22" i="7"/>
  <c r="G22" i="8" s="1"/>
  <c r="I19" i="7"/>
  <c r="H19" i="7"/>
  <c r="G19" i="7"/>
  <c r="F19" i="7"/>
  <c r="E19" i="7"/>
  <c r="D19" i="7"/>
  <c r="C19" i="7"/>
  <c r="B19" i="7"/>
  <c r="H17" i="7"/>
  <c r="G17" i="7"/>
  <c r="F17" i="7"/>
  <c r="D17" i="7"/>
  <c r="C17" i="7"/>
  <c r="I16" i="7"/>
  <c r="I15" i="7"/>
  <c r="I14" i="7"/>
  <c r="I13" i="7"/>
  <c r="I12" i="7"/>
  <c r="I11" i="7"/>
  <c r="I10" i="7"/>
  <c r="N10" i="8" s="1"/>
  <c r="J9" i="7"/>
  <c r="I9" i="7"/>
  <c r="G9" i="8" s="1"/>
  <c r="J8" i="7"/>
  <c r="I8" i="7"/>
  <c r="G8" i="8" s="1"/>
  <c r="H42" i="10" s="1"/>
  <c r="J7" i="7"/>
  <c r="I7" i="7"/>
  <c r="G7" i="8" s="1"/>
  <c r="J6" i="7"/>
  <c r="I6" i="7"/>
  <c r="G6" i="8" s="1"/>
  <c r="H40" i="10" s="1"/>
  <c r="J5" i="7"/>
  <c r="I5" i="7"/>
  <c r="G5" i="8" s="1"/>
  <c r="J4" i="7"/>
  <c r="I4" i="7"/>
  <c r="G4" i="8" s="1"/>
  <c r="H38" i="10" s="1"/>
  <c r="I240" i="6"/>
  <c r="A231" i="6"/>
  <c r="A230" i="6"/>
  <c r="A229" i="6"/>
  <c r="I224" i="6"/>
  <c r="H224" i="6"/>
  <c r="G224" i="6"/>
  <c r="F224" i="6"/>
  <c r="E224" i="6"/>
  <c r="D224" i="6"/>
  <c r="C224" i="6"/>
  <c r="B224" i="6"/>
  <c r="A224" i="6"/>
  <c r="I220" i="6"/>
  <c r="I219" i="6"/>
  <c r="I218" i="6"/>
  <c r="I217" i="6"/>
  <c r="I231" i="6" s="1"/>
  <c r="I216" i="6"/>
  <c r="I230" i="6" s="1"/>
  <c r="H211" i="6"/>
  <c r="G211" i="6"/>
  <c r="F211" i="6"/>
  <c r="E211" i="6"/>
  <c r="D211" i="6"/>
  <c r="C211" i="6"/>
  <c r="B211" i="6"/>
  <c r="I210" i="6"/>
  <c r="F210" i="8" s="1"/>
  <c r="I209" i="6"/>
  <c r="F209" i="8" s="1"/>
  <c r="I208" i="6"/>
  <c r="F208" i="8" s="1"/>
  <c r="I207" i="6"/>
  <c r="F207" i="8" s="1"/>
  <c r="I206" i="6"/>
  <c r="F206" i="8" s="1"/>
  <c r="I205" i="6"/>
  <c r="F205" i="8" s="1"/>
  <c r="I204" i="6"/>
  <c r="F204" i="8" s="1"/>
  <c r="I203" i="6"/>
  <c r="F203" i="8" s="1"/>
  <c r="I202" i="6"/>
  <c r="F202" i="8" s="1"/>
  <c r="I201" i="6"/>
  <c r="F201" i="8" s="1"/>
  <c r="I200" i="6"/>
  <c r="H200" i="6"/>
  <c r="G200" i="6"/>
  <c r="F200" i="6"/>
  <c r="E200" i="6"/>
  <c r="D200" i="6"/>
  <c r="C200" i="6"/>
  <c r="B200" i="6"/>
  <c r="H199" i="6"/>
  <c r="G199" i="6"/>
  <c r="F199" i="6"/>
  <c r="E199" i="6"/>
  <c r="C199" i="6"/>
  <c r="I197" i="6"/>
  <c r="I195" i="6"/>
  <c r="I194" i="6"/>
  <c r="I193" i="6"/>
  <c r="I192" i="6"/>
  <c r="I191" i="6"/>
  <c r="F191" i="8" s="1"/>
  <c r="I190" i="6"/>
  <c r="B189" i="6"/>
  <c r="I189" i="6" s="1"/>
  <c r="B188" i="6"/>
  <c r="I188" i="6" s="1"/>
  <c r="I187" i="6"/>
  <c r="I186" i="6"/>
  <c r="I183" i="6"/>
  <c r="I182" i="6"/>
  <c r="I181" i="6"/>
  <c r="I179" i="6"/>
  <c r="I178" i="6"/>
  <c r="B177" i="6"/>
  <c r="I177" i="6" s="1"/>
  <c r="I176" i="6"/>
  <c r="I175" i="6"/>
  <c r="I174" i="6"/>
  <c r="F174" i="8" s="1"/>
  <c r="I173" i="6"/>
  <c r="H173" i="6"/>
  <c r="G173" i="6"/>
  <c r="F173" i="6"/>
  <c r="E173" i="6"/>
  <c r="D173" i="6"/>
  <c r="C173" i="6"/>
  <c r="B173" i="6"/>
  <c r="F172" i="6"/>
  <c r="E172" i="6"/>
  <c r="D172" i="6"/>
  <c r="H171" i="6"/>
  <c r="G171" i="6"/>
  <c r="G172" i="6" s="1"/>
  <c r="I170" i="6"/>
  <c r="F170" i="8" s="1"/>
  <c r="I169" i="6"/>
  <c r="F169" i="8" s="1"/>
  <c r="B167" i="6"/>
  <c r="I167" i="6" s="1"/>
  <c r="F167" i="8" s="1"/>
  <c r="I165" i="6"/>
  <c r="F165" i="8" s="1"/>
  <c r="I164" i="6"/>
  <c r="F164" i="8" s="1"/>
  <c r="I161" i="6"/>
  <c r="F161" i="8" s="1"/>
  <c r="I160" i="6"/>
  <c r="F160" i="8" s="1"/>
  <c r="I158" i="6"/>
  <c r="F158" i="8" s="1"/>
  <c r="I157" i="6"/>
  <c r="H157" i="6"/>
  <c r="G157" i="6"/>
  <c r="F157" i="6"/>
  <c r="E157" i="6"/>
  <c r="D157" i="6"/>
  <c r="C157" i="6"/>
  <c r="B157" i="6"/>
  <c r="H156" i="6"/>
  <c r="G156" i="6"/>
  <c r="F156" i="6"/>
  <c r="E156" i="6"/>
  <c r="D156" i="6"/>
  <c r="I154" i="6"/>
  <c r="F154" i="8" s="1"/>
  <c r="B153" i="6"/>
  <c r="I148" i="6"/>
  <c r="F148" i="8" s="1"/>
  <c r="I147" i="6"/>
  <c r="F147" i="8" s="1"/>
  <c r="I145" i="6"/>
  <c r="H145" i="6"/>
  <c r="G145" i="6"/>
  <c r="F145" i="6"/>
  <c r="E145" i="6"/>
  <c r="D145" i="6"/>
  <c r="C145" i="6"/>
  <c r="B145" i="6"/>
  <c r="I141" i="6"/>
  <c r="F141" i="8" s="1"/>
  <c r="I140" i="6"/>
  <c r="F140" i="8" s="1"/>
  <c r="I139" i="6"/>
  <c r="F139" i="8" s="1"/>
  <c r="F133" i="6"/>
  <c r="E133" i="6"/>
  <c r="I132" i="6"/>
  <c r="F132" i="8" s="1"/>
  <c r="H131" i="6"/>
  <c r="H133" i="6" s="1"/>
  <c r="D133" i="6"/>
  <c r="C133" i="6"/>
  <c r="I130" i="6"/>
  <c r="F130" i="8" s="1"/>
  <c r="I129" i="6"/>
  <c r="F129" i="8" s="1"/>
  <c r="I128" i="6"/>
  <c r="F128" i="8" s="1"/>
  <c r="I127" i="6"/>
  <c r="F127" i="8" s="1"/>
  <c r="I126" i="6"/>
  <c r="F126" i="8" s="1"/>
  <c r="I125" i="6"/>
  <c r="F125" i="8" s="1"/>
  <c r="H123" i="6"/>
  <c r="G123" i="6"/>
  <c r="G134" i="6" s="1"/>
  <c r="F123" i="6"/>
  <c r="E123" i="6"/>
  <c r="I122" i="6"/>
  <c r="F122" i="8" s="1"/>
  <c r="I121" i="6"/>
  <c r="F121" i="8" s="1"/>
  <c r="I106" i="6"/>
  <c r="H106" i="6"/>
  <c r="G106" i="6"/>
  <c r="F106" i="6"/>
  <c r="E106" i="6"/>
  <c r="D106" i="6"/>
  <c r="C106" i="6"/>
  <c r="B106" i="6"/>
  <c r="H104" i="6"/>
  <c r="G104" i="6"/>
  <c r="F104" i="6"/>
  <c r="E104" i="6"/>
  <c r="D104" i="6"/>
  <c r="C104" i="6"/>
  <c r="B104" i="6"/>
  <c r="I103" i="6"/>
  <c r="F103" i="8" s="1"/>
  <c r="I102" i="6"/>
  <c r="F102" i="8" s="1"/>
  <c r="I101" i="6"/>
  <c r="F101" i="8" s="1"/>
  <c r="I100" i="6"/>
  <c r="F100" i="8" s="1"/>
  <c r="H97" i="6"/>
  <c r="D97" i="6"/>
  <c r="C97" i="6"/>
  <c r="B97" i="6"/>
  <c r="I96" i="6"/>
  <c r="F96" i="8" s="1"/>
  <c r="I95" i="6"/>
  <c r="F95" i="8" s="1"/>
  <c r="I94" i="6"/>
  <c r="F94" i="8" s="1"/>
  <c r="I93" i="6"/>
  <c r="F93" i="8" s="1"/>
  <c r="H91" i="6"/>
  <c r="G91" i="6"/>
  <c r="E91" i="6"/>
  <c r="B91" i="6"/>
  <c r="I90" i="6"/>
  <c r="F90" i="8" s="1"/>
  <c r="I89" i="6"/>
  <c r="F89" i="8" s="1"/>
  <c r="I88" i="6"/>
  <c r="F88" i="8" s="1"/>
  <c r="I87" i="6"/>
  <c r="F87" i="8" s="1"/>
  <c r="H81" i="6"/>
  <c r="G81" i="6"/>
  <c r="F81" i="6"/>
  <c r="E81" i="6"/>
  <c r="D81" i="6"/>
  <c r="I79" i="6"/>
  <c r="F79" i="8" s="1"/>
  <c r="J78" i="6"/>
  <c r="J77" i="6"/>
  <c r="I77" i="6"/>
  <c r="F77" i="8" s="1"/>
  <c r="J76" i="6"/>
  <c r="I73" i="6"/>
  <c r="H73" i="6"/>
  <c r="G73" i="6"/>
  <c r="F73" i="6"/>
  <c r="E73" i="6"/>
  <c r="D73" i="6"/>
  <c r="C73" i="6"/>
  <c r="B73" i="6"/>
  <c r="H62" i="6"/>
  <c r="H65" i="6" s="1"/>
  <c r="G62" i="6"/>
  <c r="G65" i="6" s="1"/>
  <c r="F62" i="6"/>
  <c r="F65" i="6" s="1"/>
  <c r="E62" i="6"/>
  <c r="E65" i="6" s="1"/>
  <c r="D62" i="6"/>
  <c r="D65" i="6" s="1"/>
  <c r="C62" i="6"/>
  <c r="C65" i="6" s="1"/>
  <c r="B62" i="6"/>
  <c r="B65" i="6" s="1"/>
  <c r="I61" i="6"/>
  <c r="F61" i="8" s="1"/>
  <c r="I60" i="6"/>
  <c r="F60" i="8" s="1"/>
  <c r="I59" i="6"/>
  <c r="F59" i="8" s="1"/>
  <c r="I58" i="6"/>
  <c r="F58" i="8" s="1"/>
  <c r="I57" i="6"/>
  <c r="F57" i="8" s="1"/>
  <c r="I56" i="6"/>
  <c r="F56" i="8" s="1"/>
  <c r="I55" i="6"/>
  <c r="F55" i="8" s="1"/>
  <c r="I54" i="6"/>
  <c r="F54" i="8" s="1"/>
  <c r="I53" i="6"/>
  <c r="F53" i="8" s="1"/>
  <c r="I52" i="6"/>
  <c r="F52" i="8" s="1"/>
  <c r="G44" i="9" s="1"/>
  <c r="I51" i="6"/>
  <c r="F51" i="8" s="1"/>
  <c r="G43" i="9" s="1"/>
  <c r="I50" i="6"/>
  <c r="F50" i="8" s="1"/>
  <c r="I49" i="6"/>
  <c r="F49" i="8" s="1"/>
  <c r="I48" i="6"/>
  <c r="F48" i="8" s="1"/>
  <c r="G41" i="9" s="1"/>
  <c r="I47" i="6"/>
  <c r="F47" i="8" s="1"/>
  <c r="G40" i="9" s="1"/>
  <c r="I45" i="6"/>
  <c r="F45" i="8" s="1"/>
  <c r="I44" i="6"/>
  <c r="F44" i="8" s="1"/>
  <c r="G31" i="9" s="1"/>
  <c r="I43" i="6"/>
  <c r="F43" i="8" s="1"/>
  <c r="I42" i="6"/>
  <c r="F42" i="8" s="1"/>
  <c r="G38" i="9" s="1"/>
  <c r="F41" i="8"/>
  <c r="G28" i="9" s="1"/>
  <c r="I39" i="6"/>
  <c r="I38" i="6"/>
  <c r="H38" i="6"/>
  <c r="G38" i="6"/>
  <c r="F38" i="6"/>
  <c r="E38" i="6"/>
  <c r="D38" i="6"/>
  <c r="C38" i="6"/>
  <c r="B38" i="6"/>
  <c r="H36" i="6"/>
  <c r="G36" i="6"/>
  <c r="F36" i="6"/>
  <c r="F142" i="6" s="1"/>
  <c r="E36" i="6"/>
  <c r="E142" i="6" s="1"/>
  <c r="D36" i="6"/>
  <c r="D142" i="6" s="1"/>
  <c r="C36" i="6"/>
  <c r="B36" i="6"/>
  <c r="I35" i="6"/>
  <c r="F35" i="8" s="1"/>
  <c r="I34" i="6"/>
  <c r="F34" i="8" s="1"/>
  <c r="I33" i="6"/>
  <c r="F33" i="8" s="1"/>
  <c r="I32" i="6"/>
  <c r="F32" i="8" s="1"/>
  <c r="I31" i="6"/>
  <c r="F31" i="8" s="1"/>
  <c r="I30" i="6"/>
  <c r="F30" i="8" s="1"/>
  <c r="I29" i="6"/>
  <c r="F29" i="8" s="1"/>
  <c r="I28" i="6"/>
  <c r="I27" i="6"/>
  <c r="J27" i="6" s="1"/>
  <c r="I26" i="6"/>
  <c r="H26" i="6"/>
  <c r="G26" i="6"/>
  <c r="F26" i="6"/>
  <c r="E26" i="6"/>
  <c r="D26" i="6"/>
  <c r="C26" i="6"/>
  <c r="B26" i="6"/>
  <c r="F23" i="8"/>
  <c r="I22" i="6"/>
  <c r="F22" i="8" s="1"/>
  <c r="I19" i="6"/>
  <c r="H19" i="6"/>
  <c r="G19" i="6"/>
  <c r="F19" i="6"/>
  <c r="E19" i="6"/>
  <c r="D19" i="6"/>
  <c r="C19" i="6"/>
  <c r="B19" i="6"/>
  <c r="H17" i="6"/>
  <c r="G17" i="6"/>
  <c r="F17" i="6"/>
  <c r="D17" i="6"/>
  <c r="C17" i="6"/>
  <c r="I16" i="6"/>
  <c r="I15" i="6"/>
  <c r="I14" i="6"/>
  <c r="I13" i="6"/>
  <c r="I12" i="6"/>
  <c r="I10" i="6"/>
  <c r="M10" i="8" s="1"/>
  <c r="J9" i="6"/>
  <c r="I9" i="6"/>
  <c r="F9" i="8" s="1"/>
  <c r="G43" i="10" s="1"/>
  <c r="J8" i="6"/>
  <c r="I8" i="6"/>
  <c r="F8" i="8" s="1"/>
  <c r="J7" i="6"/>
  <c r="I7" i="6"/>
  <c r="F7" i="8" s="1"/>
  <c r="G41" i="10" s="1"/>
  <c r="J6" i="6"/>
  <c r="I6" i="6"/>
  <c r="F6" i="8" s="1"/>
  <c r="J5" i="6"/>
  <c r="I5" i="6"/>
  <c r="F5" i="8" s="1"/>
  <c r="G39" i="10" s="1"/>
  <c r="J4" i="6"/>
  <c r="I4" i="6"/>
  <c r="F4" i="8" s="1"/>
  <c r="G38" i="10" s="1"/>
  <c r="I240" i="5"/>
  <c r="A231" i="5"/>
  <c r="A230" i="5"/>
  <c r="A229" i="5"/>
  <c r="I224" i="5"/>
  <c r="H224" i="5"/>
  <c r="G224" i="5"/>
  <c r="F224" i="5"/>
  <c r="E224" i="5"/>
  <c r="D224" i="5"/>
  <c r="C224" i="5"/>
  <c r="B224" i="5"/>
  <c r="A224" i="5"/>
  <c r="I220" i="5"/>
  <c r="I219" i="5"/>
  <c r="I218" i="5"/>
  <c r="I217" i="5"/>
  <c r="I231" i="5" s="1"/>
  <c r="I216" i="5"/>
  <c r="E230" i="8" s="1"/>
  <c r="H211" i="5"/>
  <c r="G211" i="5"/>
  <c r="F211" i="5"/>
  <c r="E211" i="5"/>
  <c r="D211" i="5"/>
  <c r="C211" i="5"/>
  <c r="I210" i="5"/>
  <c r="E210" i="8" s="1"/>
  <c r="I209" i="5"/>
  <c r="E209" i="8" s="1"/>
  <c r="I208" i="5"/>
  <c r="E208" i="8" s="1"/>
  <c r="I207" i="5"/>
  <c r="I206" i="5"/>
  <c r="E206" i="8" s="1"/>
  <c r="I205" i="5"/>
  <c r="E205" i="8" s="1"/>
  <c r="I204" i="5"/>
  <c r="E204" i="8" s="1"/>
  <c r="I203" i="5"/>
  <c r="E203" i="8" s="1"/>
  <c r="I202" i="5"/>
  <c r="E202" i="8" s="1"/>
  <c r="I200" i="5"/>
  <c r="H200" i="5"/>
  <c r="G200" i="5"/>
  <c r="F200" i="5"/>
  <c r="E200" i="5"/>
  <c r="D200" i="5"/>
  <c r="C200" i="5"/>
  <c r="B200" i="5"/>
  <c r="H199" i="5"/>
  <c r="G199" i="5"/>
  <c r="F199" i="5"/>
  <c r="E199" i="5"/>
  <c r="C199" i="5"/>
  <c r="I197" i="5"/>
  <c r="I195" i="5"/>
  <c r="I194" i="5"/>
  <c r="I193" i="5"/>
  <c r="I192" i="5"/>
  <c r="I191" i="5"/>
  <c r="E191" i="8" s="1"/>
  <c r="I190" i="5"/>
  <c r="B189" i="5"/>
  <c r="I189" i="5" s="1"/>
  <c r="B188" i="5"/>
  <c r="I188" i="5" s="1"/>
  <c r="I187" i="5"/>
  <c r="I186" i="5"/>
  <c r="I183" i="5"/>
  <c r="I182" i="5"/>
  <c r="I181" i="5"/>
  <c r="I179" i="5"/>
  <c r="I178" i="5"/>
  <c r="B177" i="5"/>
  <c r="I177" i="5" s="1"/>
  <c r="I176" i="5"/>
  <c r="I175" i="5"/>
  <c r="I174" i="5"/>
  <c r="E174" i="8" s="1"/>
  <c r="I173" i="5"/>
  <c r="H173" i="5"/>
  <c r="G173" i="5"/>
  <c r="F173" i="5"/>
  <c r="E173" i="5"/>
  <c r="D173" i="5"/>
  <c r="C173" i="5"/>
  <c r="B173" i="5"/>
  <c r="F172" i="5"/>
  <c r="E172" i="5"/>
  <c r="D172" i="5"/>
  <c r="H171" i="5"/>
  <c r="G171" i="5"/>
  <c r="G172" i="5" s="1"/>
  <c r="I170" i="5"/>
  <c r="E170" i="8" s="1"/>
  <c r="B167" i="5"/>
  <c r="I167" i="5" s="1"/>
  <c r="E167" i="8" s="1"/>
  <c r="I165" i="5"/>
  <c r="E165" i="8" s="1"/>
  <c r="I164" i="5"/>
  <c r="E164" i="8" s="1"/>
  <c r="I161" i="5"/>
  <c r="E161" i="8" s="1"/>
  <c r="I160" i="5"/>
  <c r="E160" i="8" s="1"/>
  <c r="I158" i="5"/>
  <c r="E158" i="8" s="1"/>
  <c r="I157" i="5"/>
  <c r="H157" i="5"/>
  <c r="G157" i="5"/>
  <c r="F157" i="5"/>
  <c r="E157" i="5"/>
  <c r="D157" i="5"/>
  <c r="C157" i="5"/>
  <c r="B157" i="5"/>
  <c r="H156" i="5"/>
  <c r="G156" i="5"/>
  <c r="F156" i="5"/>
  <c r="E156" i="5"/>
  <c r="D156" i="5"/>
  <c r="I154" i="5"/>
  <c r="E154" i="8" s="1"/>
  <c r="B153" i="5"/>
  <c r="I148" i="5"/>
  <c r="E148" i="8" s="1"/>
  <c r="I147" i="5"/>
  <c r="E147" i="8" s="1"/>
  <c r="I145" i="5"/>
  <c r="H145" i="5"/>
  <c r="G145" i="5"/>
  <c r="F145" i="5"/>
  <c r="E145" i="5"/>
  <c r="D145" i="5"/>
  <c r="C145" i="5"/>
  <c r="B145" i="5"/>
  <c r="I141" i="5"/>
  <c r="E141" i="8" s="1"/>
  <c r="I140" i="5"/>
  <c r="E140" i="8" s="1"/>
  <c r="I139" i="5"/>
  <c r="E139" i="8" s="1"/>
  <c r="F133" i="5"/>
  <c r="E133" i="5"/>
  <c r="I132" i="5"/>
  <c r="E132" i="8" s="1"/>
  <c r="H131" i="5"/>
  <c r="H133" i="5" s="1"/>
  <c r="D133" i="5"/>
  <c r="C133" i="5"/>
  <c r="I130" i="5"/>
  <c r="E130" i="8" s="1"/>
  <c r="I129" i="5"/>
  <c r="E129" i="8" s="1"/>
  <c r="I128" i="5"/>
  <c r="E128" i="8" s="1"/>
  <c r="I127" i="5"/>
  <c r="E127" i="8" s="1"/>
  <c r="I126" i="5"/>
  <c r="E126" i="8" s="1"/>
  <c r="I125" i="5"/>
  <c r="E125" i="8" s="1"/>
  <c r="H123" i="5"/>
  <c r="G123" i="5"/>
  <c r="G134" i="5" s="1"/>
  <c r="G135" i="5" s="1"/>
  <c r="F123" i="5"/>
  <c r="E123" i="5"/>
  <c r="I122" i="5"/>
  <c r="E122" i="8" s="1"/>
  <c r="I119" i="5"/>
  <c r="E119" i="8" s="1"/>
  <c r="I106" i="5"/>
  <c r="H106" i="5"/>
  <c r="G106" i="5"/>
  <c r="F106" i="5"/>
  <c r="E106" i="5"/>
  <c r="D106" i="5"/>
  <c r="C106" i="5"/>
  <c r="B106" i="5"/>
  <c r="H104" i="5"/>
  <c r="G104" i="5"/>
  <c r="F104" i="5"/>
  <c r="E104" i="5"/>
  <c r="D104" i="5"/>
  <c r="C104" i="5"/>
  <c r="B104" i="5"/>
  <c r="I103" i="5"/>
  <c r="E103" i="8" s="1"/>
  <c r="I102" i="5"/>
  <c r="E102" i="8" s="1"/>
  <c r="I101" i="5"/>
  <c r="E101" i="8" s="1"/>
  <c r="I100" i="5"/>
  <c r="E100" i="8" s="1"/>
  <c r="H97" i="5"/>
  <c r="D97" i="5"/>
  <c r="C97" i="5"/>
  <c r="B97" i="5"/>
  <c r="I96" i="5"/>
  <c r="E96" i="8" s="1"/>
  <c r="I95" i="5"/>
  <c r="E95" i="8" s="1"/>
  <c r="I94" i="5"/>
  <c r="E94" i="8" s="1"/>
  <c r="I93" i="5"/>
  <c r="E93" i="8" s="1"/>
  <c r="H91" i="5"/>
  <c r="G91" i="5"/>
  <c r="E91" i="5"/>
  <c r="B91" i="5"/>
  <c r="I90" i="5"/>
  <c r="E90" i="8" s="1"/>
  <c r="I89" i="5"/>
  <c r="E89" i="8" s="1"/>
  <c r="I88" i="5"/>
  <c r="E88" i="8" s="1"/>
  <c r="I87" i="5"/>
  <c r="E87" i="8" s="1"/>
  <c r="H81" i="5"/>
  <c r="G81" i="5"/>
  <c r="F81" i="5"/>
  <c r="E81" i="5"/>
  <c r="D81" i="5"/>
  <c r="I79" i="5"/>
  <c r="J78" i="5"/>
  <c r="J77" i="5"/>
  <c r="I77" i="5"/>
  <c r="E77" i="8" s="1"/>
  <c r="J76" i="5"/>
  <c r="I73" i="5"/>
  <c r="H73" i="5"/>
  <c r="G73" i="5"/>
  <c r="F73" i="5"/>
  <c r="E73" i="5"/>
  <c r="D73" i="5"/>
  <c r="C73" i="5"/>
  <c r="B73" i="5"/>
  <c r="H62" i="5"/>
  <c r="H65" i="5" s="1"/>
  <c r="G62" i="5"/>
  <c r="G65" i="5" s="1"/>
  <c r="F62" i="5"/>
  <c r="F65" i="5" s="1"/>
  <c r="E62" i="5"/>
  <c r="E65" i="5" s="1"/>
  <c r="D62" i="5"/>
  <c r="D65" i="5" s="1"/>
  <c r="C62" i="5"/>
  <c r="C65" i="5" s="1"/>
  <c r="B62" i="5"/>
  <c r="B65" i="5" s="1"/>
  <c r="I61" i="5"/>
  <c r="E61" i="8" s="1"/>
  <c r="I60" i="5"/>
  <c r="E60" i="8" s="1"/>
  <c r="I59" i="5"/>
  <c r="E59" i="8" s="1"/>
  <c r="I58" i="5"/>
  <c r="E58" i="8" s="1"/>
  <c r="I57" i="5"/>
  <c r="E57" i="8" s="1"/>
  <c r="I56" i="5"/>
  <c r="E56" i="8" s="1"/>
  <c r="I55" i="5"/>
  <c r="E55" i="8" s="1"/>
  <c r="I54" i="5"/>
  <c r="E54" i="8" s="1"/>
  <c r="I53" i="5"/>
  <c r="E53" i="8" s="1"/>
  <c r="I52" i="5"/>
  <c r="E52" i="8" s="1"/>
  <c r="I51" i="5"/>
  <c r="E51" i="8" s="1"/>
  <c r="F43" i="9" s="1"/>
  <c r="I50" i="5"/>
  <c r="E50" i="8" s="1"/>
  <c r="I49" i="5"/>
  <c r="E49" i="8" s="1"/>
  <c r="I48" i="5"/>
  <c r="E48" i="8" s="1"/>
  <c r="F41" i="9" s="1"/>
  <c r="I47" i="5"/>
  <c r="E47" i="8" s="1"/>
  <c r="F40" i="9" s="1"/>
  <c r="I45" i="5"/>
  <c r="E45" i="8" s="1"/>
  <c r="I44" i="5"/>
  <c r="E44" i="8" s="1"/>
  <c r="F31" i="9" s="1"/>
  <c r="I43" i="5"/>
  <c r="E43" i="8" s="1"/>
  <c r="I42" i="5"/>
  <c r="E42" i="8" s="1"/>
  <c r="F38" i="9" s="1"/>
  <c r="E41" i="8"/>
  <c r="F28" i="9" s="1"/>
  <c r="I39" i="5"/>
  <c r="I38" i="5"/>
  <c r="H38" i="5"/>
  <c r="G38" i="5"/>
  <c r="F38" i="5"/>
  <c r="E38" i="5"/>
  <c r="D38" i="5"/>
  <c r="C38" i="5"/>
  <c r="B38" i="5"/>
  <c r="H36" i="5"/>
  <c r="G36" i="5"/>
  <c r="F36" i="5"/>
  <c r="F142" i="5" s="1"/>
  <c r="E36" i="5"/>
  <c r="E142" i="5" s="1"/>
  <c r="D36" i="5"/>
  <c r="C36" i="5"/>
  <c r="B36" i="5"/>
  <c r="I35" i="5"/>
  <c r="E35" i="8" s="1"/>
  <c r="I34" i="5"/>
  <c r="E34" i="8" s="1"/>
  <c r="I33" i="5"/>
  <c r="I32" i="5"/>
  <c r="E32" i="8" s="1"/>
  <c r="I31" i="5"/>
  <c r="E31" i="8" s="1"/>
  <c r="I30" i="5"/>
  <c r="E30" i="8" s="1"/>
  <c r="I29" i="5"/>
  <c r="E29" i="8" s="1"/>
  <c r="I28" i="5"/>
  <c r="I27" i="5"/>
  <c r="E27" i="8" s="1"/>
  <c r="I26" i="5"/>
  <c r="H26" i="5"/>
  <c r="G26" i="5"/>
  <c r="F26" i="5"/>
  <c r="E26" i="5"/>
  <c r="D26" i="5"/>
  <c r="C26" i="5"/>
  <c r="B26" i="5"/>
  <c r="E23" i="8"/>
  <c r="I22" i="5"/>
  <c r="E22" i="8" s="1"/>
  <c r="I19" i="5"/>
  <c r="H19" i="5"/>
  <c r="G19" i="5"/>
  <c r="F19" i="5"/>
  <c r="E19" i="5"/>
  <c r="D19" i="5"/>
  <c r="C19" i="5"/>
  <c r="B19" i="5"/>
  <c r="H17" i="5"/>
  <c r="G17" i="5"/>
  <c r="F17" i="5"/>
  <c r="D17" i="5"/>
  <c r="C17" i="5"/>
  <c r="I16" i="5"/>
  <c r="E16" i="8" s="1"/>
  <c r="F50" i="10" s="1"/>
  <c r="I15" i="5"/>
  <c r="E15" i="8" s="1"/>
  <c r="I14" i="5"/>
  <c r="L14" i="8" s="1"/>
  <c r="I13" i="5"/>
  <c r="L13" i="8" s="1"/>
  <c r="I12" i="5"/>
  <c r="L12" i="8" s="1"/>
  <c r="I10" i="5"/>
  <c r="L10" i="8" s="1"/>
  <c r="J9" i="5"/>
  <c r="I9" i="5"/>
  <c r="E9" i="8" s="1"/>
  <c r="J8" i="5"/>
  <c r="I8" i="5"/>
  <c r="E8" i="8" s="1"/>
  <c r="J7" i="5"/>
  <c r="I7" i="5"/>
  <c r="E7" i="8" s="1"/>
  <c r="J6" i="5"/>
  <c r="I6" i="5"/>
  <c r="E6" i="8" s="1"/>
  <c r="F40" i="10" s="1"/>
  <c r="J5" i="5"/>
  <c r="I5" i="5"/>
  <c r="E5" i="8" s="1"/>
  <c r="J4" i="5"/>
  <c r="I4" i="5"/>
  <c r="E4" i="8" s="1"/>
  <c r="I240" i="4"/>
  <c r="A231" i="4"/>
  <c r="A230" i="4"/>
  <c r="A229" i="4"/>
  <c r="I224" i="4"/>
  <c r="H224" i="4"/>
  <c r="G224" i="4"/>
  <c r="F224" i="4"/>
  <c r="E224" i="4"/>
  <c r="D224" i="4"/>
  <c r="C224" i="4"/>
  <c r="B224" i="4"/>
  <c r="A224" i="4"/>
  <c r="I220" i="4"/>
  <c r="I219" i="4"/>
  <c r="I218" i="4"/>
  <c r="I217" i="4"/>
  <c r="I231" i="4" s="1"/>
  <c r="I216" i="4"/>
  <c r="D230" i="8" s="1"/>
  <c r="H211" i="4"/>
  <c r="G211" i="4"/>
  <c r="F211" i="4"/>
  <c r="E211" i="4"/>
  <c r="D211" i="4"/>
  <c r="C211" i="4"/>
  <c r="I210" i="4"/>
  <c r="D210" i="8" s="1"/>
  <c r="I209" i="4"/>
  <c r="D209" i="8" s="1"/>
  <c r="I208" i="4"/>
  <c r="D208" i="8" s="1"/>
  <c r="I207" i="4"/>
  <c r="I206" i="4"/>
  <c r="D206" i="8" s="1"/>
  <c r="I205" i="4"/>
  <c r="D205" i="8" s="1"/>
  <c r="I204" i="4"/>
  <c r="D204" i="8" s="1"/>
  <c r="I203" i="4"/>
  <c r="D203" i="8" s="1"/>
  <c r="I202" i="4"/>
  <c r="D202" i="8" s="1"/>
  <c r="I200" i="4"/>
  <c r="H200" i="4"/>
  <c r="G200" i="4"/>
  <c r="F200" i="4"/>
  <c r="E200" i="4"/>
  <c r="D200" i="4"/>
  <c r="C200" i="4"/>
  <c r="B200" i="4"/>
  <c r="H199" i="4"/>
  <c r="G199" i="4"/>
  <c r="F199" i="4"/>
  <c r="E199" i="4"/>
  <c r="C199" i="4"/>
  <c r="I197" i="4"/>
  <c r="I195" i="4"/>
  <c r="I194" i="4"/>
  <c r="I193" i="4"/>
  <c r="I192" i="4"/>
  <c r="I191" i="4"/>
  <c r="D191" i="8" s="1"/>
  <c r="I190" i="4"/>
  <c r="B189" i="4"/>
  <c r="I189" i="4" s="1"/>
  <c r="B188" i="4"/>
  <c r="I188" i="4" s="1"/>
  <c r="I187" i="4"/>
  <c r="I186" i="4"/>
  <c r="I183" i="4"/>
  <c r="I182" i="4"/>
  <c r="I181" i="4"/>
  <c r="I179" i="4"/>
  <c r="I178" i="4"/>
  <c r="B177" i="4"/>
  <c r="I177" i="4" s="1"/>
  <c r="I176" i="4"/>
  <c r="I175" i="4"/>
  <c r="I173" i="4"/>
  <c r="H173" i="4"/>
  <c r="G173" i="4"/>
  <c r="F173" i="4"/>
  <c r="E173" i="4"/>
  <c r="D173" i="4"/>
  <c r="C173" i="4"/>
  <c r="B173" i="4"/>
  <c r="F172" i="4"/>
  <c r="E172" i="4"/>
  <c r="D172" i="4"/>
  <c r="H171" i="4"/>
  <c r="G171" i="4"/>
  <c r="G172" i="4" s="1"/>
  <c r="I170" i="4"/>
  <c r="D170" i="8" s="1"/>
  <c r="I169" i="4"/>
  <c r="D169" i="8" s="1"/>
  <c r="B167" i="4"/>
  <c r="I167" i="4" s="1"/>
  <c r="D167" i="8" s="1"/>
  <c r="I165" i="4"/>
  <c r="D165" i="8" s="1"/>
  <c r="I164" i="4"/>
  <c r="D164" i="8" s="1"/>
  <c r="I161" i="4"/>
  <c r="D161" i="8" s="1"/>
  <c r="I160" i="4"/>
  <c r="D160" i="8" s="1"/>
  <c r="I158" i="4"/>
  <c r="D158" i="8" s="1"/>
  <c r="I157" i="4"/>
  <c r="H157" i="4"/>
  <c r="G157" i="4"/>
  <c r="F157" i="4"/>
  <c r="E157" i="4"/>
  <c r="D157" i="4"/>
  <c r="C157" i="4"/>
  <c r="B157" i="4"/>
  <c r="H156" i="4"/>
  <c r="G156" i="4"/>
  <c r="F156" i="4"/>
  <c r="E156" i="4"/>
  <c r="D156" i="4"/>
  <c r="I154" i="4"/>
  <c r="D154" i="8" s="1"/>
  <c r="B153" i="4"/>
  <c r="I148" i="4"/>
  <c r="D148" i="8" s="1"/>
  <c r="I147" i="4"/>
  <c r="D147" i="8" s="1"/>
  <c r="I145" i="4"/>
  <c r="H145" i="4"/>
  <c r="G145" i="4"/>
  <c r="F145" i="4"/>
  <c r="E145" i="4"/>
  <c r="D145" i="4"/>
  <c r="C145" i="4"/>
  <c r="B145" i="4"/>
  <c r="I141" i="4"/>
  <c r="D141" i="8" s="1"/>
  <c r="I140" i="4"/>
  <c r="D140" i="8" s="1"/>
  <c r="I139" i="4"/>
  <c r="F133" i="4"/>
  <c r="E133" i="4"/>
  <c r="I132" i="4"/>
  <c r="D132" i="8" s="1"/>
  <c r="H131" i="4"/>
  <c r="H133" i="4" s="1"/>
  <c r="D133" i="4"/>
  <c r="I130" i="4"/>
  <c r="D130" i="8" s="1"/>
  <c r="I129" i="4"/>
  <c r="D129" i="8" s="1"/>
  <c r="I128" i="4"/>
  <c r="D128" i="8" s="1"/>
  <c r="I127" i="4"/>
  <c r="D127" i="8" s="1"/>
  <c r="I126" i="4"/>
  <c r="D126" i="8" s="1"/>
  <c r="I125" i="4"/>
  <c r="D125" i="8" s="1"/>
  <c r="H123" i="4"/>
  <c r="G123" i="4"/>
  <c r="G134" i="4" s="1"/>
  <c r="F123" i="4"/>
  <c r="E123" i="4"/>
  <c r="I122" i="4"/>
  <c r="D122" i="8" s="1"/>
  <c r="I121" i="4"/>
  <c r="D121" i="8" s="1"/>
  <c r="I106" i="4"/>
  <c r="H106" i="4"/>
  <c r="G106" i="4"/>
  <c r="F106" i="4"/>
  <c r="E106" i="4"/>
  <c r="D106" i="4"/>
  <c r="C106" i="4"/>
  <c r="B106" i="4"/>
  <c r="H104" i="4"/>
  <c r="G104" i="4"/>
  <c r="F104" i="4"/>
  <c r="E104" i="4"/>
  <c r="D104" i="4"/>
  <c r="C104" i="4"/>
  <c r="B104" i="4"/>
  <c r="I103" i="4"/>
  <c r="D103" i="8" s="1"/>
  <c r="I102" i="4"/>
  <c r="D102" i="8" s="1"/>
  <c r="I101" i="4"/>
  <c r="D101" i="8" s="1"/>
  <c r="I100" i="4"/>
  <c r="D100" i="8" s="1"/>
  <c r="H97" i="4"/>
  <c r="D97" i="4"/>
  <c r="C97" i="4"/>
  <c r="B97" i="4"/>
  <c r="I96" i="4"/>
  <c r="D96" i="8" s="1"/>
  <c r="I95" i="4"/>
  <c r="D95" i="8" s="1"/>
  <c r="I94" i="4"/>
  <c r="D94" i="8" s="1"/>
  <c r="I93" i="4"/>
  <c r="D93" i="8" s="1"/>
  <c r="H91" i="4"/>
  <c r="G91" i="4"/>
  <c r="E91" i="4"/>
  <c r="B91" i="4"/>
  <c r="I90" i="4"/>
  <c r="D90" i="8" s="1"/>
  <c r="I89" i="4"/>
  <c r="D89" i="8" s="1"/>
  <c r="I88" i="4"/>
  <c r="D88" i="8" s="1"/>
  <c r="I87" i="4"/>
  <c r="D87" i="8" s="1"/>
  <c r="H81" i="4"/>
  <c r="G81" i="4"/>
  <c r="F81" i="4"/>
  <c r="E81" i="4"/>
  <c r="D81" i="4"/>
  <c r="I79" i="4"/>
  <c r="D79" i="8" s="1"/>
  <c r="J78" i="4"/>
  <c r="J77" i="4"/>
  <c r="I77" i="4"/>
  <c r="D77" i="8" s="1"/>
  <c r="J76" i="4"/>
  <c r="I73" i="4"/>
  <c r="H73" i="4"/>
  <c r="G73" i="4"/>
  <c r="F73" i="4"/>
  <c r="E73" i="4"/>
  <c r="D73" i="4"/>
  <c r="C73" i="4"/>
  <c r="B73" i="4"/>
  <c r="H62" i="4"/>
  <c r="H65" i="4" s="1"/>
  <c r="G62" i="4"/>
  <c r="G65" i="4" s="1"/>
  <c r="F62" i="4"/>
  <c r="F65" i="4" s="1"/>
  <c r="E62" i="4"/>
  <c r="E65" i="4" s="1"/>
  <c r="D62" i="4"/>
  <c r="D65" i="4" s="1"/>
  <c r="C62" i="4"/>
  <c r="C65" i="4" s="1"/>
  <c r="B62" i="4"/>
  <c r="B65" i="4" s="1"/>
  <c r="I61" i="4"/>
  <c r="D61" i="8" s="1"/>
  <c r="I60" i="4"/>
  <c r="D60" i="8" s="1"/>
  <c r="I59" i="4"/>
  <c r="D59" i="8" s="1"/>
  <c r="I58" i="4"/>
  <c r="D58" i="8" s="1"/>
  <c r="I57" i="4"/>
  <c r="D57" i="8" s="1"/>
  <c r="I56" i="4"/>
  <c r="D56" i="8" s="1"/>
  <c r="I55" i="4"/>
  <c r="D55" i="8" s="1"/>
  <c r="I54" i="4"/>
  <c r="D54" i="8" s="1"/>
  <c r="I53" i="4"/>
  <c r="D53" i="8" s="1"/>
  <c r="I52" i="4"/>
  <c r="D52" i="8" s="1"/>
  <c r="I51" i="4"/>
  <c r="D51" i="8" s="1"/>
  <c r="E43" i="9" s="1"/>
  <c r="I50" i="4"/>
  <c r="D50" i="8" s="1"/>
  <c r="I49" i="4"/>
  <c r="D49" i="8" s="1"/>
  <c r="I48" i="4"/>
  <c r="D48" i="8" s="1"/>
  <c r="E41" i="9" s="1"/>
  <c r="I47" i="4"/>
  <c r="D47" i="8" s="1"/>
  <c r="E40" i="9" s="1"/>
  <c r="I45" i="4"/>
  <c r="D45" i="8" s="1"/>
  <c r="I44" i="4"/>
  <c r="D44" i="8" s="1"/>
  <c r="E31" i="9" s="1"/>
  <c r="I43" i="4"/>
  <c r="D43" i="8" s="1"/>
  <c r="I42" i="4"/>
  <c r="D42" i="8" s="1"/>
  <c r="E38" i="9" s="1"/>
  <c r="D41" i="8"/>
  <c r="E28" i="9" s="1"/>
  <c r="I39" i="4"/>
  <c r="I38" i="4"/>
  <c r="H38" i="4"/>
  <c r="G38" i="4"/>
  <c r="F38" i="4"/>
  <c r="E38" i="4"/>
  <c r="D38" i="4"/>
  <c r="C38" i="4"/>
  <c r="B38" i="4"/>
  <c r="H36" i="4"/>
  <c r="H137" i="4" s="1"/>
  <c r="G36" i="4"/>
  <c r="G142" i="4" s="1"/>
  <c r="F36" i="4"/>
  <c r="F142" i="4" s="1"/>
  <c r="E36" i="4"/>
  <c r="D36" i="4"/>
  <c r="D142" i="4" s="1"/>
  <c r="C36" i="4"/>
  <c r="C142" i="4" s="1"/>
  <c r="B36" i="4"/>
  <c r="I35" i="4"/>
  <c r="D35" i="8" s="1"/>
  <c r="I34" i="4"/>
  <c r="D34" i="8" s="1"/>
  <c r="I33" i="4"/>
  <c r="D33" i="8" s="1"/>
  <c r="I32" i="4"/>
  <c r="D32" i="8" s="1"/>
  <c r="I31" i="4"/>
  <c r="D31" i="8" s="1"/>
  <c r="I30" i="4"/>
  <c r="D30" i="8" s="1"/>
  <c r="I29" i="4"/>
  <c r="D29" i="8" s="1"/>
  <c r="I28" i="4"/>
  <c r="I27" i="4"/>
  <c r="J27" i="4" s="1"/>
  <c r="I26" i="4"/>
  <c r="H26" i="4"/>
  <c r="G26" i="4"/>
  <c r="F26" i="4"/>
  <c r="E26" i="4"/>
  <c r="D26" i="4"/>
  <c r="C26" i="4"/>
  <c r="B26" i="4"/>
  <c r="D23" i="8"/>
  <c r="I22" i="4"/>
  <c r="I19" i="4"/>
  <c r="H19" i="4"/>
  <c r="G19" i="4"/>
  <c r="F19" i="4"/>
  <c r="E19" i="4"/>
  <c r="D19" i="4"/>
  <c r="C19" i="4"/>
  <c r="B19" i="4"/>
  <c r="H17" i="4"/>
  <c r="G17" i="4"/>
  <c r="F17" i="4"/>
  <c r="D17" i="4"/>
  <c r="C17" i="4"/>
  <c r="I16" i="4"/>
  <c r="I15" i="4"/>
  <c r="I14" i="4"/>
  <c r="D14" i="8" s="1"/>
  <c r="E48" i="10" s="1"/>
  <c r="I12" i="4"/>
  <c r="D12" i="8" s="1"/>
  <c r="E46" i="10" s="1"/>
  <c r="I11" i="4"/>
  <c r="I10" i="4"/>
  <c r="J9" i="4"/>
  <c r="I9" i="4"/>
  <c r="D9" i="8" s="1"/>
  <c r="J8" i="4"/>
  <c r="I8" i="4"/>
  <c r="D8" i="8" s="1"/>
  <c r="J7" i="4"/>
  <c r="I7" i="4"/>
  <c r="D7" i="8" s="1"/>
  <c r="J6" i="4"/>
  <c r="I6" i="4"/>
  <c r="D6" i="8" s="1"/>
  <c r="E40" i="10" s="1"/>
  <c r="J5" i="4"/>
  <c r="I5" i="4"/>
  <c r="D5" i="8" s="1"/>
  <c r="J4" i="4"/>
  <c r="I4" i="4"/>
  <c r="D4" i="8" s="1"/>
  <c r="I2" i="4"/>
  <c r="D2" i="8" s="1"/>
  <c r="I12" i="3"/>
  <c r="I11" i="3"/>
  <c r="B76" i="3"/>
  <c r="I76" i="3" s="1"/>
  <c r="C76" i="8" s="1"/>
  <c r="J78" i="3"/>
  <c r="J77" i="3"/>
  <c r="J76" i="3"/>
  <c r="I240" i="3"/>
  <c r="A231" i="3"/>
  <c r="A230" i="3"/>
  <c r="A229" i="3"/>
  <c r="I224" i="3"/>
  <c r="H224" i="3"/>
  <c r="G224" i="3"/>
  <c r="F224" i="3"/>
  <c r="E224" i="3"/>
  <c r="D224" i="3"/>
  <c r="C224" i="3"/>
  <c r="B224" i="3"/>
  <c r="A224" i="3"/>
  <c r="I220" i="3"/>
  <c r="I219" i="3"/>
  <c r="I218" i="3"/>
  <c r="I217" i="3"/>
  <c r="I231" i="3" s="1"/>
  <c r="I216" i="3"/>
  <c r="I230" i="3" s="1"/>
  <c r="H211" i="3"/>
  <c r="G211" i="3"/>
  <c r="F211" i="3"/>
  <c r="E211" i="3"/>
  <c r="D211" i="3"/>
  <c r="C211" i="3"/>
  <c r="I210" i="3"/>
  <c r="C210" i="8" s="1"/>
  <c r="I209" i="3"/>
  <c r="C209" i="8" s="1"/>
  <c r="I208" i="3"/>
  <c r="C208" i="8" s="1"/>
  <c r="I207" i="3"/>
  <c r="C207" i="8" s="1"/>
  <c r="I206" i="3"/>
  <c r="C206" i="8" s="1"/>
  <c r="I205" i="3"/>
  <c r="C205" i="8" s="1"/>
  <c r="I204" i="3"/>
  <c r="C204" i="8" s="1"/>
  <c r="I203" i="3"/>
  <c r="C203" i="8" s="1"/>
  <c r="I202" i="3"/>
  <c r="C202" i="8" s="1"/>
  <c r="I201" i="3"/>
  <c r="C201" i="8" s="1"/>
  <c r="I200" i="3"/>
  <c r="H200" i="3"/>
  <c r="G200" i="3"/>
  <c r="F200" i="3"/>
  <c r="E200" i="3"/>
  <c r="D200" i="3"/>
  <c r="C200" i="3"/>
  <c r="B200" i="3"/>
  <c r="H199" i="3"/>
  <c r="G199" i="3"/>
  <c r="F199" i="3"/>
  <c r="E199" i="3"/>
  <c r="C199" i="3"/>
  <c r="I197" i="3"/>
  <c r="I195" i="3"/>
  <c r="I194" i="3"/>
  <c r="I193" i="3"/>
  <c r="L14" i="2" s="1"/>
  <c r="M14" i="2" s="1"/>
  <c r="I192" i="3"/>
  <c r="I191" i="3"/>
  <c r="I190" i="3"/>
  <c r="I189" i="3"/>
  <c r="C189" i="8" s="1"/>
  <c r="B188" i="3"/>
  <c r="I188" i="3" s="1"/>
  <c r="I187" i="3"/>
  <c r="I186" i="3"/>
  <c r="I183" i="3"/>
  <c r="I182" i="3"/>
  <c r="I181" i="3"/>
  <c r="I179" i="3"/>
  <c r="I178" i="3"/>
  <c r="B177" i="3"/>
  <c r="I177" i="3" s="1"/>
  <c r="I176" i="3"/>
  <c r="I175" i="3"/>
  <c r="I174" i="3"/>
  <c r="C174" i="8" s="1"/>
  <c r="I173" i="3"/>
  <c r="H173" i="3"/>
  <c r="G173" i="3"/>
  <c r="F173" i="3"/>
  <c r="E173" i="3"/>
  <c r="D173" i="3"/>
  <c r="C173" i="3"/>
  <c r="B173" i="3"/>
  <c r="F172" i="3"/>
  <c r="E172" i="3"/>
  <c r="D172" i="3"/>
  <c r="H171" i="3"/>
  <c r="G171" i="3"/>
  <c r="G172" i="3" s="1"/>
  <c r="I170" i="3"/>
  <c r="C170" i="8" s="1"/>
  <c r="I169" i="3"/>
  <c r="C169" i="8" s="1"/>
  <c r="B167" i="3"/>
  <c r="I167" i="3" s="1"/>
  <c r="C167" i="8" s="1"/>
  <c r="I165" i="3"/>
  <c r="C165" i="8" s="1"/>
  <c r="I164" i="3"/>
  <c r="C164" i="8" s="1"/>
  <c r="I161" i="3"/>
  <c r="C161" i="8" s="1"/>
  <c r="I160" i="3"/>
  <c r="C160" i="8" s="1"/>
  <c r="I158" i="3"/>
  <c r="C158" i="8" s="1"/>
  <c r="I157" i="3"/>
  <c r="H157" i="3"/>
  <c r="G157" i="3"/>
  <c r="F157" i="3"/>
  <c r="E157" i="3"/>
  <c r="D157" i="3"/>
  <c r="C157" i="3"/>
  <c r="B157" i="3"/>
  <c r="H156" i="3"/>
  <c r="G156" i="3"/>
  <c r="F156" i="3"/>
  <c r="E156" i="3"/>
  <c r="D156" i="3"/>
  <c r="I154" i="3"/>
  <c r="C154" i="8" s="1"/>
  <c r="B153" i="3"/>
  <c r="I148" i="3"/>
  <c r="C148" i="8" s="1"/>
  <c r="I147" i="3"/>
  <c r="C147" i="8" s="1"/>
  <c r="I145" i="3"/>
  <c r="H145" i="3"/>
  <c r="G145" i="3"/>
  <c r="F145" i="3"/>
  <c r="E145" i="3"/>
  <c r="D145" i="3"/>
  <c r="C145" i="3"/>
  <c r="B145" i="3"/>
  <c r="I141" i="3"/>
  <c r="C141" i="8" s="1"/>
  <c r="I140" i="3"/>
  <c r="C140" i="8" s="1"/>
  <c r="I139" i="3"/>
  <c r="C139" i="8" s="1"/>
  <c r="F133" i="3"/>
  <c r="E133" i="3"/>
  <c r="I132" i="3"/>
  <c r="C132" i="8" s="1"/>
  <c r="H131" i="3"/>
  <c r="H133" i="3" s="1"/>
  <c r="D133" i="3"/>
  <c r="C131" i="3"/>
  <c r="C133" i="3" s="1"/>
  <c r="B131" i="3"/>
  <c r="B133" i="3" s="1"/>
  <c r="I130" i="3"/>
  <c r="C130" i="8" s="1"/>
  <c r="I129" i="3"/>
  <c r="C129" i="8" s="1"/>
  <c r="I128" i="3"/>
  <c r="C128" i="8" s="1"/>
  <c r="I127" i="3"/>
  <c r="C127" i="8" s="1"/>
  <c r="I126" i="3"/>
  <c r="C126" i="8" s="1"/>
  <c r="I125" i="3"/>
  <c r="C125" i="8" s="1"/>
  <c r="H123" i="3"/>
  <c r="G123" i="3"/>
  <c r="G134" i="3" s="1"/>
  <c r="F123" i="3"/>
  <c r="E123" i="3"/>
  <c r="I122" i="3"/>
  <c r="C122" i="8" s="1"/>
  <c r="D123" i="3"/>
  <c r="I120" i="3"/>
  <c r="C120" i="8" s="1"/>
  <c r="I114" i="3"/>
  <c r="C114" i="8" s="1"/>
  <c r="I111" i="3"/>
  <c r="C111" i="8" s="1"/>
  <c r="I108" i="3"/>
  <c r="C108" i="8" s="1"/>
  <c r="I106" i="3"/>
  <c r="H106" i="3"/>
  <c r="G106" i="3"/>
  <c r="F106" i="3"/>
  <c r="E106" i="3"/>
  <c r="D106" i="3"/>
  <c r="C106" i="3"/>
  <c r="B106" i="3"/>
  <c r="H104" i="3"/>
  <c r="G104" i="3"/>
  <c r="F104" i="3"/>
  <c r="E104" i="3"/>
  <c r="D104" i="3"/>
  <c r="C104" i="3"/>
  <c r="B104" i="3"/>
  <c r="I103" i="3"/>
  <c r="C103" i="8" s="1"/>
  <c r="I102" i="3"/>
  <c r="C102" i="8" s="1"/>
  <c r="I101" i="3"/>
  <c r="C101" i="8" s="1"/>
  <c r="I100" i="3"/>
  <c r="C100" i="8" s="1"/>
  <c r="H97" i="3"/>
  <c r="D97" i="3"/>
  <c r="C97" i="3"/>
  <c r="B97" i="3"/>
  <c r="I96" i="3"/>
  <c r="C96" i="8" s="1"/>
  <c r="I95" i="3"/>
  <c r="C95" i="8" s="1"/>
  <c r="I94" i="3"/>
  <c r="C94" i="8" s="1"/>
  <c r="I93" i="3"/>
  <c r="C93" i="8" s="1"/>
  <c r="H91" i="3"/>
  <c r="G91" i="3"/>
  <c r="E91" i="3"/>
  <c r="B91" i="3"/>
  <c r="I90" i="3"/>
  <c r="C90" i="8" s="1"/>
  <c r="I89" i="3"/>
  <c r="C89" i="8" s="1"/>
  <c r="I88" i="3"/>
  <c r="C88" i="8" s="1"/>
  <c r="I87" i="3"/>
  <c r="C87" i="8" s="1"/>
  <c r="H81" i="3"/>
  <c r="G81" i="3"/>
  <c r="F81" i="3"/>
  <c r="E81" i="3"/>
  <c r="D81" i="3"/>
  <c r="I79" i="3"/>
  <c r="C79" i="8" s="1"/>
  <c r="I78" i="3"/>
  <c r="C78" i="8" s="1"/>
  <c r="B77" i="3"/>
  <c r="I77" i="3" s="1"/>
  <c r="C77" i="8" s="1"/>
  <c r="I73" i="3"/>
  <c r="H73" i="3"/>
  <c r="G73" i="3"/>
  <c r="F73" i="3"/>
  <c r="E73" i="3"/>
  <c r="D73" i="3"/>
  <c r="C73" i="3"/>
  <c r="B73" i="3"/>
  <c r="H62" i="3"/>
  <c r="H65" i="3" s="1"/>
  <c r="G62" i="3"/>
  <c r="G65" i="3" s="1"/>
  <c r="F62" i="3"/>
  <c r="F65" i="3" s="1"/>
  <c r="E62" i="3"/>
  <c r="E65" i="3" s="1"/>
  <c r="D62" i="3"/>
  <c r="D65" i="3" s="1"/>
  <c r="C62" i="3"/>
  <c r="C65" i="3" s="1"/>
  <c r="B62" i="3"/>
  <c r="B65" i="3" s="1"/>
  <c r="I61" i="3"/>
  <c r="C61" i="8" s="1"/>
  <c r="I60" i="3"/>
  <c r="C60" i="8" s="1"/>
  <c r="I59" i="3"/>
  <c r="C59" i="8" s="1"/>
  <c r="I58" i="3"/>
  <c r="C58" i="8" s="1"/>
  <c r="I57" i="3"/>
  <c r="C57" i="8" s="1"/>
  <c r="I56" i="3"/>
  <c r="C56" i="8" s="1"/>
  <c r="I55" i="3"/>
  <c r="C55" i="8" s="1"/>
  <c r="I54" i="3"/>
  <c r="C54" i="8" s="1"/>
  <c r="I53" i="3"/>
  <c r="C53" i="8" s="1"/>
  <c r="I52" i="3"/>
  <c r="C52" i="8" s="1"/>
  <c r="I51" i="3"/>
  <c r="C51" i="8" s="1"/>
  <c r="D43" i="9" s="1"/>
  <c r="I50" i="3"/>
  <c r="C50" i="8" s="1"/>
  <c r="I49" i="3"/>
  <c r="C49" i="8" s="1"/>
  <c r="I48" i="3"/>
  <c r="C48" i="8" s="1"/>
  <c r="D41" i="9" s="1"/>
  <c r="I47" i="3"/>
  <c r="C47" i="8" s="1"/>
  <c r="D40" i="9" s="1"/>
  <c r="I45" i="3"/>
  <c r="C45" i="8" s="1"/>
  <c r="I44" i="3"/>
  <c r="C44" i="8" s="1"/>
  <c r="D31" i="9" s="1"/>
  <c r="I43" i="3"/>
  <c r="C43" i="8" s="1"/>
  <c r="I42" i="3"/>
  <c r="C42" i="8" s="1"/>
  <c r="D38" i="9" s="1"/>
  <c r="C41" i="8"/>
  <c r="D28" i="9" s="1"/>
  <c r="I39" i="3"/>
  <c r="I38" i="3"/>
  <c r="H38" i="3"/>
  <c r="G38" i="3"/>
  <c r="F38" i="3"/>
  <c r="E38" i="3"/>
  <c r="D38" i="3"/>
  <c r="C38" i="3"/>
  <c r="B38" i="3"/>
  <c r="H36" i="3"/>
  <c r="G36" i="3"/>
  <c r="G142" i="3" s="1"/>
  <c r="F36" i="3"/>
  <c r="F142" i="3" s="1"/>
  <c r="E36" i="3"/>
  <c r="E142" i="3" s="1"/>
  <c r="D36" i="3"/>
  <c r="D64" i="3" s="1"/>
  <c r="C36" i="3"/>
  <c r="B36" i="3"/>
  <c r="B116" i="3" s="1"/>
  <c r="I35" i="3"/>
  <c r="C35" i="8" s="1"/>
  <c r="I34" i="3"/>
  <c r="C34" i="8" s="1"/>
  <c r="I33" i="3"/>
  <c r="C33" i="8" s="1"/>
  <c r="I32" i="3"/>
  <c r="C32" i="8" s="1"/>
  <c r="I31" i="3"/>
  <c r="C31" i="8" s="1"/>
  <c r="I30" i="3"/>
  <c r="C30" i="8" s="1"/>
  <c r="I29" i="3"/>
  <c r="C29" i="8" s="1"/>
  <c r="I28" i="3"/>
  <c r="C117" i="3" s="1"/>
  <c r="I27" i="3"/>
  <c r="J27" i="3" s="1"/>
  <c r="I26" i="3"/>
  <c r="H26" i="3"/>
  <c r="G26" i="3"/>
  <c r="F26" i="3"/>
  <c r="E26" i="3"/>
  <c r="D26" i="3"/>
  <c r="C26" i="3"/>
  <c r="B26" i="3"/>
  <c r="I24" i="3"/>
  <c r="C24" i="8" s="1"/>
  <c r="C23" i="8"/>
  <c r="I22" i="3"/>
  <c r="C22" i="8" s="1"/>
  <c r="I21" i="3"/>
  <c r="C21" i="8" s="1"/>
  <c r="I19" i="3"/>
  <c r="H19" i="3"/>
  <c r="G19" i="3"/>
  <c r="F19" i="3"/>
  <c r="E19" i="3"/>
  <c r="D19" i="3"/>
  <c r="C19" i="3"/>
  <c r="B19" i="3"/>
  <c r="H17" i="3"/>
  <c r="G17" i="3"/>
  <c r="F17" i="3"/>
  <c r="D17" i="3"/>
  <c r="C17" i="3"/>
  <c r="I16" i="3"/>
  <c r="J16" i="3" s="1"/>
  <c r="J16" i="8" s="1"/>
  <c r="I15" i="3"/>
  <c r="I14" i="3"/>
  <c r="I13" i="3"/>
  <c r="J13" i="8" s="1"/>
  <c r="I10" i="3"/>
  <c r="J10" i="8" s="1"/>
  <c r="J9" i="3"/>
  <c r="I9" i="3"/>
  <c r="C9" i="8" s="1"/>
  <c r="J8" i="3"/>
  <c r="I8" i="3"/>
  <c r="C8" i="8" s="1"/>
  <c r="J7" i="3"/>
  <c r="I7" i="3"/>
  <c r="C7" i="8" s="1"/>
  <c r="J6" i="3"/>
  <c r="I6" i="3"/>
  <c r="C6" i="8" s="1"/>
  <c r="J5" i="3"/>
  <c r="I5" i="3"/>
  <c r="C5" i="8" s="1"/>
  <c r="J4" i="3"/>
  <c r="I4" i="3"/>
  <c r="C4" i="8" s="1"/>
  <c r="I2" i="3"/>
  <c r="C2" i="8" s="1"/>
  <c r="J23" i="2"/>
  <c r="J22" i="2"/>
  <c r="J21" i="2"/>
  <c r="J20" i="2"/>
  <c r="J19" i="2"/>
  <c r="J18" i="2"/>
  <c r="J17" i="2"/>
  <c r="J16" i="2"/>
  <c r="J13" i="2"/>
  <c r="J12" i="2"/>
  <c r="J11" i="2"/>
  <c r="D193" i="8" l="1"/>
  <c r="L15" i="2" s="1"/>
  <c r="M15" i="2" s="1"/>
  <c r="L18" i="2"/>
  <c r="M18" i="2" s="1"/>
  <c r="G193" i="8"/>
  <c r="F193" i="8"/>
  <c r="L17" i="2" s="1"/>
  <c r="M17" i="2" s="1"/>
  <c r="E193" i="8"/>
  <c r="L16" i="2" s="1"/>
  <c r="M16" i="2" s="1"/>
  <c r="K2" i="8"/>
  <c r="G39" i="8"/>
  <c r="F39" i="8"/>
  <c r="E39" i="8"/>
  <c r="F44" i="9"/>
  <c r="D39" i="8"/>
  <c r="C39" i="8"/>
  <c r="F28" i="8"/>
  <c r="G37" i="9" s="1"/>
  <c r="G98" i="9" s="1"/>
  <c r="N16" i="8"/>
  <c r="G11" i="8"/>
  <c r="G12" i="8"/>
  <c r="H46" i="10" s="1"/>
  <c r="G13" i="8"/>
  <c r="H47" i="10" s="1"/>
  <c r="G14" i="8"/>
  <c r="N14" i="8"/>
  <c r="N15" i="8"/>
  <c r="F16" i="8"/>
  <c r="G50" i="10" s="1"/>
  <c r="G73" i="10" s="1"/>
  <c r="M16" i="8"/>
  <c r="M12" i="8"/>
  <c r="F13" i="8"/>
  <c r="G47" i="10" s="1"/>
  <c r="F15" i="8"/>
  <c r="F14" i="8"/>
  <c r="G48" i="10" s="1"/>
  <c r="M14" i="8"/>
  <c r="C15" i="8"/>
  <c r="D49" i="10" s="1"/>
  <c r="J15" i="8"/>
  <c r="C14" i="8"/>
  <c r="D48" i="10" s="1"/>
  <c r="J14" i="8"/>
  <c r="J12" i="8"/>
  <c r="C11" i="8"/>
  <c r="I4" i="8"/>
  <c r="C81" i="3"/>
  <c r="C83" i="3"/>
  <c r="C91" i="3" s="1"/>
  <c r="H98" i="7"/>
  <c r="H98" i="6"/>
  <c r="H98" i="5"/>
  <c r="B64" i="6"/>
  <c r="B64" i="4"/>
  <c r="B64" i="3"/>
  <c r="F97" i="8"/>
  <c r="D36" i="9"/>
  <c r="I20" i="3"/>
  <c r="J28" i="3" s="1"/>
  <c r="D29" i="9"/>
  <c r="D90" i="9" s="1"/>
  <c r="D44" i="9"/>
  <c r="D105" i="9" s="1"/>
  <c r="E44" i="9"/>
  <c r="I6" i="8"/>
  <c r="E97" i="8"/>
  <c r="G97" i="8"/>
  <c r="D42" i="9"/>
  <c r="C153" i="3"/>
  <c r="C156" i="3" s="1"/>
  <c r="F134" i="4"/>
  <c r="F135" i="4" s="1"/>
  <c r="E98" i="5"/>
  <c r="H44" i="9"/>
  <c r="H126" i="9" s="1"/>
  <c r="B62" i="8"/>
  <c r="B65" i="8" s="1"/>
  <c r="C29" i="9"/>
  <c r="C90" i="9" s="1"/>
  <c r="G231" i="8"/>
  <c r="E41" i="10"/>
  <c r="K7" i="8"/>
  <c r="F38" i="10"/>
  <c r="L4" i="8"/>
  <c r="G42" i="10"/>
  <c r="M8" i="8"/>
  <c r="F104" i="8"/>
  <c r="D97" i="8"/>
  <c r="F39" i="10"/>
  <c r="L5" i="8"/>
  <c r="F43" i="10"/>
  <c r="L9" i="8"/>
  <c r="E39" i="10"/>
  <c r="K5" i="8"/>
  <c r="E43" i="10"/>
  <c r="K9" i="8"/>
  <c r="F42" i="10"/>
  <c r="L8" i="8"/>
  <c r="G40" i="10"/>
  <c r="M6" i="8"/>
  <c r="H39" i="10"/>
  <c r="N5" i="8"/>
  <c r="H41" i="10"/>
  <c r="N7" i="8"/>
  <c r="H43" i="10"/>
  <c r="N9" i="8"/>
  <c r="E38" i="10"/>
  <c r="K4" i="8"/>
  <c r="E42" i="10"/>
  <c r="K8" i="8"/>
  <c r="F41" i="10"/>
  <c r="L7" i="8"/>
  <c r="G36" i="9"/>
  <c r="G97" i="9" s="1"/>
  <c r="G104" i="8"/>
  <c r="G61" i="10"/>
  <c r="G17" i="10"/>
  <c r="H65" i="10"/>
  <c r="H21" i="10"/>
  <c r="F19" i="10"/>
  <c r="F63" i="10"/>
  <c r="F230" i="8"/>
  <c r="J2" i="8"/>
  <c r="H61" i="10"/>
  <c r="H17" i="10"/>
  <c r="F10" i="8"/>
  <c r="G44" i="10" s="1"/>
  <c r="E63" i="10"/>
  <c r="E19" i="10"/>
  <c r="K6" i="8"/>
  <c r="C231" i="8"/>
  <c r="J5" i="8"/>
  <c r="D39" i="10"/>
  <c r="J7" i="8"/>
  <c r="D41" i="10"/>
  <c r="J9" i="8"/>
  <c r="D43" i="10"/>
  <c r="I2" i="5"/>
  <c r="E2" i="8" s="1"/>
  <c r="L2" i="8" s="1"/>
  <c r="G22" i="10"/>
  <c r="G66" i="10"/>
  <c r="G62" i="10"/>
  <c r="G18" i="10"/>
  <c r="D231" i="8"/>
  <c r="J4" i="8"/>
  <c r="D38" i="10"/>
  <c r="J8" i="8"/>
  <c r="D42" i="10"/>
  <c r="E29" i="9"/>
  <c r="E90" i="9" s="1"/>
  <c r="G20" i="10"/>
  <c r="G64" i="10"/>
  <c r="H19" i="10"/>
  <c r="H63" i="10"/>
  <c r="N8" i="8"/>
  <c r="N6" i="8"/>
  <c r="N4" i="8"/>
  <c r="L6" i="8"/>
  <c r="J6" i="8"/>
  <c r="D40" i="10"/>
  <c r="F231" i="8"/>
  <c r="G98" i="5"/>
  <c r="I97" i="5"/>
  <c r="F134" i="6"/>
  <c r="M9" i="8"/>
  <c r="M7" i="8"/>
  <c r="M5" i="8"/>
  <c r="M4" i="8"/>
  <c r="C42" i="9"/>
  <c r="C124" i="9" s="1"/>
  <c r="B97" i="8"/>
  <c r="E231" i="8"/>
  <c r="I108" i="4"/>
  <c r="D108" i="8" s="1"/>
  <c r="E42" i="9"/>
  <c r="E103" i="9" s="1"/>
  <c r="H99" i="9"/>
  <c r="H120" i="9"/>
  <c r="H89" i="9"/>
  <c r="H110" i="9"/>
  <c r="H101" i="9"/>
  <c r="H122" i="9"/>
  <c r="H102" i="9"/>
  <c r="H123" i="9"/>
  <c r="H104" i="9"/>
  <c r="H125" i="9"/>
  <c r="H29" i="9"/>
  <c r="H113" i="9"/>
  <c r="H92" i="9"/>
  <c r="G120" i="9"/>
  <c r="G99" i="9"/>
  <c r="G110" i="9"/>
  <c r="G89" i="9"/>
  <c r="G125" i="9"/>
  <c r="G104" i="9"/>
  <c r="G29" i="9"/>
  <c r="G102" i="9"/>
  <c r="G123" i="9"/>
  <c r="G122" i="9"/>
  <c r="G101" i="9"/>
  <c r="G105" i="9"/>
  <c r="G126" i="9"/>
  <c r="G92" i="9"/>
  <c r="G113" i="9"/>
  <c r="G42" i="9"/>
  <c r="F99" i="9"/>
  <c r="F120" i="9"/>
  <c r="F102" i="9"/>
  <c r="F123" i="9"/>
  <c r="F101" i="9"/>
  <c r="F122" i="9"/>
  <c r="F29" i="9"/>
  <c r="F105" i="9"/>
  <c r="F126" i="9"/>
  <c r="F89" i="9"/>
  <c r="F110" i="9"/>
  <c r="F125" i="9"/>
  <c r="F104" i="9"/>
  <c r="F92" i="9"/>
  <c r="F113" i="9"/>
  <c r="F42" i="9"/>
  <c r="G98" i="4"/>
  <c r="E111" i="9"/>
  <c r="E123" i="9"/>
  <c r="E102" i="9"/>
  <c r="E126" i="9"/>
  <c r="E105" i="9"/>
  <c r="E120" i="9"/>
  <c r="E99" i="9"/>
  <c r="E92" i="9"/>
  <c r="E113" i="9"/>
  <c r="E89" i="9"/>
  <c r="E110" i="9"/>
  <c r="E122" i="9"/>
  <c r="E101" i="9"/>
  <c r="E125" i="9"/>
  <c r="E104" i="9"/>
  <c r="I116" i="7"/>
  <c r="H36" i="9"/>
  <c r="H98" i="9"/>
  <c r="H119" i="9"/>
  <c r="G27" i="8"/>
  <c r="G36" i="8" s="1"/>
  <c r="G64" i="8" s="1"/>
  <c r="G119" i="9"/>
  <c r="F27" i="8"/>
  <c r="F36" i="8" s="1"/>
  <c r="F64" i="8" s="1"/>
  <c r="I116" i="6"/>
  <c r="F36" i="9"/>
  <c r="F118" i="9" s="1"/>
  <c r="I116" i="5"/>
  <c r="E116" i="8" s="1"/>
  <c r="E36" i="9"/>
  <c r="E97" i="9" s="1"/>
  <c r="H45" i="10"/>
  <c r="H48" i="10"/>
  <c r="H70" i="10"/>
  <c r="G16" i="8"/>
  <c r="N12" i="8"/>
  <c r="G15" i="8"/>
  <c r="G10" i="8"/>
  <c r="G49" i="10"/>
  <c r="F12" i="8"/>
  <c r="E13" i="8"/>
  <c r="F47" i="10" s="1"/>
  <c r="F70" i="10" s="1"/>
  <c r="E12" i="8"/>
  <c r="F46" i="10" s="1"/>
  <c r="F49" i="10"/>
  <c r="F73" i="10"/>
  <c r="E14" i="8"/>
  <c r="E10" i="8"/>
  <c r="D27" i="8"/>
  <c r="I116" i="4"/>
  <c r="D16" i="8"/>
  <c r="E71" i="10"/>
  <c r="K10" i="8"/>
  <c r="D10" i="8"/>
  <c r="K11" i="8"/>
  <c r="D11" i="8"/>
  <c r="D15" i="8"/>
  <c r="E69" i="10"/>
  <c r="D89" i="9"/>
  <c r="D110" i="9"/>
  <c r="D92" i="9"/>
  <c r="D113" i="9"/>
  <c r="D99" i="9"/>
  <c r="D120" i="9"/>
  <c r="D101" i="9"/>
  <c r="D122" i="9"/>
  <c r="D104" i="9"/>
  <c r="D125" i="9"/>
  <c r="D102" i="9"/>
  <c r="D123" i="9"/>
  <c r="D103" i="9"/>
  <c r="D124" i="9"/>
  <c r="D97" i="9"/>
  <c r="D118" i="9"/>
  <c r="D45" i="10"/>
  <c r="B233" i="8"/>
  <c r="C29" i="10"/>
  <c r="C73" i="10"/>
  <c r="C26" i="10"/>
  <c r="C70" i="10"/>
  <c r="C98" i="9"/>
  <c r="C119" i="9"/>
  <c r="C110" i="9"/>
  <c r="C89" i="9"/>
  <c r="I5" i="8"/>
  <c r="B104" i="8"/>
  <c r="C24" i="10"/>
  <c r="C68" i="10"/>
  <c r="I8" i="8"/>
  <c r="C44" i="9"/>
  <c r="C101" i="9"/>
  <c r="C122" i="9"/>
  <c r="C99" i="9"/>
  <c r="C120" i="9"/>
  <c r="B133" i="8"/>
  <c r="C96" i="9"/>
  <c r="C102" i="9"/>
  <c r="C123" i="9"/>
  <c r="I111" i="4"/>
  <c r="D111" i="8" s="1"/>
  <c r="C72" i="10"/>
  <c r="C28" i="10"/>
  <c r="C25" i="10"/>
  <c r="C69" i="10"/>
  <c r="I9" i="8"/>
  <c r="C88" i="9"/>
  <c r="C109" i="9"/>
  <c r="B91" i="8"/>
  <c r="C51" i="10"/>
  <c r="C17" i="10"/>
  <c r="C71" i="10"/>
  <c r="C27" i="10"/>
  <c r="C23" i="10"/>
  <c r="C67" i="10"/>
  <c r="I7" i="8"/>
  <c r="C125" i="9"/>
  <c r="C104" i="9"/>
  <c r="C92" i="9"/>
  <c r="C113" i="9"/>
  <c r="I117" i="5"/>
  <c r="E117" i="8" s="1"/>
  <c r="H42" i="9"/>
  <c r="F211" i="8"/>
  <c r="C97" i="8"/>
  <c r="C104" i="8"/>
  <c r="C211" i="8"/>
  <c r="I115" i="3"/>
  <c r="C115" i="8" s="1"/>
  <c r="I113" i="4"/>
  <c r="D113" i="8" s="1"/>
  <c r="C27" i="8"/>
  <c r="I110" i="4"/>
  <c r="D110" i="8" s="1"/>
  <c r="I113" i="5"/>
  <c r="E113" i="8" s="1"/>
  <c r="C16" i="8"/>
  <c r="D50" i="10" s="1"/>
  <c r="C12" i="8"/>
  <c r="C10" i="8"/>
  <c r="B211" i="3"/>
  <c r="C13" i="8"/>
  <c r="C230" i="8"/>
  <c r="I116" i="3"/>
  <c r="B115" i="6"/>
  <c r="B115" i="7" s="1"/>
  <c r="B111" i="7"/>
  <c r="I111" i="5"/>
  <c r="E111" i="8" s="1"/>
  <c r="C111" i="6"/>
  <c r="C111" i="7" s="1"/>
  <c r="I115" i="4"/>
  <c r="D115" i="8" s="1"/>
  <c r="C108" i="6"/>
  <c r="C108" i="7" s="1"/>
  <c r="I114" i="4"/>
  <c r="D114" i="8" s="1"/>
  <c r="I108" i="5"/>
  <c r="E108" i="8" s="1"/>
  <c r="C115" i="5"/>
  <c r="C115" i="6" s="1"/>
  <c r="C123" i="4"/>
  <c r="C134" i="4" s="1"/>
  <c r="C136" i="4" s="1"/>
  <c r="D134" i="7"/>
  <c r="D136" i="7" s="1"/>
  <c r="I121" i="5"/>
  <c r="E121" i="8" s="1"/>
  <c r="I120" i="5"/>
  <c r="E120" i="8" s="1"/>
  <c r="D123" i="5"/>
  <c r="D134" i="5" s="1"/>
  <c r="D136" i="5" s="1"/>
  <c r="G62" i="8"/>
  <c r="G65" i="8" s="1"/>
  <c r="F62" i="8"/>
  <c r="F65" i="8" s="1"/>
  <c r="B114" i="6"/>
  <c r="I114" i="5"/>
  <c r="E114" i="8" s="1"/>
  <c r="C62" i="8"/>
  <c r="C65" i="8" s="1"/>
  <c r="I112" i="7"/>
  <c r="G112" i="8" s="1"/>
  <c r="I112" i="6"/>
  <c r="F112" i="8" s="1"/>
  <c r="I112" i="5"/>
  <c r="E112" i="8" s="1"/>
  <c r="I112" i="4"/>
  <c r="D112" i="8" s="1"/>
  <c r="D62" i="8"/>
  <c r="D65" i="8" s="1"/>
  <c r="E28" i="8"/>
  <c r="D28" i="8"/>
  <c r="E37" i="9" s="1"/>
  <c r="C28" i="8"/>
  <c r="D37" i="9" s="1"/>
  <c r="D104" i="8"/>
  <c r="E104" i="8"/>
  <c r="E62" i="8"/>
  <c r="E65" i="8" s="1"/>
  <c r="F134" i="7"/>
  <c r="F136" i="7" s="1"/>
  <c r="C64" i="7"/>
  <c r="C66" i="7" s="1"/>
  <c r="G98" i="7"/>
  <c r="I120" i="7"/>
  <c r="G120" i="8" s="1"/>
  <c r="G142" i="7"/>
  <c r="G64" i="7"/>
  <c r="G66" i="7" s="1"/>
  <c r="E134" i="7"/>
  <c r="C142" i="7"/>
  <c r="F64" i="7"/>
  <c r="F66" i="7" s="1"/>
  <c r="E98" i="7"/>
  <c r="F64" i="6"/>
  <c r="F66" i="6" s="1"/>
  <c r="I120" i="6"/>
  <c r="F120" i="8" s="1"/>
  <c r="E64" i="6"/>
  <c r="E66" i="6" s="1"/>
  <c r="B17" i="6"/>
  <c r="B215" i="6" s="1"/>
  <c r="I11" i="6"/>
  <c r="E98" i="6"/>
  <c r="E134" i="6"/>
  <c r="E136" i="6" s="1"/>
  <c r="I36" i="5"/>
  <c r="I64" i="5" s="1"/>
  <c r="I131" i="5"/>
  <c r="E131" i="8" s="1"/>
  <c r="E133" i="8" s="1"/>
  <c r="F64" i="5"/>
  <c r="F66" i="5" s="1"/>
  <c r="H134" i="5"/>
  <c r="H135" i="5" s="1"/>
  <c r="E134" i="5"/>
  <c r="E64" i="5"/>
  <c r="E66" i="5" s="1"/>
  <c r="F134" i="5"/>
  <c r="I120" i="4"/>
  <c r="D120" i="8" s="1"/>
  <c r="F64" i="4"/>
  <c r="F66" i="4" s="1"/>
  <c r="H142" i="4"/>
  <c r="H98" i="4"/>
  <c r="B3" i="4"/>
  <c r="B198" i="4" s="1"/>
  <c r="G64" i="4"/>
  <c r="E98" i="4"/>
  <c r="C64" i="4"/>
  <c r="C66" i="4" s="1"/>
  <c r="B66" i="4"/>
  <c r="B138" i="4" s="1"/>
  <c r="D64" i="4"/>
  <c r="D66" i="4" s="1"/>
  <c r="D138" i="4" s="1"/>
  <c r="C137" i="4"/>
  <c r="D66" i="3"/>
  <c r="D138" i="3" s="1"/>
  <c r="B17" i="3"/>
  <c r="F64" i="3"/>
  <c r="F66" i="3" s="1"/>
  <c r="E98" i="3"/>
  <c r="E134" i="3"/>
  <c r="E136" i="3" s="1"/>
  <c r="E64" i="3"/>
  <c r="H98" i="3"/>
  <c r="B3" i="3"/>
  <c r="G64" i="3"/>
  <c r="G66" i="3" s="1"/>
  <c r="F134" i="3"/>
  <c r="B211" i="8"/>
  <c r="B17" i="8"/>
  <c r="B3" i="8"/>
  <c r="B64" i="7"/>
  <c r="B66" i="7" s="1"/>
  <c r="B138" i="7" s="1"/>
  <c r="I2" i="7"/>
  <c r="G2" i="8" s="1"/>
  <c r="D142" i="7"/>
  <c r="D64" i="7"/>
  <c r="D66" i="7" s="1"/>
  <c r="H137" i="7"/>
  <c r="H142" i="7"/>
  <c r="H64" i="7"/>
  <c r="H66" i="7" s="1"/>
  <c r="G135" i="7"/>
  <c r="I131" i="7"/>
  <c r="I17" i="7"/>
  <c r="N11" i="8"/>
  <c r="I62" i="7"/>
  <c r="I65" i="7" s="1"/>
  <c r="D137" i="7"/>
  <c r="B211" i="7"/>
  <c r="I201" i="7"/>
  <c r="N13" i="8"/>
  <c r="B142" i="7"/>
  <c r="B137" i="7"/>
  <c r="I104" i="7"/>
  <c r="B17" i="7"/>
  <c r="B215" i="7" s="1"/>
  <c r="I36" i="7"/>
  <c r="I64" i="7" s="1"/>
  <c r="I97" i="7"/>
  <c r="H134" i="7"/>
  <c r="B3" i="7"/>
  <c r="B198" i="7" s="1"/>
  <c r="E64" i="7"/>
  <c r="E66" i="7" s="1"/>
  <c r="I230" i="7"/>
  <c r="B66" i="6"/>
  <c r="B138" i="6" s="1"/>
  <c r="M13" i="8"/>
  <c r="G135" i="6"/>
  <c r="C142" i="6"/>
  <c r="C137" i="6"/>
  <c r="C64" i="6"/>
  <c r="C66" i="6" s="1"/>
  <c r="G64" i="6"/>
  <c r="G66" i="6" s="1"/>
  <c r="G142" i="6"/>
  <c r="I97" i="6"/>
  <c r="H137" i="6"/>
  <c r="H142" i="6"/>
  <c r="H64" i="6"/>
  <c r="H66" i="6" s="1"/>
  <c r="I104" i="6"/>
  <c r="I211" i="6"/>
  <c r="I2" i="6"/>
  <c r="F2" i="8" s="1"/>
  <c r="M15" i="8"/>
  <c r="D64" i="6"/>
  <c r="D66" i="6" s="1"/>
  <c r="D137" i="6"/>
  <c r="B3" i="6"/>
  <c r="I36" i="6"/>
  <c r="I64" i="6" s="1"/>
  <c r="B142" i="6"/>
  <c r="B137" i="6"/>
  <c r="I62" i="6"/>
  <c r="I65" i="6" s="1"/>
  <c r="G137" i="6"/>
  <c r="D134" i="6"/>
  <c r="D136" i="6" s="1"/>
  <c r="H134" i="6"/>
  <c r="I131" i="6"/>
  <c r="F131" i="8" s="1"/>
  <c r="F133" i="8" s="1"/>
  <c r="G98" i="6"/>
  <c r="J27" i="5"/>
  <c r="B64" i="5"/>
  <c r="B66" i="5" s="1"/>
  <c r="C137" i="5"/>
  <c r="C64" i="5"/>
  <c r="C66" i="5" s="1"/>
  <c r="H137" i="5"/>
  <c r="H142" i="5"/>
  <c r="H64" i="5"/>
  <c r="H66" i="5" s="1"/>
  <c r="L15" i="8"/>
  <c r="G137" i="5"/>
  <c r="G142" i="5"/>
  <c r="G64" i="5"/>
  <c r="G66" i="5" s="1"/>
  <c r="B17" i="5"/>
  <c r="B215" i="5" s="1"/>
  <c r="I11" i="5"/>
  <c r="E11" i="8" s="1"/>
  <c r="B3" i="5"/>
  <c r="B198" i="5" s="1"/>
  <c r="D64" i="5"/>
  <c r="D66" i="5" s="1"/>
  <c r="D142" i="5"/>
  <c r="D137" i="5"/>
  <c r="C142" i="5"/>
  <c r="I62" i="5"/>
  <c r="I65" i="5" s="1"/>
  <c r="B211" i="5"/>
  <c r="I201" i="5"/>
  <c r="I104" i="5"/>
  <c r="B133" i="5"/>
  <c r="B142" i="5"/>
  <c r="B137" i="5"/>
  <c r="I230" i="5"/>
  <c r="I13" i="4"/>
  <c r="D13" i="8" s="1"/>
  <c r="K12" i="8"/>
  <c r="B17" i="4"/>
  <c r="B215" i="4" s="1"/>
  <c r="I62" i="4"/>
  <c r="I65" i="4" s="1"/>
  <c r="K14" i="8"/>
  <c r="G66" i="4"/>
  <c r="I117" i="4"/>
  <c r="D117" i="8" s="1"/>
  <c r="D137" i="4"/>
  <c r="E142" i="4"/>
  <c r="E64" i="4"/>
  <c r="E66" i="4" s="1"/>
  <c r="I36" i="4"/>
  <c r="I64" i="4" s="1"/>
  <c r="H64" i="4"/>
  <c r="H66" i="4" s="1"/>
  <c r="I97" i="4"/>
  <c r="I104" i="4"/>
  <c r="G135" i="4"/>
  <c r="B142" i="4"/>
  <c r="B137" i="4"/>
  <c r="E134" i="4"/>
  <c r="E136" i="4" s="1"/>
  <c r="B211" i="4"/>
  <c r="I201" i="4"/>
  <c r="G137" i="4"/>
  <c r="D134" i="4"/>
  <c r="D136" i="4" s="1"/>
  <c r="H134" i="4"/>
  <c r="I131" i="4"/>
  <c r="D131" i="8" s="1"/>
  <c r="D133" i="8" s="1"/>
  <c r="I174" i="4"/>
  <c r="D174" i="8" s="1"/>
  <c r="I230" i="4"/>
  <c r="J11" i="8"/>
  <c r="C123" i="3"/>
  <c r="C134" i="3" s="1"/>
  <c r="C136" i="3" s="1"/>
  <c r="I117" i="3"/>
  <c r="C117" i="8" s="1"/>
  <c r="G136" i="3"/>
  <c r="G138" i="3"/>
  <c r="G135" i="3"/>
  <c r="I17" i="3"/>
  <c r="B66" i="3"/>
  <c r="I104" i="3"/>
  <c r="C142" i="3"/>
  <c r="C137" i="3"/>
  <c r="I62" i="3"/>
  <c r="I65" i="3" s="1"/>
  <c r="C64" i="3"/>
  <c r="C66" i="3" s="1"/>
  <c r="I211" i="3"/>
  <c r="H137" i="3"/>
  <c r="H142" i="3"/>
  <c r="H64" i="3"/>
  <c r="H66" i="3" s="1"/>
  <c r="E66" i="3"/>
  <c r="D137" i="3"/>
  <c r="I36" i="3"/>
  <c r="I64" i="3" s="1"/>
  <c r="I97" i="3"/>
  <c r="G137" i="3"/>
  <c r="D142" i="3"/>
  <c r="D134" i="3"/>
  <c r="D136" i="3" s="1"/>
  <c r="H134" i="3"/>
  <c r="I131" i="3"/>
  <c r="C131" i="8" s="1"/>
  <c r="C133" i="8" s="1"/>
  <c r="B142" i="3"/>
  <c r="B137" i="3"/>
  <c r="G98" i="3"/>
  <c r="D211" i="8" l="1"/>
  <c r="D201" i="8"/>
  <c r="E201" i="8"/>
  <c r="E211" i="8" s="1"/>
  <c r="G201" i="8"/>
  <c r="G211" i="8" s="1"/>
  <c r="F116" i="8"/>
  <c r="J116" i="6"/>
  <c r="G116" i="8"/>
  <c r="J116" i="7"/>
  <c r="C103" i="9"/>
  <c r="G109" i="9"/>
  <c r="G88" i="9"/>
  <c r="G67" i="10"/>
  <c r="E118" i="9"/>
  <c r="D88" i="9"/>
  <c r="D109" i="9"/>
  <c r="B21" i="4"/>
  <c r="C20" i="4"/>
  <c r="C80" i="4" s="1"/>
  <c r="I83" i="3"/>
  <c r="C83" i="8" s="1"/>
  <c r="D126" i="9"/>
  <c r="C116" i="8"/>
  <c r="J116" i="3"/>
  <c r="G118" i="9"/>
  <c r="H109" i="9"/>
  <c r="H88" i="9"/>
  <c r="F135" i="7"/>
  <c r="F143" i="7" s="1"/>
  <c r="F144" i="7" s="1"/>
  <c r="F213" i="7" s="1"/>
  <c r="F88" i="9"/>
  <c r="F109" i="9"/>
  <c r="E109" i="9"/>
  <c r="E88" i="9"/>
  <c r="F136" i="4"/>
  <c r="F143" i="4" s="1"/>
  <c r="F144" i="4" s="1"/>
  <c r="F213" i="4" s="1"/>
  <c r="H68" i="10"/>
  <c r="D185" i="6"/>
  <c r="I185" i="6" s="1"/>
  <c r="F185" i="8" s="1"/>
  <c r="I215" i="5"/>
  <c r="I215" i="4"/>
  <c r="B150" i="3"/>
  <c r="I150" i="3" s="1"/>
  <c r="C150" i="8" s="1"/>
  <c r="M2" i="8"/>
  <c r="H105" i="9"/>
  <c r="I153" i="3"/>
  <c r="C153" i="8" s="1"/>
  <c r="C98" i="3"/>
  <c r="B152" i="6"/>
  <c r="I152" i="6" s="1"/>
  <c r="F152" i="8" s="1"/>
  <c r="B146" i="6"/>
  <c r="B162" i="6"/>
  <c r="I162" i="6" s="1"/>
  <c r="F162" i="8" s="1"/>
  <c r="D84" i="6"/>
  <c r="I84" i="6" s="1"/>
  <c r="F84" i="8" s="1"/>
  <c r="I3" i="6"/>
  <c r="B198" i="6"/>
  <c r="I198" i="6" s="1"/>
  <c r="F198" i="8" s="1"/>
  <c r="I17" i="4"/>
  <c r="D85" i="3"/>
  <c r="I85" i="3" s="1"/>
  <c r="C85" i="8" s="1"/>
  <c r="D185" i="3"/>
  <c r="I185" i="3" s="1"/>
  <c r="C185" i="8" s="1"/>
  <c r="B149" i="3"/>
  <c r="I149" i="3" s="1"/>
  <c r="C149" i="8" s="1"/>
  <c r="B75" i="3"/>
  <c r="B171" i="3" s="1"/>
  <c r="I171" i="3" s="1"/>
  <c r="C171" i="8" s="1"/>
  <c r="B198" i="3"/>
  <c r="I198" i="3" s="1"/>
  <c r="C198" i="8" s="1"/>
  <c r="C111" i="9"/>
  <c r="D111" i="9"/>
  <c r="C20" i="8"/>
  <c r="J20" i="8" s="1"/>
  <c r="J28" i="8" s="1"/>
  <c r="I17" i="8"/>
  <c r="C35" i="9" s="1"/>
  <c r="F69" i="10"/>
  <c r="D63" i="10"/>
  <c r="D19" i="10"/>
  <c r="D18" i="10"/>
  <c r="D62" i="10"/>
  <c r="E135" i="6"/>
  <c r="E143" i="6" s="1"/>
  <c r="E144" i="6" s="1"/>
  <c r="E213" i="6" s="1"/>
  <c r="E221" i="6" s="1"/>
  <c r="E222" i="6" s="1"/>
  <c r="D85" i="6"/>
  <c r="I85" i="6" s="1"/>
  <c r="F85" i="8" s="1"/>
  <c r="B151" i="6"/>
  <c r="I151" i="6" s="1"/>
  <c r="F151" i="8" s="1"/>
  <c r="B149" i="6"/>
  <c r="I149" i="6" s="1"/>
  <c r="F149" i="8" s="1"/>
  <c r="F135" i="5"/>
  <c r="F136" i="5"/>
  <c r="C36" i="8"/>
  <c r="C64" i="8" s="1"/>
  <c r="C66" i="8" s="1"/>
  <c r="I115" i="5"/>
  <c r="E115" i="8" s="1"/>
  <c r="D73" i="10"/>
  <c r="D61" i="10"/>
  <c r="D17" i="10"/>
  <c r="F64" i="10"/>
  <c r="F20" i="10"/>
  <c r="E61" i="10"/>
  <c r="E17" i="10"/>
  <c r="H64" i="10"/>
  <c r="H20" i="10"/>
  <c r="G63" i="10"/>
  <c r="G19" i="10"/>
  <c r="E66" i="10"/>
  <c r="E22" i="10"/>
  <c r="F66" i="10"/>
  <c r="F22" i="10"/>
  <c r="F61" i="10"/>
  <c r="F17" i="10"/>
  <c r="N2" i="8"/>
  <c r="I198" i="4"/>
  <c r="D198" i="8" s="1"/>
  <c r="D22" i="10"/>
  <c r="D66" i="10"/>
  <c r="F86" i="4"/>
  <c r="E3" i="8"/>
  <c r="B150" i="6"/>
  <c r="I150" i="6" s="1"/>
  <c r="F150" i="8" s="1"/>
  <c r="B155" i="3"/>
  <c r="I155" i="3" s="1"/>
  <c r="C155" i="8" s="1"/>
  <c r="B215" i="3"/>
  <c r="I215" i="3" s="1"/>
  <c r="F86" i="3"/>
  <c r="E135" i="7"/>
  <c r="E136" i="7"/>
  <c r="F135" i="6"/>
  <c r="F136" i="6"/>
  <c r="I198" i="5"/>
  <c r="E198" i="8" s="1"/>
  <c r="D20" i="10"/>
  <c r="D64" i="10"/>
  <c r="F86" i="5"/>
  <c r="E135" i="5"/>
  <c r="E136" i="5"/>
  <c r="B155" i="6"/>
  <c r="I155" i="6" s="1"/>
  <c r="F155" i="8" s="1"/>
  <c r="F86" i="6"/>
  <c r="I215" i="6"/>
  <c r="D36" i="8"/>
  <c r="D64" i="8" s="1"/>
  <c r="D66" i="8" s="1"/>
  <c r="C74" i="10"/>
  <c r="C30" i="10"/>
  <c r="E124" i="9"/>
  <c r="D21" i="10"/>
  <c r="D65" i="10"/>
  <c r="E21" i="10"/>
  <c r="E65" i="10"/>
  <c r="H22" i="10"/>
  <c r="H66" i="10"/>
  <c r="H18" i="10"/>
  <c r="H62" i="10"/>
  <c r="F21" i="10"/>
  <c r="F65" i="10"/>
  <c r="E18" i="10"/>
  <c r="E62" i="10"/>
  <c r="F18" i="10"/>
  <c r="F62" i="10"/>
  <c r="G21" i="10"/>
  <c r="G65" i="10"/>
  <c r="E20" i="10"/>
  <c r="E64" i="10"/>
  <c r="F86" i="7"/>
  <c r="I3" i="7"/>
  <c r="I198" i="7"/>
  <c r="G198" i="8" s="1"/>
  <c r="H103" i="9"/>
  <c r="H124" i="9"/>
  <c r="H90" i="9"/>
  <c r="H111" i="9"/>
  <c r="G103" i="9"/>
  <c r="G124" i="9"/>
  <c r="G90" i="9"/>
  <c r="G111" i="9"/>
  <c r="F103" i="9"/>
  <c r="F124" i="9"/>
  <c r="F90" i="9"/>
  <c r="F111" i="9"/>
  <c r="H97" i="9"/>
  <c r="H118" i="9"/>
  <c r="F97" i="9"/>
  <c r="E119" i="9"/>
  <c r="E98" i="9"/>
  <c r="D184" i="6"/>
  <c r="G3" i="8"/>
  <c r="H50" i="10"/>
  <c r="H49" i="10"/>
  <c r="G17" i="8"/>
  <c r="H71" i="10"/>
  <c r="I215" i="7"/>
  <c r="C159" i="7"/>
  <c r="B180" i="7"/>
  <c r="H44" i="10"/>
  <c r="H69" i="10"/>
  <c r="M11" i="8"/>
  <c r="F11" i="8"/>
  <c r="G72" i="10"/>
  <c r="B166" i="6"/>
  <c r="I166" i="6" s="1"/>
  <c r="F166" i="8" s="1"/>
  <c r="C159" i="6"/>
  <c r="C172" i="6" s="1"/>
  <c r="B180" i="6"/>
  <c r="I180" i="6" s="1"/>
  <c r="F180" i="8" s="1"/>
  <c r="G117" i="9"/>
  <c r="G46" i="10"/>
  <c r="G71" i="10"/>
  <c r="G70" i="10"/>
  <c r="B180" i="5"/>
  <c r="C159" i="5"/>
  <c r="F44" i="10"/>
  <c r="F45" i="10"/>
  <c r="E17" i="8"/>
  <c r="F48" i="10"/>
  <c r="F117" i="9"/>
  <c r="F72" i="10"/>
  <c r="D3" i="8"/>
  <c r="E50" i="10"/>
  <c r="C159" i="4"/>
  <c r="B180" i="4"/>
  <c r="B75" i="4"/>
  <c r="E44" i="10"/>
  <c r="D17" i="8"/>
  <c r="I3" i="4"/>
  <c r="E45" i="10"/>
  <c r="E47" i="10"/>
  <c r="E49" i="10"/>
  <c r="E135" i="3"/>
  <c r="E143" i="3" s="1"/>
  <c r="E144" i="3" s="1"/>
  <c r="E213" i="3" s="1"/>
  <c r="E221" i="3" s="1"/>
  <c r="E222" i="3" s="1"/>
  <c r="F135" i="3"/>
  <c r="F136" i="3"/>
  <c r="D98" i="9"/>
  <c r="D119" i="9"/>
  <c r="I3" i="3"/>
  <c r="C3" i="8"/>
  <c r="D72" i="10"/>
  <c r="B146" i="3"/>
  <c r="I146" i="3" s="1"/>
  <c r="C146" i="8" s="1"/>
  <c r="D84" i="3"/>
  <c r="D91" i="3" s="1"/>
  <c r="D98" i="3" s="1"/>
  <c r="B152" i="3"/>
  <c r="I152" i="3" s="1"/>
  <c r="C152" i="8" s="1"/>
  <c r="J17" i="3"/>
  <c r="D44" i="10"/>
  <c r="D71" i="10"/>
  <c r="D117" i="9"/>
  <c r="D127" i="9" s="1"/>
  <c r="D47" i="10"/>
  <c r="D68" i="10"/>
  <c r="D46" i="10"/>
  <c r="C126" i="9"/>
  <c r="C105" i="9"/>
  <c r="C117" i="9"/>
  <c r="I66" i="5"/>
  <c r="E36" i="8"/>
  <c r="E64" i="8" s="1"/>
  <c r="E66" i="8" s="1"/>
  <c r="F37" i="9"/>
  <c r="D135" i="7"/>
  <c r="I133" i="5"/>
  <c r="F66" i="8"/>
  <c r="B166" i="3"/>
  <c r="I166" i="3" s="1"/>
  <c r="C166" i="8" s="1"/>
  <c r="C159" i="3"/>
  <c r="C172" i="3" s="1"/>
  <c r="B180" i="3"/>
  <c r="I180" i="3" s="1"/>
  <c r="C180" i="8" s="1"/>
  <c r="B162" i="3"/>
  <c r="I162" i="3" s="1"/>
  <c r="C162" i="8" s="1"/>
  <c r="D184" i="3"/>
  <c r="B151" i="3"/>
  <c r="I151" i="3" s="1"/>
  <c r="C151" i="8" s="1"/>
  <c r="I80" i="3"/>
  <c r="C80" i="8" s="1"/>
  <c r="I110" i="5"/>
  <c r="B123" i="4"/>
  <c r="B134" i="4" s="1"/>
  <c r="B136" i="4" s="1"/>
  <c r="C17" i="8"/>
  <c r="I118" i="4"/>
  <c r="D118" i="8" s="1"/>
  <c r="I111" i="7"/>
  <c r="G111" i="8" s="1"/>
  <c r="I115" i="6"/>
  <c r="F115" i="8" s="1"/>
  <c r="C115" i="7"/>
  <c r="C123" i="7" s="1"/>
  <c r="C134" i="7" s="1"/>
  <c r="C136" i="7" s="1"/>
  <c r="I108" i="7"/>
  <c r="G108" i="8" s="1"/>
  <c r="C123" i="6"/>
  <c r="C134" i="6" s="1"/>
  <c r="C136" i="6" s="1"/>
  <c r="I108" i="6"/>
  <c r="F108" i="8" s="1"/>
  <c r="I111" i="6"/>
  <c r="F111" i="8" s="1"/>
  <c r="C123" i="5"/>
  <c r="C134" i="5" s="1"/>
  <c r="C136" i="5" s="1"/>
  <c r="I133" i="7"/>
  <c r="G131" i="8"/>
  <c r="G133" i="8" s="1"/>
  <c r="D116" i="8"/>
  <c r="C123" i="8"/>
  <c r="C134" i="8" s="1"/>
  <c r="G66" i="8"/>
  <c r="I114" i="7"/>
  <c r="G114" i="8" s="1"/>
  <c r="I114" i="6"/>
  <c r="F114" i="8" s="1"/>
  <c r="I113" i="6"/>
  <c r="F113" i="8" s="1"/>
  <c r="B113" i="7"/>
  <c r="I66" i="4"/>
  <c r="I117" i="6"/>
  <c r="F117" i="8" s="1"/>
  <c r="I142" i="3"/>
  <c r="C142" i="8" s="1"/>
  <c r="B123" i="3"/>
  <c r="B134" i="3" s="1"/>
  <c r="I137" i="7"/>
  <c r="G137" i="8" s="1"/>
  <c r="E143" i="7"/>
  <c r="E144" i="7" s="1"/>
  <c r="E213" i="7" s="1"/>
  <c r="E221" i="7" s="1"/>
  <c r="E222" i="7" s="1"/>
  <c r="I17" i="6"/>
  <c r="I142" i="5"/>
  <c r="E142" i="8" s="1"/>
  <c r="I142" i="4"/>
  <c r="D142" i="8" s="1"/>
  <c r="I142" i="7"/>
  <c r="G142" i="8" s="1"/>
  <c r="G136" i="7"/>
  <c r="G138" i="7"/>
  <c r="H135" i="7"/>
  <c r="I66" i="7"/>
  <c r="C138" i="7"/>
  <c r="B75" i="7"/>
  <c r="D138" i="7"/>
  <c r="I211" i="7"/>
  <c r="I117" i="7"/>
  <c r="G117" i="8" s="1"/>
  <c r="D185" i="7"/>
  <c r="I185" i="7" s="1"/>
  <c r="G185" i="8" s="1"/>
  <c r="B155" i="7"/>
  <c r="I155" i="7" s="1"/>
  <c r="G155" i="8" s="1"/>
  <c r="B151" i="7"/>
  <c r="I151" i="7" s="1"/>
  <c r="G151" i="8" s="1"/>
  <c r="B166" i="7"/>
  <c r="I166" i="7" s="1"/>
  <c r="G166" i="8" s="1"/>
  <c r="B162" i="7"/>
  <c r="B152" i="7"/>
  <c r="I152" i="7" s="1"/>
  <c r="G152" i="8" s="1"/>
  <c r="B150" i="7"/>
  <c r="I150" i="7" s="1"/>
  <c r="G150" i="8" s="1"/>
  <c r="B149" i="7"/>
  <c r="I149" i="7" s="1"/>
  <c r="G149" i="8" s="1"/>
  <c r="B146" i="7"/>
  <c r="D84" i="7"/>
  <c r="D85" i="7"/>
  <c r="I85" i="7" s="1"/>
  <c r="G85" i="8" s="1"/>
  <c r="D184" i="7"/>
  <c r="J17" i="7"/>
  <c r="H136" i="7"/>
  <c r="H163" i="7"/>
  <c r="H172" i="7" s="1"/>
  <c r="H138" i="7"/>
  <c r="H135" i="6"/>
  <c r="I146" i="6"/>
  <c r="F146" i="8" s="1"/>
  <c r="B75" i="6"/>
  <c r="G136" i="6"/>
  <c r="G138" i="6"/>
  <c r="D135" i="6"/>
  <c r="I137" i="6"/>
  <c r="F137" i="8" s="1"/>
  <c r="C138" i="6"/>
  <c r="I142" i="6"/>
  <c r="F142" i="8" s="1"/>
  <c r="D138" i="6"/>
  <c r="I133" i="6"/>
  <c r="I66" i="6"/>
  <c r="H136" i="6"/>
  <c r="H163" i="6"/>
  <c r="H172" i="6" s="1"/>
  <c r="H138" i="6"/>
  <c r="D138" i="5"/>
  <c r="G136" i="5"/>
  <c r="G138" i="5"/>
  <c r="C138" i="5"/>
  <c r="I17" i="5"/>
  <c r="H136" i="5"/>
  <c r="H163" i="5"/>
  <c r="H172" i="5" s="1"/>
  <c r="H138" i="5"/>
  <c r="I211" i="5"/>
  <c r="B138" i="5"/>
  <c r="D135" i="5"/>
  <c r="I3" i="5"/>
  <c r="B75" i="5"/>
  <c r="B171" i="5" s="1"/>
  <c r="I137" i="5"/>
  <c r="E137" i="8" s="1"/>
  <c r="D185" i="5"/>
  <c r="I185" i="5" s="1"/>
  <c r="E185" i="8" s="1"/>
  <c r="B155" i="5"/>
  <c r="I155" i="5" s="1"/>
  <c r="E155" i="8" s="1"/>
  <c r="B151" i="5"/>
  <c r="I151" i="5" s="1"/>
  <c r="E151" i="8" s="1"/>
  <c r="B166" i="5"/>
  <c r="I166" i="5" s="1"/>
  <c r="E166" i="8" s="1"/>
  <c r="B162" i="5"/>
  <c r="B152" i="5"/>
  <c r="I152" i="5" s="1"/>
  <c r="E152" i="8" s="1"/>
  <c r="B146" i="5"/>
  <c r="D84" i="5"/>
  <c r="B150" i="5"/>
  <c r="I150" i="5" s="1"/>
  <c r="E150" i="8" s="1"/>
  <c r="D85" i="5"/>
  <c r="I85" i="5" s="1"/>
  <c r="E85" i="8" s="1"/>
  <c r="D184" i="5"/>
  <c r="B149" i="5"/>
  <c r="I149" i="5" s="1"/>
  <c r="E149" i="8" s="1"/>
  <c r="H135" i="4"/>
  <c r="C138" i="4"/>
  <c r="D135" i="4"/>
  <c r="D143" i="4" s="1"/>
  <c r="D144" i="4" s="1"/>
  <c r="I137" i="4"/>
  <c r="D137" i="8" s="1"/>
  <c r="G138" i="4"/>
  <c r="G143" i="4" s="1"/>
  <c r="G144" i="4" s="1"/>
  <c r="G213" i="4" s="1"/>
  <c r="G221" i="4" s="1"/>
  <c r="G222" i="4" s="1"/>
  <c r="G136" i="4"/>
  <c r="D185" i="4"/>
  <c r="I185" i="4" s="1"/>
  <c r="D185" i="8" s="1"/>
  <c r="B155" i="4"/>
  <c r="I155" i="4" s="1"/>
  <c r="D155" i="8" s="1"/>
  <c r="B151" i="4"/>
  <c r="I151" i="4" s="1"/>
  <c r="D151" i="8" s="1"/>
  <c r="B166" i="4"/>
  <c r="I166" i="4" s="1"/>
  <c r="D166" i="8" s="1"/>
  <c r="D184" i="4"/>
  <c r="B150" i="4"/>
  <c r="I150" i="4" s="1"/>
  <c r="D150" i="8" s="1"/>
  <c r="B146" i="4"/>
  <c r="D84" i="4"/>
  <c r="B162" i="4"/>
  <c r="B149" i="4"/>
  <c r="I149" i="4" s="1"/>
  <c r="D149" i="8" s="1"/>
  <c r="D85" i="4"/>
  <c r="I85" i="4" s="1"/>
  <c r="D85" i="8" s="1"/>
  <c r="B152" i="4"/>
  <c r="I152" i="4" s="1"/>
  <c r="D152" i="8" s="1"/>
  <c r="I211" i="4"/>
  <c r="E135" i="4"/>
  <c r="I133" i="4"/>
  <c r="H136" i="4"/>
  <c r="H163" i="4"/>
  <c r="H172" i="4" s="1"/>
  <c r="H138" i="4"/>
  <c r="C135" i="4"/>
  <c r="H135" i="3"/>
  <c r="D135" i="3"/>
  <c r="I75" i="3"/>
  <c r="C75" i="8" s="1"/>
  <c r="B168" i="3"/>
  <c r="I168" i="3" s="1"/>
  <c r="C168" i="8" s="1"/>
  <c r="C138" i="3"/>
  <c r="C135" i="3"/>
  <c r="B138" i="3"/>
  <c r="G143" i="3"/>
  <c r="G144" i="3" s="1"/>
  <c r="G213" i="3" s="1"/>
  <c r="G221" i="3" s="1"/>
  <c r="G222" i="3" s="1"/>
  <c r="I137" i="3"/>
  <c r="C137" i="8" s="1"/>
  <c r="I133" i="3"/>
  <c r="I66" i="3"/>
  <c r="H136" i="3"/>
  <c r="H163" i="3"/>
  <c r="H172" i="3" s="1"/>
  <c r="H138" i="3"/>
  <c r="I123" i="3"/>
  <c r="B21" i="5" l="1"/>
  <c r="B76" i="4"/>
  <c r="C215" i="8"/>
  <c r="C229" i="8" s="1"/>
  <c r="C233" i="8" s="1"/>
  <c r="F143" i="3"/>
  <c r="F144" i="3" s="1"/>
  <c r="F213" i="3" s="1"/>
  <c r="G215" i="8"/>
  <c r="G229" i="8" s="1"/>
  <c r="G233" i="8" s="1"/>
  <c r="F215" i="8"/>
  <c r="F229" i="8" s="1"/>
  <c r="F233" i="8" s="1"/>
  <c r="E215" i="8"/>
  <c r="E229" i="8" s="1"/>
  <c r="E233" i="8" s="1"/>
  <c r="D215" i="8"/>
  <c r="D229" i="8" s="1"/>
  <c r="D233" i="8" s="1"/>
  <c r="D199" i="6"/>
  <c r="F143" i="5"/>
  <c r="F144" i="5" s="1"/>
  <c r="F213" i="5" s="1"/>
  <c r="B23" i="4"/>
  <c r="C20" i="5"/>
  <c r="C80" i="5" s="1"/>
  <c r="I184" i="6"/>
  <c r="I159" i="6"/>
  <c r="F159" i="8" s="1"/>
  <c r="B81" i="3"/>
  <c r="B98" i="3" s="1"/>
  <c r="D199" i="3"/>
  <c r="C83" i="4"/>
  <c r="I83" i="4" s="1"/>
  <c r="I75" i="4"/>
  <c r="D75" i="8" s="1"/>
  <c r="B171" i="4"/>
  <c r="I171" i="4" s="1"/>
  <c r="D171" i="8" s="1"/>
  <c r="I18" i="8"/>
  <c r="C81" i="8"/>
  <c r="F143" i="6"/>
  <c r="F144" i="6" s="1"/>
  <c r="F213" i="6" s="1"/>
  <c r="D91" i="6"/>
  <c r="D98" i="6" s="1"/>
  <c r="E143" i="5"/>
  <c r="E144" i="5" s="1"/>
  <c r="E213" i="5" s="1"/>
  <c r="E221" i="5" s="1"/>
  <c r="E222" i="5" s="1"/>
  <c r="G143" i="7"/>
  <c r="G144" i="7" s="1"/>
  <c r="G213" i="7" s="1"/>
  <c r="G221" i="7" s="1"/>
  <c r="G222" i="7" s="1"/>
  <c r="I159" i="3"/>
  <c r="C159" i="8" s="1"/>
  <c r="J17" i="4"/>
  <c r="K13" i="8"/>
  <c r="K17" i="8" s="1"/>
  <c r="I86" i="6"/>
  <c r="F86" i="8" s="1"/>
  <c r="F91" i="6"/>
  <c r="F98" i="6" s="1"/>
  <c r="I86" i="4"/>
  <c r="D86" i="8" s="1"/>
  <c r="F91" i="4"/>
  <c r="F98" i="4" s="1"/>
  <c r="F221" i="4" s="1"/>
  <c r="F222" i="4" s="1"/>
  <c r="I86" i="3"/>
  <c r="C86" i="8" s="1"/>
  <c r="F91" i="3"/>
  <c r="F98" i="3" s="1"/>
  <c r="J17" i="5"/>
  <c r="L11" i="8"/>
  <c r="F96" i="9" s="1"/>
  <c r="J17" i="6"/>
  <c r="H143" i="5"/>
  <c r="H144" i="5" s="1"/>
  <c r="B156" i="6"/>
  <c r="I86" i="5"/>
  <c r="E86" i="8" s="1"/>
  <c r="F91" i="5"/>
  <c r="F98" i="5" s="1"/>
  <c r="I86" i="7"/>
  <c r="G86" i="8" s="1"/>
  <c r="F91" i="7"/>
  <c r="F98" i="7" s="1"/>
  <c r="F221" i="7" s="1"/>
  <c r="F222" i="7" s="1"/>
  <c r="G127" i="9"/>
  <c r="F119" i="9"/>
  <c r="F127" i="9" s="1"/>
  <c r="F98" i="9"/>
  <c r="I229" i="6"/>
  <c r="I233" i="6" s="1"/>
  <c r="H117" i="9"/>
  <c r="H127" i="9" s="1"/>
  <c r="H51" i="10"/>
  <c r="N51" i="10" s="1"/>
  <c r="H67" i="10"/>
  <c r="H72" i="10"/>
  <c r="H96" i="9"/>
  <c r="H106" i="9" s="1"/>
  <c r="N17" i="8"/>
  <c r="H73" i="10"/>
  <c r="G69" i="10"/>
  <c r="I24" i="7"/>
  <c r="G24" i="8" s="1"/>
  <c r="I78" i="7"/>
  <c r="G78" i="8" s="1"/>
  <c r="G45" i="10"/>
  <c r="F17" i="8"/>
  <c r="F3" i="8"/>
  <c r="F51" i="10"/>
  <c r="L51" i="10" s="1"/>
  <c r="F67" i="10"/>
  <c r="F68" i="10"/>
  <c r="I24" i="6"/>
  <c r="F24" i="8" s="1"/>
  <c r="I78" i="6"/>
  <c r="F78" i="8" s="1"/>
  <c r="F71" i="10"/>
  <c r="E73" i="10"/>
  <c r="E70" i="10"/>
  <c r="E96" i="9"/>
  <c r="E106" i="9" s="1"/>
  <c r="I24" i="5"/>
  <c r="E24" i="8" s="1"/>
  <c r="I78" i="5"/>
  <c r="E78" i="8" s="1"/>
  <c r="E72" i="10"/>
  <c r="E68" i="10"/>
  <c r="E67" i="10"/>
  <c r="E51" i="10"/>
  <c r="K51" i="10" s="1"/>
  <c r="I21" i="5"/>
  <c r="E21" i="8" s="1"/>
  <c r="I84" i="3"/>
  <c r="C84" i="8" s="1"/>
  <c r="C156" i="8"/>
  <c r="B156" i="3"/>
  <c r="D69" i="10"/>
  <c r="D67" i="10"/>
  <c r="D51" i="10"/>
  <c r="J51" i="10" s="1"/>
  <c r="J17" i="8"/>
  <c r="D96" i="9"/>
  <c r="D106" i="9" s="1"/>
  <c r="D129" i="9" s="1"/>
  <c r="D137" i="9" s="1"/>
  <c r="D70" i="10"/>
  <c r="B110" i="6"/>
  <c r="B123" i="6" s="1"/>
  <c r="B134" i="6" s="1"/>
  <c r="B136" i="6" s="1"/>
  <c r="I138" i="6"/>
  <c r="F138" i="8" s="1"/>
  <c r="D123" i="8"/>
  <c r="D134" i="8" s="1"/>
  <c r="I123" i="4"/>
  <c r="I134" i="4" s="1"/>
  <c r="I118" i="5"/>
  <c r="E118" i="8" s="1"/>
  <c r="B199" i="3"/>
  <c r="I184" i="3"/>
  <c r="I78" i="4"/>
  <c r="D78" i="8" s="1"/>
  <c r="I24" i="4"/>
  <c r="D24" i="8" s="1"/>
  <c r="C153" i="4"/>
  <c r="I20" i="4"/>
  <c r="I229" i="3"/>
  <c r="I233" i="3" s="1"/>
  <c r="B123" i="5"/>
  <c r="B134" i="5" s="1"/>
  <c r="B135" i="3"/>
  <c r="I135" i="3" s="1"/>
  <c r="C135" i="8" s="1"/>
  <c r="J135" i="8" s="1"/>
  <c r="B136" i="3"/>
  <c r="I136" i="3" s="1"/>
  <c r="C136" i="8" s="1"/>
  <c r="J136" i="8" s="1"/>
  <c r="I21" i="4"/>
  <c r="D21" i="8" s="1"/>
  <c r="C135" i="5"/>
  <c r="C143" i="5" s="1"/>
  <c r="C144" i="5" s="1"/>
  <c r="C135" i="6"/>
  <c r="I115" i="7"/>
  <c r="G115" i="8" s="1"/>
  <c r="E110" i="8"/>
  <c r="I113" i="7"/>
  <c r="G113" i="8" s="1"/>
  <c r="I138" i="4"/>
  <c r="D138" i="8" s="1"/>
  <c r="I138" i="7"/>
  <c r="G138" i="8" s="1"/>
  <c r="G143" i="6"/>
  <c r="G144" i="6" s="1"/>
  <c r="G213" i="6" s="1"/>
  <c r="G221" i="6" s="1"/>
  <c r="G222" i="6" s="1"/>
  <c r="H213" i="5"/>
  <c r="H221" i="5" s="1"/>
  <c r="H222" i="5" s="1"/>
  <c r="D143" i="5"/>
  <c r="D144" i="5" s="1"/>
  <c r="C143" i="4"/>
  <c r="C144" i="4" s="1"/>
  <c r="I134" i="3"/>
  <c r="I70" i="3" s="1"/>
  <c r="D143" i="3"/>
  <c r="D144" i="3" s="1"/>
  <c r="B81" i="8"/>
  <c r="B98" i="8" s="1"/>
  <c r="B156" i="8"/>
  <c r="I184" i="7"/>
  <c r="G184" i="8" s="1"/>
  <c r="D199" i="7"/>
  <c r="C172" i="7"/>
  <c r="I159" i="7"/>
  <c r="G159" i="8" s="1"/>
  <c r="I229" i="7"/>
  <c r="I233" i="7" s="1"/>
  <c r="D143" i="7"/>
  <c r="D144" i="7" s="1"/>
  <c r="I163" i="7"/>
  <c r="G163" i="8" s="1"/>
  <c r="B156" i="7"/>
  <c r="I146" i="7"/>
  <c r="G146" i="8" s="1"/>
  <c r="I162" i="7"/>
  <c r="G162" i="8" s="1"/>
  <c r="I180" i="7"/>
  <c r="G180" i="8" s="1"/>
  <c r="B199" i="7"/>
  <c r="D91" i="7"/>
  <c r="D98" i="7" s="1"/>
  <c r="I84" i="7"/>
  <c r="G84" i="8" s="1"/>
  <c r="C135" i="7"/>
  <c r="C143" i="7" s="1"/>
  <c r="C144" i="7" s="1"/>
  <c r="I75" i="7"/>
  <c r="G75" i="8" s="1"/>
  <c r="B171" i="7"/>
  <c r="I171" i="7" s="1"/>
  <c r="G171" i="8" s="1"/>
  <c r="H143" i="7"/>
  <c r="H144" i="7" s="1"/>
  <c r="H213" i="7" s="1"/>
  <c r="H221" i="7" s="1"/>
  <c r="H222" i="7" s="1"/>
  <c r="I163" i="6"/>
  <c r="F163" i="8" s="1"/>
  <c r="I75" i="6"/>
  <c r="F75" i="8" s="1"/>
  <c r="B171" i="6"/>
  <c r="I171" i="6" s="1"/>
  <c r="F171" i="8" s="1"/>
  <c r="H143" i="6"/>
  <c r="H144" i="6" s="1"/>
  <c r="H213" i="6" s="1"/>
  <c r="H221" i="6" s="1"/>
  <c r="H222" i="6" s="1"/>
  <c r="B199" i="6"/>
  <c r="D143" i="6"/>
  <c r="D144" i="6" s="1"/>
  <c r="D213" i="6" s="1"/>
  <c r="I199" i="6"/>
  <c r="D91" i="5"/>
  <c r="D98" i="5" s="1"/>
  <c r="I84" i="5"/>
  <c r="E84" i="8" s="1"/>
  <c r="I162" i="5"/>
  <c r="E162" i="8" s="1"/>
  <c r="B156" i="5"/>
  <c r="I146" i="5"/>
  <c r="E146" i="8" s="1"/>
  <c r="I180" i="5"/>
  <c r="E180" i="8" s="1"/>
  <c r="B199" i="5"/>
  <c r="I229" i="5"/>
  <c r="I233" i="5" s="1"/>
  <c r="I184" i="5"/>
  <c r="E184" i="8" s="1"/>
  <c r="D199" i="5"/>
  <c r="C172" i="5"/>
  <c r="I159" i="5"/>
  <c r="E159" i="8" s="1"/>
  <c r="I75" i="5"/>
  <c r="E75" i="8" s="1"/>
  <c r="I171" i="5"/>
  <c r="E171" i="8" s="1"/>
  <c r="I138" i="5"/>
  <c r="E138" i="8" s="1"/>
  <c r="G143" i="5"/>
  <c r="G144" i="5" s="1"/>
  <c r="G213" i="5" s="1"/>
  <c r="G221" i="5" s="1"/>
  <c r="G222" i="5" s="1"/>
  <c r="I163" i="5"/>
  <c r="E163" i="8" s="1"/>
  <c r="B135" i="4"/>
  <c r="I136" i="4"/>
  <c r="D136" i="8" s="1"/>
  <c r="I180" i="4"/>
  <c r="D180" i="8" s="1"/>
  <c r="B199" i="4"/>
  <c r="I229" i="4"/>
  <c r="I233" i="4" s="1"/>
  <c r="E143" i="4"/>
  <c r="E144" i="4" s="1"/>
  <c r="E213" i="4" s="1"/>
  <c r="E221" i="4" s="1"/>
  <c r="E222" i="4" s="1"/>
  <c r="I162" i="4"/>
  <c r="D162" i="8" s="1"/>
  <c r="I84" i="4"/>
  <c r="D84" i="8" s="1"/>
  <c r="D91" i="4"/>
  <c r="D98" i="4" s="1"/>
  <c r="D199" i="4"/>
  <c r="D213" i="4" s="1"/>
  <c r="I184" i="4"/>
  <c r="D184" i="8" s="1"/>
  <c r="H143" i="4"/>
  <c r="H144" i="4" s="1"/>
  <c r="H213" i="4" s="1"/>
  <c r="H221" i="4" s="1"/>
  <c r="H222" i="4" s="1"/>
  <c r="I163" i="4"/>
  <c r="D163" i="8" s="1"/>
  <c r="I146" i="4"/>
  <c r="D146" i="8" s="1"/>
  <c r="B156" i="4"/>
  <c r="C172" i="4"/>
  <c r="I159" i="4"/>
  <c r="D159" i="8" s="1"/>
  <c r="B172" i="3"/>
  <c r="I156" i="3"/>
  <c r="I163" i="3"/>
  <c r="C163" i="8" s="1"/>
  <c r="I138" i="3"/>
  <c r="C138" i="8" s="1"/>
  <c r="C143" i="3"/>
  <c r="C144" i="3" s="1"/>
  <c r="C213" i="3" s="1"/>
  <c r="C221" i="3" s="1"/>
  <c r="C222" i="3" s="1"/>
  <c r="H143" i="3"/>
  <c r="H144" i="3" s="1"/>
  <c r="H213" i="3" s="1"/>
  <c r="H221" i="3" s="1"/>
  <c r="H222" i="3" s="1"/>
  <c r="I81" i="3"/>
  <c r="F184" i="8" l="1"/>
  <c r="F199" i="8" s="1"/>
  <c r="I20" i="5"/>
  <c r="C153" i="5"/>
  <c r="C83" i="5"/>
  <c r="I83" i="5" s="1"/>
  <c r="E83" i="8" s="1"/>
  <c r="E91" i="8" s="1"/>
  <c r="C184" i="8"/>
  <c r="C199" i="8" s="1"/>
  <c r="B21" i="6"/>
  <c r="B76" i="5"/>
  <c r="I76" i="5" s="1"/>
  <c r="E76" i="8" s="1"/>
  <c r="F221" i="5"/>
  <c r="F222" i="5" s="1"/>
  <c r="F221" i="3"/>
  <c r="F222" i="3" s="1"/>
  <c r="D213" i="3"/>
  <c r="D221" i="3" s="1"/>
  <c r="D222" i="3" s="1"/>
  <c r="B23" i="5"/>
  <c r="C20" i="6"/>
  <c r="C80" i="6" s="1"/>
  <c r="F221" i="6"/>
  <c r="F222" i="6" s="1"/>
  <c r="F106" i="9"/>
  <c r="F129" i="9" s="1"/>
  <c r="F137" i="9" s="1"/>
  <c r="L17" i="8"/>
  <c r="F35" i="9" s="1"/>
  <c r="F45" i="9" s="1"/>
  <c r="N45" i="9" s="1"/>
  <c r="D221" i="6"/>
  <c r="D222" i="6" s="1"/>
  <c r="C172" i="8"/>
  <c r="C91" i="8"/>
  <c r="C98" i="8" s="1"/>
  <c r="E117" i="9"/>
  <c r="E127" i="9" s="1"/>
  <c r="E129" i="9" s="1"/>
  <c r="E137" i="9" s="1"/>
  <c r="I91" i="3"/>
  <c r="I98" i="3" s="1"/>
  <c r="H129" i="9"/>
  <c r="H137" i="9" s="1"/>
  <c r="I136" i="6"/>
  <c r="F136" i="8" s="1"/>
  <c r="H74" i="10"/>
  <c r="N74" i="10" s="1"/>
  <c r="H35" i="9"/>
  <c r="H45" i="9" s="1"/>
  <c r="P45" i="9" s="1"/>
  <c r="N18" i="8"/>
  <c r="H30" i="10"/>
  <c r="G96" i="9"/>
  <c r="G106" i="9" s="1"/>
  <c r="G129" i="9" s="1"/>
  <c r="G137" i="9" s="1"/>
  <c r="M17" i="8"/>
  <c r="G30" i="10"/>
  <c r="G68" i="10"/>
  <c r="G74" i="10" s="1"/>
  <c r="G51" i="10"/>
  <c r="M51" i="10" s="1"/>
  <c r="F74" i="10"/>
  <c r="L74" i="10" s="1"/>
  <c r="F30" i="10"/>
  <c r="L30" i="10" s="1"/>
  <c r="E30" i="10"/>
  <c r="K30" i="10" s="1"/>
  <c r="E74" i="10"/>
  <c r="K74" i="10" s="1"/>
  <c r="J28" i="5"/>
  <c r="E20" i="8"/>
  <c r="L20" i="8" s="1"/>
  <c r="L28" i="8" s="1"/>
  <c r="E35" i="9"/>
  <c r="E45" i="9" s="1"/>
  <c r="M45" i="9" s="1"/>
  <c r="K18" i="8"/>
  <c r="C156" i="5"/>
  <c r="C213" i="5" s="1"/>
  <c r="I153" i="5"/>
  <c r="E153" i="8" s="1"/>
  <c r="E156" i="8" s="1"/>
  <c r="I80" i="5"/>
  <c r="E80" i="8" s="1"/>
  <c r="C81" i="5"/>
  <c r="D74" i="10"/>
  <c r="J74" i="10" s="1"/>
  <c r="D30" i="10"/>
  <c r="J30" i="10" s="1"/>
  <c r="J18" i="8"/>
  <c r="D35" i="9"/>
  <c r="D45" i="9" s="1"/>
  <c r="L45" i="9" s="1"/>
  <c r="B110" i="7"/>
  <c r="I110" i="7" s="1"/>
  <c r="I110" i="6"/>
  <c r="F110" i="8" s="1"/>
  <c r="B136" i="5"/>
  <c r="I136" i="5" s="1"/>
  <c r="E136" i="8" s="1"/>
  <c r="B143" i="3"/>
  <c r="B144" i="3" s="1"/>
  <c r="B213" i="3" s="1"/>
  <c r="B221" i="3" s="1"/>
  <c r="B222" i="3" s="1"/>
  <c r="E123" i="8"/>
  <c r="E134" i="8" s="1"/>
  <c r="B135" i="5"/>
  <c r="I70" i="4"/>
  <c r="I69" i="4"/>
  <c r="K136" i="8"/>
  <c r="I123" i="5"/>
  <c r="I134" i="5" s="1"/>
  <c r="I69" i="5" s="1"/>
  <c r="C91" i="4"/>
  <c r="D83" i="8"/>
  <c r="D91" i="8" s="1"/>
  <c r="C143" i="6"/>
  <c r="C144" i="6" s="1"/>
  <c r="C156" i="4"/>
  <c r="C213" i="4" s="1"/>
  <c r="I153" i="4"/>
  <c r="D153" i="8" s="1"/>
  <c r="D156" i="8" s="1"/>
  <c r="I199" i="3"/>
  <c r="J28" i="4"/>
  <c r="D20" i="8"/>
  <c r="K20" i="8" s="1"/>
  <c r="K28" i="8" s="1"/>
  <c r="I76" i="4"/>
  <c r="B168" i="4"/>
  <c r="B81" i="4"/>
  <c r="B98" i="4" s="1"/>
  <c r="I80" i="4"/>
  <c r="D80" i="8" s="1"/>
  <c r="C81" i="4"/>
  <c r="I118" i="6"/>
  <c r="F118" i="8" s="1"/>
  <c r="I118" i="7"/>
  <c r="G118" i="8" s="1"/>
  <c r="B135" i="6"/>
  <c r="I135" i="6" s="1"/>
  <c r="F135" i="8" s="1"/>
  <c r="G199" i="8"/>
  <c r="E199" i="8"/>
  <c r="D199" i="8"/>
  <c r="C143" i="8"/>
  <c r="I69" i="3"/>
  <c r="D213" i="7"/>
  <c r="D221" i="7" s="1"/>
  <c r="D222" i="7" s="1"/>
  <c r="D213" i="5"/>
  <c r="D221" i="5" s="1"/>
  <c r="D222" i="5" s="1"/>
  <c r="B172" i="8"/>
  <c r="I199" i="7"/>
  <c r="I199" i="5"/>
  <c r="J136" i="4"/>
  <c r="I199" i="4"/>
  <c r="D221" i="4"/>
  <c r="D222" i="4" s="1"/>
  <c r="B143" i="4"/>
  <c r="B144" i="4" s="1"/>
  <c r="I135" i="4"/>
  <c r="D135" i="8" s="1"/>
  <c r="J136" i="3"/>
  <c r="I143" i="3"/>
  <c r="I144" i="3" s="1"/>
  <c r="J135" i="3"/>
  <c r="I172" i="3"/>
  <c r="B168" i="5" l="1"/>
  <c r="I168" i="5" s="1"/>
  <c r="E168" i="8" s="1"/>
  <c r="B81" i="5"/>
  <c r="B98" i="5" s="1"/>
  <c r="C91" i="5"/>
  <c r="E81" i="8"/>
  <c r="B21" i="7"/>
  <c r="B76" i="6"/>
  <c r="I21" i="6"/>
  <c r="F21" i="8" s="1"/>
  <c r="C20" i="7"/>
  <c r="C80" i="7" s="1"/>
  <c r="B23" i="6"/>
  <c r="C153" i="6"/>
  <c r="C83" i="6"/>
  <c r="I20" i="6"/>
  <c r="L18" i="8"/>
  <c r="I91" i="5"/>
  <c r="I156" i="5"/>
  <c r="C98" i="5"/>
  <c r="C221" i="5" s="1"/>
  <c r="C222" i="5" s="1"/>
  <c r="I91" i="4"/>
  <c r="B123" i="7"/>
  <c r="B134" i="7" s="1"/>
  <c r="B136" i="7" s="1"/>
  <c r="I136" i="7" s="1"/>
  <c r="G136" i="8" s="1"/>
  <c r="F123" i="8"/>
  <c r="F134" i="8" s="1"/>
  <c r="M136" i="8" s="1"/>
  <c r="H138" i="9"/>
  <c r="G35" i="9"/>
  <c r="G45" i="9" s="1"/>
  <c r="O45" i="9" s="1"/>
  <c r="M18" i="8"/>
  <c r="M30" i="10"/>
  <c r="M74" i="10"/>
  <c r="F138" i="9"/>
  <c r="E138" i="9"/>
  <c r="E98" i="8"/>
  <c r="I81" i="5"/>
  <c r="B143" i="5"/>
  <c r="B144" i="5" s="1"/>
  <c r="B143" i="6"/>
  <c r="B144" i="6" s="1"/>
  <c r="I156" i="4"/>
  <c r="C98" i="4"/>
  <c r="C221" i="4" s="1"/>
  <c r="C222" i="4" s="1"/>
  <c r="D138" i="9"/>
  <c r="I135" i="5"/>
  <c r="E135" i="8" s="1"/>
  <c r="E143" i="8" s="1"/>
  <c r="C144" i="8"/>
  <c r="C213" i="8" s="1"/>
  <c r="L136" i="8"/>
  <c r="I70" i="5"/>
  <c r="J136" i="5"/>
  <c r="I123" i="6"/>
  <c r="I134" i="6" s="1"/>
  <c r="I70" i="6" s="1"/>
  <c r="I168" i="4"/>
  <c r="B172" i="4"/>
  <c r="B213" i="4" s="1"/>
  <c r="B221" i="4" s="1"/>
  <c r="B222" i="4" s="1"/>
  <c r="D76" i="8"/>
  <c r="D81" i="8" s="1"/>
  <c r="D98" i="8" s="1"/>
  <c r="I81" i="4"/>
  <c r="G110" i="8"/>
  <c r="G123" i="8" s="1"/>
  <c r="G134" i="8" s="1"/>
  <c r="I123" i="7"/>
  <c r="I134" i="7" s="1"/>
  <c r="I69" i="7" s="1"/>
  <c r="D143" i="8"/>
  <c r="K135" i="8"/>
  <c r="F143" i="8"/>
  <c r="I143" i="6"/>
  <c r="I143" i="4"/>
  <c r="I144" i="4" s="1"/>
  <c r="J135" i="4"/>
  <c r="I71" i="3"/>
  <c r="I213" i="3"/>
  <c r="I76" i="6" l="1"/>
  <c r="F76" i="8" s="1"/>
  <c r="B168" i="6"/>
  <c r="B81" i="6"/>
  <c r="B98" i="6" s="1"/>
  <c r="B76" i="7"/>
  <c r="I21" i="7"/>
  <c r="G21" i="8" s="1"/>
  <c r="I241" i="3"/>
  <c r="I221" i="3"/>
  <c r="C81" i="6"/>
  <c r="I80" i="6"/>
  <c r="J28" i="6"/>
  <c r="F20" i="8"/>
  <c r="M20" i="8" s="1"/>
  <c r="M28" i="8" s="1"/>
  <c r="I83" i="6"/>
  <c r="C91" i="6"/>
  <c r="C156" i="6"/>
  <c r="C213" i="6" s="1"/>
  <c r="I153" i="6"/>
  <c r="B23" i="7"/>
  <c r="C83" i="7"/>
  <c r="I20" i="7"/>
  <c r="C153" i="7"/>
  <c r="C245" i="8"/>
  <c r="C248" i="8"/>
  <c r="I98" i="5"/>
  <c r="I71" i="5" s="1"/>
  <c r="I98" i="4"/>
  <c r="I71" i="4" s="1"/>
  <c r="B135" i="7"/>
  <c r="I135" i="7" s="1"/>
  <c r="G135" i="8" s="1"/>
  <c r="G143" i="8" s="1"/>
  <c r="G144" i="8" s="1"/>
  <c r="M135" i="8"/>
  <c r="F144" i="8"/>
  <c r="J135" i="5"/>
  <c r="I143" i="5"/>
  <c r="I144" i="5" s="1"/>
  <c r="L135" i="8"/>
  <c r="G138" i="9"/>
  <c r="D144" i="8"/>
  <c r="C221" i="8"/>
  <c r="C252" i="8"/>
  <c r="C251" i="8"/>
  <c r="C254" i="8"/>
  <c r="C249" i="8"/>
  <c r="C255" i="8"/>
  <c r="C246" i="8"/>
  <c r="C256" i="8"/>
  <c r="C253" i="8"/>
  <c r="C247" i="8"/>
  <c r="C250" i="8"/>
  <c r="C244" i="8"/>
  <c r="C257" i="8"/>
  <c r="C227" i="8"/>
  <c r="C234" i="8" s="1"/>
  <c r="E144" i="8"/>
  <c r="N136" i="8"/>
  <c r="I144" i="6"/>
  <c r="J135" i="6"/>
  <c r="J136" i="6"/>
  <c r="I69" i="6"/>
  <c r="J136" i="7"/>
  <c r="I70" i="7"/>
  <c r="D168" i="8"/>
  <c r="D172" i="8" s="1"/>
  <c r="I172" i="4"/>
  <c r="I213" i="4" s="1"/>
  <c r="I68" i="4" s="1"/>
  <c r="I222" i="3"/>
  <c r="I68" i="3"/>
  <c r="I227" i="3"/>
  <c r="I234" i="3" s="1"/>
  <c r="I76" i="7" l="1"/>
  <c r="G76" i="8" s="1"/>
  <c r="B168" i="7"/>
  <c r="B81" i="7"/>
  <c r="B98" i="7" s="1"/>
  <c r="I168" i="6"/>
  <c r="B172" i="6"/>
  <c r="B213" i="6" s="1"/>
  <c r="B221" i="6" s="1"/>
  <c r="B222" i="6" s="1"/>
  <c r="I80" i="7"/>
  <c r="C81" i="7"/>
  <c r="I83" i="7"/>
  <c r="C91" i="7"/>
  <c r="F153" i="8"/>
  <c r="F156" i="8" s="1"/>
  <c r="I156" i="6"/>
  <c r="F83" i="8"/>
  <c r="F91" i="8" s="1"/>
  <c r="I91" i="6"/>
  <c r="I153" i="7"/>
  <c r="C156" i="7"/>
  <c r="C213" i="7" s="1"/>
  <c r="F80" i="8"/>
  <c r="F81" i="8" s="1"/>
  <c r="I81" i="6"/>
  <c r="G20" i="8"/>
  <c r="N20" i="8" s="1"/>
  <c r="N28" i="8" s="1"/>
  <c r="J28" i="7"/>
  <c r="C98" i="6"/>
  <c r="C221" i="6" s="1"/>
  <c r="C222" i="6" s="1"/>
  <c r="B143" i="7"/>
  <c r="B144" i="7" s="1"/>
  <c r="J135" i="7"/>
  <c r="N135" i="8"/>
  <c r="I143" i="7"/>
  <c r="I144" i="7" s="1"/>
  <c r="D213" i="8"/>
  <c r="C259" i="8"/>
  <c r="C222" i="8"/>
  <c r="C239" i="8"/>
  <c r="I241" i="4"/>
  <c r="I227" i="4"/>
  <c r="I234" i="4" s="1"/>
  <c r="I221" i="4"/>
  <c r="I222" i="4" s="1"/>
  <c r="F168" i="8" l="1"/>
  <c r="F172" i="8" s="1"/>
  <c r="F213" i="8" s="1"/>
  <c r="I172" i="6"/>
  <c r="I213" i="6" s="1"/>
  <c r="I168" i="7"/>
  <c r="B172" i="7"/>
  <c r="B213" i="7" s="1"/>
  <c r="B221" i="7" s="1"/>
  <c r="B222" i="7" s="1"/>
  <c r="I98" i="6"/>
  <c r="I71" i="6" s="1"/>
  <c r="F98" i="8"/>
  <c r="F221" i="8" s="1"/>
  <c r="F222" i="8" s="1"/>
  <c r="C98" i="7"/>
  <c r="C221" i="7" s="1"/>
  <c r="C222" i="7" s="1"/>
  <c r="G153" i="8"/>
  <c r="I156" i="7"/>
  <c r="G83" i="8"/>
  <c r="G91" i="8" s="1"/>
  <c r="I91" i="7"/>
  <c r="G80" i="8"/>
  <c r="G81" i="8" s="1"/>
  <c r="I81" i="7"/>
  <c r="D246" i="8"/>
  <c r="D248" i="8"/>
  <c r="D249" i="8"/>
  <c r="D227" i="8"/>
  <c r="D234" i="8" s="1"/>
  <c r="D253" i="8"/>
  <c r="D250" i="8"/>
  <c r="D221" i="8"/>
  <c r="D239" i="8" s="1"/>
  <c r="D245" i="8"/>
  <c r="D247" i="8"/>
  <c r="D252" i="8"/>
  <c r="D257" i="8"/>
  <c r="D244" i="8"/>
  <c r="D251" i="8"/>
  <c r="D255" i="8"/>
  <c r="D256" i="8"/>
  <c r="D254" i="8"/>
  <c r="I241" i="6" l="1"/>
  <c r="I221" i="6"/>
  <c r="I222" i="6" s="1"/>
  <c r="I68" i="6"/>
  <c r="F253" i="8"/>
  <c r="F256" i="8"/>
  <c r="F247" i="8"/>
  <c r="F246" i="8"/>
  <c r="F248" i="8"/>
  <c r="F250" i="8"/>
  <c r="F244" i="8"/>
  <c r="F252" i="8"/>
  <c r="F255" i="8"/>
  <c r="F249" i="8"/>
  <c r="F254" i="8"/>
  <c r="F251" i="8"/>
  <c r="F245" i="8"/>
  <c r="F257" i="8"/>
  <c r="G168" i="8"/>
  <c r="G172" i="8" s="1"/>
  <c r="I172" i="7"/>
  <c r="I213" i="7" s="1"/>
  <c r="I241" i="7" s="1"/>
  <c r="F227" i="8"/>
  <c r="F234" i="8" s="1"/>
  <c r="I227" i="6"/>
  <c r="I234" i="6" s="1"/>
  <c r="F239" i="8"/>
  <c r="G156" i="8"/>
  <c r="I98" i="7"/>
  <c r="G98" i="8"/>
  <c r="D222" i="8"/>
  <c r="D259" i="8"/>
  <c r="N239" i="1"/>
  <c r="L239" i="1"/>
  <c r="I239" i="1"/>
  <c r="L230" i="1"/>
  <c r="A230" i="1"/>
  <c r="L229" i="1"/>
  <c r="A229" i="1"/>
  <c r="L228" i="1"/>
  <c r="A228" i="1"/>
  <c r="N223" i="1"/>
  <c r="L223" i="1"/>
  <c r="I223" i="1"/>
  <c r="H223" i="1"/>
  <c r="G223" i="1"/>
  <c r="F223" i="1"/>
  <c r="E223" i="1"/>
  <c r="D223" i="1"/>
  <c r="C223" i="1"/>
  <c r="B223" i="1"/>
  <c r="A223" i="1"/>
  <c r="R205" i="1"/>
  <c r="R206" i="1" s="1"/>
  <c r="P205" i="1"/>
  <c r="T204" i="1"/>
  <c r="T203" i="1"/>
  <c r="T202" i="1"/>
  <c r="T201" i="1"/>
  <c r="Q200" i="1"/>
  <c r="Q205" i="1" s="1"/>
  <c r="Q206" i="1" s="1"/>
  <c r="F259" i="8" l="1"/>
  <c r="G213" i="8"/>
  <c r="G250" i="8" s="1"/>
  <c r="I68" i="7"/>
  <c r="I71" i="7"/>
  <c r="I227" i="7"/>
  <c r="I234" i="7" s="1"/>
  <c r="G256" i="8"/>
  <c r="G247" i="8"/>
  <c r="G253" i="8"/>
  <c r="G252" i="8"/>
  <c r="G245" i="8"/>
  <c r="G257" i="8"/>
  <c r="G249" i="8"/>
  <c r="I221" i="7"/>
  <c r="I222" i="7" s="1"/>
  <c r="T200" i="1"/>
  <c r="L232" i="1"/>
  <c r="B31" i="8"/>
  <c r="B32" i="8"/>
  <c r="L226" i="1"/>
  <c r="I229" i="1"/>
  <c r="P206" i="1"/>
  <c r="T206" i="1" s="1"/>
  <c r="T205" i="1"/>
  <c r="L240" i="1"/>
  <c r="I230" i="1"/>
  <c r="N230" i="1"/>
  <c r="G227" i="8" l="1"/>
  <c r="G234" i="8" s="1"/>
  <c r="G221" i="8"/>
  <c r="G251" i="8"/>
  <c r="G254" i="8"/>
  <c r="G248" i="8"/>
  <c r="G246" i="8"/>
  <c r="G244" i="8"/>
  <c r="G255" i="8"/>
  <c r="G222" i="8"/>
  <c r="G239" i="8"/>
  <c r="L233" i="1"/>
  <c r="B36" i="8"/>
  <c r="B64" i="8" s="1"/>
  <c r="B66" i="8" s="1"/>
  <c r="C36" i="9"/>
  <c r="B123" i="8"/>
  <c r="B134" i="8" s="1"/>
  <c r="U204" i="1"/>
  <c r="U203" i="1"/>
  <c r="U205" i="1"/>
  <c r="U201" i="1"/>
  <c r="U200" i="1"/>
  <c r="I228" i="1"/>
  <c r="I232" i="1" s="1"/>
  <c r="N228" i="1"/>
  <c r="U202" i="1"/>
  <c r="N229" i="1"/>
  <c r="G259" i="8" l="1"/>
  <c r="I135" i="8"/>
  <c r="I136" i="8"/>
  <c r="B199" i="8"/>
  <c r="C118" i="9"/>
  <c r="C127" i="9" s="1"/>
  <c r="C97" i="9"/>
  <c r="C106" i="9" s="1"/>
  <c r="C45" i="9"/>
  <c r="K45" i="9" s="1"/>
  <c r="N232" i="1"/>
  <c r="C129" i="9" l="1"/>
  <c r="C137" i="9" s="1"/>
  <c r="C138" i="9" s="1"/>
  <c r="B143" i="8"/>
  <c r="B144" i="8" l="1"/>
  <c r="B213" i="8" s="1"/>
  <c r="B245" i="8" l="1"/>
  <c r="B248" i="8"/>
  <c r="B227" i="8"/>
  <c r="B234" i="8" s="1"/>
  <c r="B221" i="8"/>
  <c r="B239" i="8" s="1"/>
  <c r="B240" i="8" s="1"/>
  <c r="B251" i="8"/>
  <c r="B253" i="8"/>
  <c r="B257" i="8"/>
  <c r="B250" i="8"/>
  <c r="B247" i="8"/>
  <c r="B246" i="8"/>
  <c r="B254" i="8"/>
  <c r="B249" i="8"/>
  <c r="B255" i="8"/>
  <c r="B252" i="8"/>
  <c r="B244" i="8"/>
  <c r="B256" i="8"/>
  <c r="I240" i="1"/>
  <c r="I226" i="1"/>
  <c r="I233" i="1" s="1"/>
  <c r="N240" i="1"/>
  <c r="N226" i="1"/>
  <c r="N233" i="1" s="1"/>
  <c r="B222" i="8" l="1"/>
  <c r="B259" i="8"/>
  <c r="C237" i="8"/>
  <c r="C240" i="8" s="1"/>
  <c r="B241" i="8"/>
  <c r="C241" i="8" l="1"/>
  <c r="D237" i="8"/>
  <c r="D240" i="8" s="1"/>
  <c r="D241" i="8" l="1"/>
  <c r="E237" i="8"/>
  <c r="I169" i="5" l="1"/>
  <c r="E169" i="8" s="1"/>
  <c r="E172" i="8" s="1"/>
  <c r="E213" i="8" s="1"/>
  <c r="E248" i="8" s="1"/>
  <c r="B172" i="5"/>
  <c r="B213" i="5" s="1"/>
  <c r="B221" i="5" s="1"/>
  <c r="B222" i="5" s="1"/>
  <c r="I248" i="8" l="1"/>
  <c r="E253" i="8"/>
  <c r="I253" i="8" s="1"/>
  <c r="E257" i="8"/>
  <c r="I257" i="8" s="1"/>
  <c r="E250" i="8"/>
  <c r="E247" i="8"/>
  <c r="I247" i="8" s="1"/>
  <c r="E252" i="8"/>
  <c r="I252" i="8" s="1"/>
  <c r="E256" i="8"/>
  <c r="I256" i="8" s="1"/>
  <c r="E254" i="8"/>
  <c r="I254" i="8" s="1"/>
  <c r="E251" i="8"/>
  <c r="I251" i="8" s="1"/>
  <c r="E255" i="8"/>
  <c r="I255" i="8" s="1"/>
  <c r="E249" i="8"/>
  <c r="I249" i="8" s="1"/>
  <c r="E246" i="8"/>
  <c r="I246" i="8" s="1"/>
  <c r="E244" i="8"/>
  <c r="I244" i="8" s="1"/>
  <c r="E245" i="8"/>
  <c r="I245" i="8" s="1"/>
  <c r="E227" i="8"/>
  <c r="E234" i="8" s="1"/>
  <c r="E221" i="8"/>
  <c r="I172" i="5"/>
  <c r="I213" i="5" s="1"/>
  <c r="E259" i="8" l="1"/>
  <c r="I250" i="8"/>
  <c r="I259" i="8" s="1"/>
  <c r="I68" i="5"/>
  <c r="I227" i="5"/>
  <c r="I234" i="5" s="1"/>
  <c r="I241" i="5"/>
  <c r="I221" i="5"/>
  <c r="I222" i="5" s="1"/>
  <c r="E239" i="8"/>
  <c r="E240" i="8" s="1"/>
  <c r="E222" i="8"/>
  <c r="E241" i="8" l="1"/>
  <c r="F237" i="8"/>
  <c r="F240" i="8" s="1"/>
  <c r="G237" i="8" l="1"/>
  <c r="G240" i="8" s="1"/>
  <c r="G241" i="8" s="1"/>
  <c r="F241" i="8"/>
</calcChain>
</file>

<file path=xl/comments1.xml><?xml version="1.0" encoding="utf-8"?>
<comments xmlns="http://schemas.openxmlformats.org/spreadsheetml/2006/main">
  <authors>
    <author>tc={B4862344-7288-4608-8509-EF042BCE1755}</author>
    <author>Matt Padron</author>
  </authors>
  <commentList>
    <comment ref="L1" authorId="0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Add an additional column with a baseline budget of the additional 2 teachers for 8th grade. 
Reply:
    Have matt run an updated based line with then 8th grade and then update the dream budget. </t>
        </r>
      </text>
    </comment>
    <comment ref="S1" authorId="1" shapeId="0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-Right click corresponding CSV tab
-Move or copy into new book
-Format all cells: General
-Delete all zeros 
-Save As (CSV comma delimited)- ready for import</t>
        </r>
      </text>
    </comment>
  </commentList>
</comments>
</file>

<file path=xl/comments2.xml><?xml version="1.0" encoding="utf-8"?>
<comments xmlns="http://schemas.openxmlformats.org/spreadsheetml/2006/main">
  <authors>
    <author>Michael Dang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Insert fall year of start of projections, such as 2019 for school year 2019-2020.</t>
        </r>
      </text>
    </comment>
  </commentList>
</comments>
</file>

<file path=xl/sharedStrings.xml><?xml version="1.0" encoding="utf-8"?>
<sst xmlns="http://schemas.openxmlformats.org/spreadsheetml/2006/main" count="1869" uniqueCount="365">
  <si>
    <t>Operating</t>
  </si>
  <si>
    <t>SPED</t>
  </si>
  <si>
    <t>NSLP</t>
  </si>
  <si>
    <t>Title I</t>
  </si>
  <si>
    <t>Title II</t>
  </si>
  <si>
    <t>Title III</t>
  </si>
  <si>
    <t>Total (23-24)</t>
  </si>
  <si>
    <t>Variance</t>
  </si>
  <si>
    <t>Internal ID</t>
  </si>
  <si>
    <t>FY 2024</t>
  </si>
  <si>
    <t>Import Instructions</t>
  </si>
  <si>
    <t>Statewide Base (w/ District Adj)</t>
  </si>
  <si>
    <t>Total Students (FTEs)</t>
  </si>
  <si>
    <t>Kinder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</si>
  <si>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</si>
  <si>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</si>
  <si>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</si>
  <si>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</si>
  <si>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</si>
  <si>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</si>
  <si>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</si>
  <si>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</si>
  <si>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</si>
  <si>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</si>
  <si>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</si>
  <si>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</si>
  <si>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 xml:space="preserve">Prior Year Numbers </t>
  </si>
  <si>
    <t>SPED Count</t>
  </si>
  <si>
    <t>October 1st counts</t>
  </si>
  <si>
    <t>EL Count</t>
  </si>
  <si>
    <t>GATE Count</t>
  </si>
  <si>
    <t>FRL %</t>
  </si>
  <si>
    <t>Teaching Staff</t>
  </si>
  <si>
    <t>Classroom Teachers</t>
  </si>
  <si>
    <t>SPED Teachers</t>
  </si>
  <si>
    <t>Art Teacher</t>
  </si>
  <si>
    <t>Music</t>
  </si>
  <si>
    <t>PE Teacher</t>
  </si>
  <si>
    <t>Technology (STEM)</t>
  </si>
  <si>
    <t>Spanish / Language</t>
  </si>
  <si>
    <t>Additional Elective Teachers</t>
  </si>
  <si>
    <t>Gate Teacher</t>
  </si>
  <si>
    <t xml:space="preserve">     Total Teaching Staff</t>
  </si>
  <si>
    <t>Admin &amp; Support</t>
  </si>
  <si>
    <t>Assistant Principal</t>
  </si>
  <si>
    <t>ELL Coordinator</t>
  </si>
  <si>
    <t>Dean</t>
  </si>
  <si>
    <t>Curriculum Coach</t>
  </si>
  <si>
    <t>Social Worker/ Mental Health</t>
  </si>
  <si>
    <t>Office Manager/Banker</t>
  </si>
  <si>
    <t>Registrar</t>
  </si>
  <si>
    <t>Clinic Aide/ FASA</t>
  </si>
  <si>
    <t>Receptionist</t>
  </si>
  <si>
    <t>Teacher Assistants (SPED Included)</t>
  </si>
  <si>
    <t>Campus Monitor/Custodian</t>
  </si>
  <si>
    <t>Cafeteria Manager</t>
  </si>
  <si>
    <t>Parent Engagement Corrdinator</t>
  </si>
  <si>
    <t>SPED Facilitator</t>
  </si>
  <si>
    <t>Speech Pathologist</t>
  </si>
  <si>
    <t>School Psychologist</t>
  </si>
  <si>
    <t>OT</t>
  </si>
  <si>
    <t>School Nurse</t>
  </si>
  <si>
    <t>On Campus Sub</t>
  </si>
  <si>
    <t>Other: NSLP staff</t>
  </si>
  <si>
    <t xml:space="preserve">     Total Admin &amp; Support</t>
  </si>
  <si>
    <t>Total # Teachers</t>
  </si>
  <si>
    <t>Total # Admin &amp; Support</t>
  </si>
  <si>
    <t>Total Staff</t>
  </si>
  <si>
    <t>Total Salaries &amp; Benefits as % of Expenses</t>
  </si>
  <si>
    <t>Instruction Salaries as % of Total Salaries</t>
  </si>
  <si>
    <t>Admin &amp; Support Salaries as % of Total Salaries</t>
  </si>
  <si>
    <t>Rent as % of Revenue</t>
  </si>
  <si>
    <t xml:space="preserve">REVENUE </t>
  </si>
  <si>
    <t>State Revenue</t>
  </si>
  <si>
    <t>State Base Budget Revenue</t>
  </si>
  <si>
    <t>ELL Weight</t>
  </si>
  <si>
    <t>Gifted and Talented Education (GATE)</t>
  </si>
  <si>
    <t>At-Risk Weight</t>
  </si>
  <si>
    <t>Local SPED</t>
  </si>
  <si>
    <t>SPED Discretionary Unit</t>
  </si>
  <si>
    <t xml:space="preserve">Total State Revenues </t>
  </si>
  <si>
    <t>Federal Revenue</t>
  </si>
  <si>
    <t>SPED Funding (Part B)</t>
  </si>
  <si>
    <t>National School Lunch Program (NSLP) - Breakfast</t>
  </si>
  <si>
    <t>National School Lunch Program (NSLP) - Lunch</t>
  </si>
  <si>
    <t>Title IV</t>
  </si>
  <si>
    <t xml:space="preserve">Total Federal Revenues </t>
  </si>
  <si>
    <t>Other Revenue</t>
  </si>
  <si>
    <t>Interest Income</t>
  </si>
  <si>
    <t xml:space="preserve">Academica Nevada Donation(s): </t>
  </si>
  <si>
    <t>Donation(s)</t>
  </si>
  <si>
    <t>SGF Revenue</t>
  </si>
  <si>
    <t xml:space="preserve">Total Other Revenues </t>
  </si>
  <si>
    <t>Total Revenues (consolidated)</t>
  </si>
  <si>
    <t>Other Sources of Funds</t>
  </si>
  <si>
    <t>Use of Beginning Fund Balances</t>
  </si>
  <si>
    <t>Borrowings</t>
  </si>
  <si>
    <t>Total Other Sources of Funds</t>
  </si>
  <si>
    <t>EXPENSES</t>
  </si>
  <si>
    <t>Personnel Costs - Unrestricted Salaries</t>
  </si>
  <si>
    <t>Assistant Principal(s)</t>
  </si>
  <si>
    <t>Social Worker / Mental Health</t>
  </si>
  <si>
    <t xml:space="preserve">Teachers Salaries </t>
  </si>
  <si>
    <t>Office Manager/ Registrar / Banker</t>
  </si>
  <si>
    <t>Secretary &amp; FASA</t>
  </si>
  <si>
    <t>Instructional Aide(s)</t>
  </si>
  <si>
    <t>Campus Monitors/Plant Operator</t>
  </si>
  <si>
    <t xml:space="preserve">Total Unrestricted Salaries </t>
  </si>
  <si>
    <t>Personnel Costs - Restricted Salaries</t>
  </si>
  <si>
    <t xml:space="preserve">OT </t>
  </si>
  <si>
    <t>National School Lunch Program (NSLP) Staff</t>
  </si>
  <si>
    <t xml:space="preserve">Total Restricted Salaries </t>
  </si>
  <si>
    <t xml:space="preserve">Total Salaries and Wages </t>
  </si>
  <si>
    <t>PERS - 33.5%</t>
  </si>
  <si>
    <t xml:space="preserve">Insurances/Employment Taxes/Other Benefits </t>
  </si>
  <si>
    <t>Retention</t>
  </si>
  <si>
    <t>Holiday</t>
  </si>
  <si>
    <t>Stipend</t>
  </si>
  <si>
    <t>Additional Bonuses</t>
  </si>
  <si>
    <t>Tuition Reimbursements</t>
  </si>
  <si>
    <t>Subst. Teachers (10 days/Teacher)</t>
  </si>
  <si>
    <t>$185 per day</t>
  </si>
  <si>
    <t xml:space="preserve">Total Benefits and Related </t>
  </si>
  <si>
    <t>Total Payroll / Benefits and Related</t>
  </si>
  <si>
    <t>Material Equipment and Supplies</t>
  </si>
  <si>
    <t xml:space="preserve">Consumables </t>
  </si>
  <si>
    <t>$205/student</t>
  </si>
  <si>
    <t>Dual Enrollment - College Bound Initiative</t>
  </si>
  <si>
    <t>Curriculum/Tech/Furniture</t>
  </si>
  <si>
    <t>Office Supplies</t>
  </si>
  <si>
    <t>$30/student</t>
  </si>
  <si>
    <t>Classroom Supplies</t>
  </si>
  <si>
    <t>$40/student</t>
  </si>
  <si>
    <t>Copier Supplies</t>
  </si>
  <si>
    <t>$10/student</t>
  </si>
  <si>
    <t>Nursing Supplies</t>
  </si>
  <si>
    <t>$8/student</t>
  </si>
  <si>
    <t>SPED Supplies</t>
  </si>
  <si>
    <t>$150/sped student</t>
  </si>
  <si>
    <t>Athletics/Extra</t>
  </si>
  <si>
    <t>Custodial Supplies</t>
  </si>
  <si>
    <t>$45/student</t>
  </si>
  <si>
    <t xml:space="preserve">Total Material Equipment and Supplies </t>
  </si>
  <si>
    <t>Purchased Services</t>
  </si>
  <si>
    <t>Contracted Services: Other Professional Services</t>
  </si>
  <si>
    <t>Contracted Services: SPED</t>
  </si>
  <si>
    <t>$470 per</t>
  </si>
  <si>
    <t xml:space="preserve">Contracted Services: </t>
  </si>
  <si>
    <t>Management Fee (Academica Nevada)</t>
  </si>
  <si>
    <t>$495 per</t>
  </si>
  <si>
    <t>Payroll Services</t>
  </si>
  <si>
    <t>Audit/Tax</t>
  </si>
  <si>
    <t>Legal Fees</t>
  </si>
  <si>
    <t xml:space="preserve">IT Services </t>
  </si>
  <si>
    <t>$50 per student + $60per month for back-up</t>
  </si>
  <si>
    <t>IT Set-up Fees</t>
  </si>
  <si>
    <t xml:space="preserve">State Administrative Fee </t>
  </si>
  <si>
    <t xml:space="preserve">Affiliation Fee - Student Leadership Network </t>
  </si>
  <si>
    <t>Student Leadership Network</t>
  </si>
  <si>
    <t>Affiliation Fee - Professional Development</t>
  </si>
  <si>
    <t>0.5% of Per Pupil</t>
  </si>
  <si>
    <t xml:space="preserve">Professional Development </t>
  </si>
  <si>
    <t xml:space="preserve">Total Purchased Services </t>
  </si>
  <si>
    <t>General Operations</t>
  </si>
  <si>
    <t>Telephone</t>
  </si>
  <si>
    <t>Internet</t>
  </si>
  <si>
    <t>Cell Phones</t>
  </si>
  <si>
    <t>Postage</t>
  </si>
  <si>
    <t>Website</t>
  </si>
  <si>
    <t>Copier / Printing</t>
  </si>
  <si>
    <t>Infinite Campus</t>
  </si>
  <si>
    <t>Property Insurance</t>
  </si>
  <si>
    <t>Liability Insurance</t>
  </si>
  <si>
    <t>Other Insurances</t>
  </si>
  <si>
    <t xml:space="preserve">NSLP - Breakfast </t>
  </si>
  <si>
    <t xml:space="preserve">NSLP - Lunch </t>
  </si>
  <si>
    <t>Advertising/Marketing</t>
  </si>
  <si>
    <t xml:space="preserve">Travel </t>
  </si>
  <si>
    <t>Background and Fingerprinting</t>
  </si>
  <si>
    <t>Dues and Fees</t>
  </si>
  <si>
    <t>Prior Year Surplus allocated by board</t>
  </si>
  <si>
    <t>Graduation</t>
  </si>
  <si>
    <t>Loan Repayments</t>
  </si>
  <si>
    <t>Cap Lease - Interest</t>
  </si>
  <si>
    <t>Cap Lease - Principal</t>
  </si>
  <si>
    <t>Cap Lease - Buyout</t>
  </si>
  <si>
    <t>Misc Purchases</t>
  </si>
  <si>
    <t>Contingencies</t>
  </si>
  <si>
    <t xml:space="preserve">Total Other </t>
  </si>
  <si>
    <t>Facilities</t>
  </si>
  <si>
    <t>Public Utilities (Electricity)</t>
  </si>
  <si>
    <t>budget assumes overages</t>
  </si>
  <si>
    <t>elec</t>
  </si>
  <si>
    <t>Natural Gas</t>
  </si>
  <si>
    <t xml:space="preserve">$4261 per month covered in lease for all utilities </t>
  </si>
  <si>
    <t>gas</t>
  </si>
  <si>
    <t>Water / Sewer</t>
  </si>
  <si>
    <t>water</t>
  </si>
  <si>
    <t>Garbage/Disposal</t>
  </si>
  <si>
    <t>Fire and Security alarms</t>
  </si>
  <si>
    <t>trash</t>
  </si>
  <si>
    <t>Contracted Janitorial Services</t>
  </si>
  <si>
    <t>Full time custodian + amount for extra supplies</t>
  </si>
  <si>
    <t>Facility Maintenance/Repairs/Capital Outlay</t>
  </si>
  <si>
    <t>Snow removal</t>
  </si>
  <si>
    <t>Lawn Care</t>
  </si>
  <si>
    <t>AC Maintenance &amp; Repair</t>
  </si>
  <si>
    <t xml:space="preserve">Total Facilities </t>
  </si>
  <si>
    <t xml:space="preserve">Total Expenses Before Bldg </t>
  </si>
  <si>
    <t>Scheduled Lease Payment</t>
  </si>
  <si>
    <t>Scheduled Bond Payment - Principal</t>
  </si>
  <si>
    <t>Scheduled Bond Payment - Interest</t>
  </si>
  <si>
    <t>HOA/Parking/ Other</t>
  </si>
  <si>
    <t>Surplus (Revenues-Total Expenses-Lease-Bond)</t>
  </si>
  <si>
    <t>Adjusted Net Income Available Before Lease and Debt Service</t>
  </si>
  <si>
    <t>Total Lease Payments &amp; Net Debt Service</t>
  </si>
  <si>
    <t xml:space="preserve">Annual Debt Service Coverage </t>
  </si>
  <si>
    <t>Days Cash on Hand Calculation</t>
  </si>
  <si>
    <t>Beginning Cash Balance - FYE 2022 Audited (System)</t>
  </si>
  <si>
    <t>Accounts Receivable</t>
  </si>
  <si>
    <t>Plus:  Operating Surplus (Deficit)</t>
  </si>
  <si>
    <t>Ending Cash Balance</t>
  </si>
  <si>
    <t>Projected Days Cash on Hand</t>
  </si>
  <si>
    <t>Other</t>
  </si>
  <si>
    <t>$250 per employee + a little extra for other checks</t>
  </si>
  <si>
    <t>YWLA</t>
  </si>
  <si>
    <t>First payment date</t>
  </si>
  <si>
    <t>Expiration</t>
  </si>
  <si>
    <t>Schedule #</t>
  </si>
  <si>
    <t>Borrowed Amount</t>
  </si>
  <si>
    <t>Monthly Payment</t>
  </si>
  <si>
    <t>Interest rate</t>
  </si>
  <si>
    <t>Total Per Year</t>
  </si>
  <si>
    <t>Fiscal Year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</si>
  <si>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</si>
  <si>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</si>
  <si>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</si>
  <si>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</si>
  <si>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</si>
  <si>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</si>
  <si>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</si>
  <si>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</si>
  <si>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</si>
  <si>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Young Women's Leadership Academy (YWLA) - FY24</t>
  </si>
  <si>
    <t>Young Women's Leadership Academy (YWLA) - FY25</t>
  </si>
  <si>
    <t>Young Women's Leadership Academy (YWLA) - FY26</t>
  </si>
  <si>
    <t>Young Women's Leadership Academy (YWLA) - FY27</t>
  </si>
  <si>
    <t>Young Women's Leadership Academy (YWLA) - FY28</t>
  </si>
  <si>
    <t>Young Women's Leadership Academy (YWLA) - FY29</t>
  </si>
  <si>
    <t>Young Women's Leadership Academy (YWLA)</t>
  </si>
  <si>
    <t>23-24 (FY24)</t>
  </si>
  <si>
    <t>24-25 (FY25)</t>
  </si>
  <si>
    <t>25-26 (FY26)</t>
  </si>
  <si>
    <t>26-27 (FY27)</t>
  </si>
  <si>
    <t>27-28 (FY28)</t>
  </si>
  <si>
    <t>28-29 (FY29)</t>
  </si>
  <si>
    <t>GATE Teacher</t>
  </si>
  <si>
    <t>$475 per</t>
  </si>
  <si>
    <t>$480 per</t>
  </si>
  <si>
    <t>$485 per</t>
  </si>
  <si>
    <t>$500 per</t>
  </si>
  <si>
    <t>##</t>
  </si>
  <si>
    <t>Avg</t>
  </si>
  <si>
    <t>Personnel</t>
  </si>
  <si>
    <t>Benefits</t>
  </si>
  <si>
    <t>Contractual</t>
  </si>
  <si>
    <t>Contracted Services</t>
  </si>
  <si>
    <t>Equipment</t>
  </si>
  <si>
    <t>Supplies</t>
  </si>
  <si>
    <t>Facility</t>
  </si>
  <si>
    <t xml:space="preserve">Insurance </t>
  </si>
  <si>
    <t>Travel</t>
  </si>
  <si>
    <t>Accounting, Audit, &amp; Legal Fees</t>
  </si>
  <si>
    <t>Technology</t>
  </si>
  <si>
    <t>Total Network FTEs</t>
  </si>
  <si>
    <t>Total FTEs at High Schools</t>
  </si>
  <si>
    <t>School Operations Support Staff</t>
  </si>
  <si>
    <t>Teacher Aides and Assistants</t>
  </si>
  <si>
    <t>Receptionist / Clinic Aide FASA</t>
  </si>
  <si>
    <t>Office Manager</t>
  </si>
  <si>
    <t>EL Coordinator</t>
  </si>
  <si>
    <t>Special Education Teachers</t>
  </si>
  <si>
    <t>Classroom Teachers (Specials)</t>
  </si>
  <si>
    <t>Classroom Teachers (Core Subjects)</t>
  </si>
  <si>
    <t>SPED Facilitator / Speech Psychologist</t>
  </si>
  <si>
    <t xml:space="preserve">Curriculum/Instructional Coach </t>
  </si>
  <si>
    <t xml:space="preserve">College Bound Initiative Counselor / School Counselor </t>
  </si>
  <si>
    <t>Assistant Principals</t>
  </si>
  <si>
    <t>Principals</t>
  </si>
  <si>
    <t>High School Staff</t>
  </si>
  <si>
    <t>Total FTEs at Middle Schools</t>
  </si>
  <si>
    <t>Middle School Staff</t>
  </si>
  <si>
    <t>Total FTEs at Elementary Schools</t>
  </si>
  <si>
    <t>Elementary School Staff</t>
  </si>
  <si>
    <t>Total Back-Office FTEs</t>
  </si>
  <si>
    <t>HR, Event Coordinator, Other (Academica Nevada)</t>
  </si>
  <si>
    <t>Paralegal, Director of Growth &amp; Management  (Academica Nevada)</t>
  </si>
  <si>
    <t>Facility Manager (Academica Nevada)</t>
  </si>
  <si>
    <t>Procurement Director (Academica Nevada)</t>
  </si>
  <si>
    <t>Bookkeepers  (Academica Nevada)</t>
  </si>
  <si>
    <t>Chief Legal Officer (Academica Nevada)</t>
  </si>
  <si>
    <t>Chief Financial Officer  (Academica Nevada)</t>
  </si>
  <si>
    <t>Chief Operating Officer (Academica Nevada)</t>
  </si>
  <si>
    <t>Management Organization Positions</t>
  </si>
  <si>
    <t xml:space="preserve">Total Student enrollment </t>
  </si>
  <si>
    <t>Total schools</t>
  </si>
  <si>
    <t>Number of high schools</t>
  </si>
  <si>
    <t>Number of middle schools</t>
  </si>
  <si>
    <t>Number of elementary schools</t>
  </si>
  <si>
    <t>2027-28</t>
  </si>
  <si>
    <t>2026-27</t>
  </si>
  <si>
    <t>2025-26</t>
  </si>
  <si>
    <t>2024-25</t>
  </si>
  <si>
    <t>2023-24</t>
  </si>
  <si>
    <t>Year</t>
  </si>
  <si>
    <t>Network</t>
  </si>
  <si>
    <t>Total FTEs at School</t>
  </si>
  <si>
    <t>School Staff</t>
  </si>
  <si>
    <t>Proposed New Campus(es)</t>
  </si>
  <si>
    <t>Projections for school years beginning</t>
  </si>
  <si>
    <t>School Years</t>
  </si>
  <si>
    <t>OPERATIONS PLAN</t>
  </si>
  <si>
    <t>Mike Dang</t>
  </si>
  <si>
    <t>Nevada State Public Charter School Authority</t>
  </si>
  <si>
    <t>Young Women's Leadership Academy</t>
  </si>
  <si>
    <t>Staffing Tables of Projected Staffing Needs</t>
  </si>
  <si>
    <t xml:space="preserve">Dean / School Counselor </t>
  </si>
  <si>
    <t>Total</t>
  </si>
  <si>
    <t>K</t>
  </si>
  <si>
    <t>Pre-K</t>
  </si>
  <si>
    <t>Number of Students</t>
  </si>
  <si>
    <t>Grade Level</t>
  </si>
  <si>
    <t>amendment)</t>
  </si>
  <si>
    <t>planned enrollment described in subsection b will necessitate a charter</t>
  </si>
  <si>
    <t>(c)	Maximum Enrollment (Note: Enrolling more than 10 percent of the</t>
  </si>
  <si>
    <t>(b)  Planned Enrollment (Must Correspond to Budget Worksheet Assumptions)</t>
  </si>
  <si>
    <t>Assumptions discussed in budget narrative)</t>
  </si>
  <si>
    <t>(a)  Minimum Enrollment (Must Correspond to Break Even Budget Scenario</t>
  </si>
  <si>
    <t>STUDENT RECRUITMENT AND ENROLLMENT</t>
  </si>
  <si>
    <t>Enrollment Tables</t>
  </si>
  <si>
    <t>CSP</t>
  </si>
  <si>
    <t xml:space="preserve">College Bound Initiative Coordinator </t>
  </si>
  <si>
    <t xml:space="preserve"> </t>
  </si>
  <si>
    <t>Contracted Services: Student Transortation</t>
  </si>
  <si>
    <t xml:space="preserve">0% of Per Pupil </t>
  </si>
  <si>
    <t xml:space="preserve">School Counselor / College Bound Initiative Coordinator </t>
  </si>
  <si>
    <t>23-24 (BREAKEVEN)</t>
  </si>
  <si>
    <t>Subst. Teachers (11 days/Teacher)</t>
  </si>
  <si>
    <t xml:space="preserve">Principal </t>
  </si>
  <si>
    <t>Executive Director</t>
  </si>
  <si>
    <t>Other: Charter School Program (CSP) Grant / Transportation</t>
  </si>
  <si>
    <t>At-Risk Count</t>
  </si>
  <si>
    <t>FRL Count and %</t>
  </si>
  <si>
    <t>Principal</t>
  </si>
  <si>
    <t>School Counselor / College Bound Initiative Coordinator</t>
  </si>
  <si>
    <t>prior year number</t>
  </si>
  <si>
    <t>Student Generated Funds (SGF)</t>
  </si>
  <si>
    <t>Earnings on Investments</t>
  </si>
  <si>
    <t>Contracted Services: Transportation</t>
  </si>
  <si>
    <t>assumes total already paid</t>
  </si>
  <si>
    <t>new paycom - $6,813 annual + $960 startup</t>
  </si>
  <si>
    <t xml:space="preserve">$50k max + $4k tax return </t>
  </si>
  <si>
    <t>SGF Expenditures</t>
  </si>
  <si>
    <t>Donation(s): Foundation/SANDS</t>
  </si>
  <si>
    <t>2028-29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</si>
</sst>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mm/dd/yy;@"/>
    <numFmt numFmtId="168" formatCode="0.000%"/>
    <numFmt numFmtId="169" formatCode="&quot;$&quot;#,##0.0_);[Red]\(&quot;$&quot;#,##0.0\)"/>
    <numFmt numFmtId="170" formatCode="_(#,##0_);[Red]_(\(#,##0\);_(&quot;-&quot;_);_(@_)"/>
    <numFmt numFmtId="171" formatCode="_(#,##0.0_);[Red]_(\(#,##0.0\);_(&quot;-&quot;_);_(@_)"/>
    <numFmt numFmtId="172" formatCode="_(#,##0.00_);[Red]_(\(#,##0.00\);_(&quot;-&quot;_);_(@_)"/>
    <numFmt numFmtId="173" formatCode="0.000"/>
    <numFmt numFmtId="174" formatCode="0_);[Red]\(0\)"/>
    <numFmt numFmtId="175" formatCode="_(* #,##0.0_);_(* \(#,##0.0\);_(* &quot;-&quot;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i/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10"/>
      <color indexed="23"/>
      <name val="Arial"/>
      <family val="2"/>
    </font>
    <font>
      <b/>
      <sz val="12"/>
      <name val="Arial"/>
      <family val="2"/>
    </font>
    <font>
      <i/>
      <sz val="10"/>
      <color rgb="FFFF000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8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262">
    <xf numFmtId="0" fontId="0" fillId="0" borderId="0" xfId="0"/>
    <xf numFmtId="164" fontId="4" fillId="0" borderId="0" xfId="1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2" applyNumberFormat="1" applyFont="1" applyFill="1" applyBorder="1" applyAlignment="1">
      <alignment horizontal="right"/>
    </xf>
    <xf numFmtId="164" fontId="5" fillId="0" borderId="2" xfId="1" applyNumberFormat="1" applyFont="1" applyBorder="1"/>
    <xf numFmtId="6" fontId="5" fillId="0" borderId="3" xfId="0" applyNumberFormat="1" applyFont="1" applyBorder="1" applyAlignment="1">
      <alignment horizontal="left"/>
    </xf>
    <xf numFmtId="6" fontId="5" fillId="0" borderId="0" xfId="0" applyNumberFormat="1" applyFont="1" applyAlignment="1">
      <alignment horizontal="left"/>
    </xf>
    <xf numFmtId="0" fontId="5" fillId="0" borderId="0" xfId="0" applyFont="1"/>
    <xf numFmtId="0" fontId="5" fillId="0" borderId="4" xfId="2" applyNumberFormat="1" applyFont="1" applyFill="1" applyBorder="1" applyAlignment="1">
      <alignment horizontal="right"/>
    </xf>
    <xf numFmtId="164" fontId="4" fillId="0" borderId="2" xfId="1" applyNumberFormat="1" applyFont="1" applyBorder="1"/>
    <xf numFmtId="0" fontId="5" fillId="0" borderId="1" xfId="0" applyFont="1" applyBorder="1" applyAlignment="1">
      <alignment horizontal="right"/>
    </xf>
    <xf numFmtId="164" fontId="5" fillId="0" borderId="2" xfId="1" applyNumberFormat="1" applyFont="1" applyFill="1" applyBorder="1"/>
    <xf numFmtId="165" fontId="6" fillId="0" borderId="3" xfId="0" applyNumberFormat="1" applyFont="1" applyBorder="1" applyAlignment="1">
      <alignment horizontal="left"/>
    </xf>
    <xf numFmtId="165" fontId="6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2" xfId="3" applyNumberFormat="1" applyFont="1" applyBorder="1"/>
    <xf numFmtId="0" fontId="4" fillId="3" borderId="2" xfId="0" applyFont="1" applyFill="1" applyBorder="1" applyAlignment="1">
      <alignment horizontal="right"/>
    </xf>
    <xf numFmtId="164" fontId="4" fillId="3" borderId="2" xfId="1" applyNumberFormat="1" applyFont="1" applyFill="1" applyBorder="1" applyAlignment="1">
      <alignment horizontal="center"/>
    </xf>
    <xf numFmtId="164" fontId="5" fillId="0" borderId="0" xfId="0" applyNumberFormat="1" applyFont="1"/>
    <xf numFmtId="43" fontId="5" fillId="0" borderId="3" xfId="0" applyNumberFormat="1" applyFont="1" applyBorder="1" applyAlignment="1">
      <alignment horizontal="left"/>
    </xf>
    <xf numFmtId="43" fontId="5" fillId="0" borderId="0" xfId="0" applyNumberFormat="1" applyFont="1" applyAlignment="1">
      <alignment horizontal="left"/>
    </xf>
    <xf numFmtId="43" fontId="5" fillId="0" borderId="0" xfId="0" applyNumberFormat="1" applyFont="1"/>
    <xf numFmtId="9" fontId="5" fillId="0" borderId="2" xfId="3" applyFont="1" applyFill="1" applyBorder="1"/>
    <xf numFmtId="9" fontId="5" fillId="0" borderId="3" xfId="0" applyNumberFormat="1" applyFont="1" applyBorder="1" applyAlignment="1">
      <alignment horizontal="left"/>
    </xf>
    <xf numFmtId="9" fontId="5" fillId="0" borderId="0" xfId="0" applyNumberFormat="1" applyFont="1" applyAlignment="1">
      <alignment horizontal="left"/>
    </xf>
    <xf numFmtId="9" fontId="5" fillId="0" borderId="2" xfId="3" applyFont="1" applyBorder="1"/>
    <xf numFmtId="0" fontId="4" fillId="3" borderId="2" xfId="0" applyFont="1" applyFill="1" applyBorder="1"/>
    <xf numFmtId="0" fontId="5" fillId="0" borderId="4" xfId="0" applyFont="1" applyBorder="1" applyProtection="1">
      <protection locked="0"/>
    </xf>
    <xf numFmtId="43" fontId="5" fillId="0" borderId="2" xfId="1" applyFont="1" applyBorder="1"/>
    <xf numFmtId="0" fontId="5" fillId="0" borderId="0" xfId="0" applyFont="1" applyProtection="1">
      <protection locked="0"/>
    </xf>
    <xf numFmtId="43" fontId="5" fillId="0" borderId="2" xfId="1" applyFont="1" applyFill="1" applyBorder="1"/>
    <xf numFmtId="0" fontId="5" fillId="0" borderId="0" xfId="0" applyFont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/>
    <xf numFmtId="43" fontId="4" fillId="3" borderId="2" xfId="1" applyFont="1" applyFill="1" applyBorder="1"/>
    <xf numFmtId="0" fontId="4" fillId="0" borderId="4" xfId="0" applyFont="1" applyBorder="1"/>
    <xf numFmtId="0" fontId="5" fillId="0" borderId="4" xfId="0" applyFont="1" applyBorder="1" applyAlignment="1" applyProtection="1">
      <alignment wrapText="1"/>
      <protection locked="0"/>
    </xf>
    <xf numFmtId="0" fontId="2" fillId="0" borderId="0" xfId="0" quotePrefix="1" applyFont="1"/>
    <xf numFmtId="165" fontId="4" fillId="3" borderId="2" xfId="1" applyNumberFormat="1" applyFont="1" applyFill="1" applyBorder="1"/>
    <xf numFmtId="0" fontId="4" fillId="4" borderId="4" xfId="0" applyFont="1" applyFill="1" applyBorder="1"/>
    <xf numFmtId="164" fontId="5" fillId="0" borderId="1" xfId="1" applyNumberFormat="1" applyFont="1" applyBorder="1"/>
    <xf numFmtId="0" fontId="4" fillId="4" borderId="6" xfId="0" applyFont="1" applyFill="1" applyBorder="1"/>
    <xf numFmtId="43" fontId="4" fillId="0" borderId="6" xfId="1" applyFont="1" applyBorder="1"/>
    <xf numFmtId="0" fontId="4" fillId="4" borderId="1" xfId="0" applyFont="1" applyFill="1" applyBorder="1"/>
    <xf numFmtId="43" fontId="4" fillId="0" borderId="2" xfId="1" applyFont="1" applyBorder="1"/>
    <xf numFmtId="0" fontId="4" fillId="4" borderId="7" xfId="0" applyFont="1" applyFill="1" applyBorder="1"/>
    <xf numFmtId="43" fontId="4" fillId="0" borderId="7" xfId="1" applyFont="1" applyBorder="1"/>
    <xf numFmtId="164" fontId="5" fillId="0" borderId="4" xfId="1" applyNumberFormat="1" applyFont="1" applyBorder="1"/>
    <xf numFmtId="0" fontId="4" fillId="0" borderId="2" xfId="0" applyFont="1" applyBorder="1"/>
    <xf numFmtId="166" fontId="5" fillId="0" borderId="2" xfId="3" applyNumberFormat="1" applyFont="1" applyBorder="1"/>
    <xf numFmtId="166" fontId="5" fillId="0" borderId="2" xfId="3" applyNumberFormat="1" applyFont="1" applyBorder="1" applyAlignment="1">
      <alignment horizontal="center"/>
    </xf>
    <xf numFmtId="0" fontId="4" fillId="5" borderId="8" xfId="0" applyFont="1" applyFill="1" applyBorder="1"/>
    <xf numFmtId="164" fontId="4" fillId="5" borderId="8" xfId="1" applyNumberFormat="1" applyFont="1" applyFill="1" applyBorder="1" applyAlignment="1">
      <alignment horizontal="center"/>
    </xf>
    <xf numFmtId="0" fontId="7" fillId="3" borderId="6" xfId="0" applyFont="1" applyFill="1" applyBorder="1"/>
    <xf numFmtId="164" fontId="4" fillId="3" borderId="9" xfId="1" applyNumberFormat="1" applyFont="1" applyFill="1" applyBorder="1" applyAlignment="1">
      <alignment horizontal="center"/>
    </xf>
    <xf numFmtId="164" fontId="4" fillId="3" borderId="10" xfId="1" applyNumberFormat="1" applyFont="1" applyFill="1" applyBorder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164" fontId="5" fillId="0" borderId="5" xfId="1" applyNumberFormat="1" applyFont="1" applyBorder="1"/>
    <xf numFmtId="6" fontId="5" fillId="0" borderId="0" xfId="0" applyNumberFormat="1" applyFont="1"/>
    <xf numFmtId="164" fontId="5" fillId="0" borderId="0" xfId="0" applyNumberFormat="1" applyFont="1" applyAlignment="1">
      <alignment horizontal="left"/>
    </xf>
    <xf numFmtId="0" fontId="4" fillId="6" borderId="2" xfId="0" applyFont="1" applyFill="1" applyBorder="1" applyAlignment="1">
      <alignment horizontal="right"/>
    </xf>
    <xf numFmtId="164" fontId="4" fillId="6" borderId="2" xfId="1" applyNumberFormat="1" applyFont="1" applyFill="1" applyBorder="1"/>
    <xf numFmtId="0" fontId="7" fillId="3" borderId="2" xfId="0" applyFont="1" applyFill="1" applyBorder="1"/>
    <xf numFmtId="8" fontId="5" fillId="0" borderId="3" xfId="0" applyNumberFormat="1" applyFont="1" applyBorder="1" applyAlignment="1">
      <alignment horizontal="left"/>
    </xf>
    <xf numFmtId="8" fontId="5" fillId="0" borderId="0" xfId="0" applyNumberFormat="1" applyFont="1" applyAlignment="1">
      <alignment horizontal="left"/>
    </xf>
    <xf numFmtId="8" fontId="5" fillId="0" borderId="0" xfId="0" applyNumberFormat="1" applyFont="1"/>
    <xf numFmtId="164" fontId="5" fillId="0" borderId="1" xfId="1" applyNumberFormat="1" applyFont="1" applyFill="1" applyBorder="1"/>
    <xf numFmtId="0" fontId="4" fillId="5" borderId="2" xfId="0" applyFont="1" applyFill="1" applyBorder="1" applyAlignment="1">
      <alignment horizontal="right"/>
    </xf>
    <xf numFmtId="164" fontId="4" fillId="5" borderId="2" xfId="1" applyNumberFormat="1" applyFont="1" applyFill="1" applyBorder="1"/>
    <xf numFmtId="0" fontId="4" fillId="7" borderId="8" xfId="0" applyFont="1" applyFill="1" applyBorder="1" applyAlignment="1">
      <alignment horizontal="left"/>
    </xf>
    <xf numFmtId="164" fontId="4" fillId="7" borderId="8" xfId="1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right"/>
    </xf>
    <xf numFmtId="164" fontId="4" fillId="8" borderId="2" xfId="1" applyNumberFormat="1" applyFont="1" applyFill="1" applyBorder="1"/>
    <xf numFmtId="0" fontId="7" fillId="3" borderId="11" xfId="0" applyFont="1" applyFill="1" applyBorder="1"/>
    <xf numFmtId="0" fontId="4" fillId="8" borderId="1" xfId="0" applyFont="1" applyFill="1" applyBorder="1" applyAlignment="1">
      <alignment horizontal="right"/>
    </xf>
    <xf numFmtId="164" fontId="4" fillId="8" borderId="1" xfId="1" applyNumberFormat="1" applyFont="1" applyFill="1" applyBorder="1"/>
    <xf numFmtId="0" fontId="4" fillId="7" borderId="2" xfId="0" applyFont="1" applyFill="1" applyBorder="1" applyAlignment="1">
      <alignment horizontal="right"/>
    </xf>
    <xf numFmtId="164" fontId="4" fillId="7" borderId="2" xfId="1" applyNumberFormat="1" applyFont="1" applyFill="1" applyBorder="1"/>
    <xf numFmtId="10" fontId="5" fillId="0" borderId="3" xfId="3" applyNumberFormat="1" applyFont="1" applyBorder="1" applyAlignment="1">
      <alignment horizontal="left"/>
    </xf>
    <xf numFmtId="10" fontId="5" fillId="0" borderId="0" xfId="3" applyNumberFormat="1" applyFont="1" applyBorder="1" applyAlignment="1">
      <alignment horizontal="left"/>
    </xf>
    <xf numFmtId="0" fontId="5" fillId="0" borderId="12" xfId="0" applyFont="1" applyBorder="1"/>
    <xf numFmtId="164" fontId="0" fillId="0" borderId="2" xfId="1" applyNumberFormat="1" applyFont="1" applyFill="1" applyBorder="1"/>
    <xf numFmtId="164" fontId="5" fillId="0" borderId="10" xfId="1" applyNumberFormat="1" applyFont="1" applyFill="1" applyBorder="1"/>
    <xf numFmtId="10" fontId="5" fillId="0" borderId="0" xfId="0" applyNumberFormat="1" applyFont="1"/>
    <xf numFmtId="0" fontId="4" fillId="7" borderId="1" xfId="0" applyFont="1" applyFill="1" applyBorder="1" applyAlignment="1">
      <alignment horizontal="right"/>
    </xf>
    <xf numFmtId="164" fontId="4" fillId="7" borderId="1" xfId="1" applyNumberFormat="1" applyFont="1" applyFill="1" applyBorder="1"/>
    <xf numFmtId="0" fontId="7" fillId="3" borderId="2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/>
    <xf numFmtId="164" fontId="0" fillId="0" borderId="2" xfId="1" applyNumberFormat="1" applyFont="1" applyBorder="1"/>
    <xf numFmtId="10" fontId="5" fillId="0" borderId="3" xfId="0" applyNumberFormat="1" applyFont="1" applyBorder="1" applyAlignment="1">
      <alignment horizontal="left"/>
    </xf>
    <xf numFmtId="10" fontId="5" fillId="0" borderId="0" xfId="0" applyNumberFormat="1" applyFont="1" applyAlignment="1">
      <alignment horizontal="left"/>
    </xf>
    <xf numFmtId="0" fontId="5" fillId="0" borderId="1" xfId="0" applyFont="1" applyBorder="1"/>
    <xf numFmtId="2" fontId="5" fillId="0" borderId="0" xfId="0" applyNumberFormat="1" applyFont="1" applyAlignment="1">
      <alignment horizontal="left"/>
    </xf>
    <xf numFmtId="2" fontId="5" fillId="0" borderId="0" xfId="0" applyNumberFormat="1" applyFont="1"/>
    <xf numFmtId="164" fontId="5" fillId="0" borderId="3" xfId="0" applyNumberFormat="1" applyFont="1" applyBorder="1" applyAlignment="1">
      <alignment horizontal="left"/>
    </xf>
    <xf numFmtId="164" fontId="0" fillId="0" borderId="5" xfId="1" applyNumberFormat="1" applyFont="1" applyBorder="1"/>
    <xf numFmtId="0" fontId="7" fillId="0" borderId="2" xfId="0" applyFont="1" applyBorder="1" applyAlignment="1">
      <alignment horizontal="right"/>
    </xf>
    <xf numFmtId="0" fontId="7" fillId="0" borderId="4" xfId="0" applyFont="1" applyBorder="1"/>
    <xf numFmtId="0" fontId="4" fillId="5" borderId="8" xfId="0" applyFont="1" applyFill="1" applyBorder="1" applyAlignment="1">
      <alignment horizontal="right" wrapText="1"/>
    </xf>
    <xf numFmtId="164" fontId="4" fillId="5" borderId="8" xfId="0" applyNumberFormat="1" applyFont="1" applyFill="1" applyBorder="1"/>
    <xf numFmtId="0" fontId="5" fillId="0" borderId="6" xfId="0" applyFont="1" applyBorder="1"/>
    <xf numFmtId="10" fontId="5" fillId="0" borderId="6" xfId="3" applyNumberFormat="1" applyFont="1" applyBorder="1"/>
    <xf numFmtId="10" fontId="5" fillId="0" borderId="0" xfId="3" applyNumberFormat="1" applyFont="1" applyBorder="1"/>
    <xf numFmtId="164" fontId="5" fillId="0" borderId="0" xfId="1" applyNumberFormat="1" applyFont="1"/>
    <xf numFmtId="0" fontId="3" fillId="8" borderId="9" xfId="0" applyFont="1" applyFill="1" applyBorder="1"/>
    <xf numFmtId="164" fontId="5" fillId="8" borderId="9" xfId="0" applyNumberFormat="1" applyFont="1" applyFill="1" applyBorder="1"/>
    <xf numFmtId="0" fontId="3" fillId="0" borderId="0" xfId="0" applyFont="1"/>
    <xf numFmtId="164" fontId="5" fillId="0" borderId="0" xfId="1" applyNumberFormat="1" applyFont="1" applyBorder="1"/>
    <xf numFmtId="164" fontId="5" fillId="8" borderId="9" xfId="1" applyNumberFormat="1" applyFont="1" applyFill="1" applyBorder="1"/>
    <xf numFmtId="0" fontId="3" fillId="7" borderId="9" xfId="0" applyFont="1" applyFill="1" applyBorder="1"/>
    <xf numFmtId="43" fontId="4" fillId="7" borderId="9" xfId="1" applyFont="1" applyFill="1" applyBorder="1"/>
    <xf numFmtId="10" fontId="5" fillId="0" borderId="0" xfId="3" applyNumberFormat="1" applyFont="1" applyFill="1"/>
    <xf numFmtId="0" fontId="0" fillId="6" borderId="9" xfId="0" applyFill="1" applyBorder="1"/>
    <xf numFmtId="0" fontId="3" fillId="6" borderId="9" xfId="0" applyFont="1" applyFill="1" applyBorder="1"/>
    <xf numFmtId="41" fontId="5" fillId="9" borderId="0" xfId="0" applyNumberFormat="1" applyFont="1" applyFill="1"/>
    <xf numFmtId="41" fontId="5" fillId="10" borderId="0" xfId="0" applyNumberFormat="1" applyFont="1" applyFill="1"/>
    <xf numFmtId="0" fontId="1" fillId="6" borderId="9" xfId="0" applyFont="1" applyFill="1" applyBorder="1"/>
    <xf numFmtId="164" fontId="8" fillId="6" borderId="9" xfId="1" applyNumberFormat="1" applyFont="1" applyFill="1" applyBorder="1"/>
    <xf numFmtId="0" fontId="3" fillId="5" borderId="9" xfId="0" applyFont="1" applyFill="1" applyBorder="1"/>
    <xf numFmtId="43" fontId="4" fillId="5" borderId="9" xfId="1" applyFont="1" applyFill="1" applyBorder="1"/>
    <xf numFmtId="164" fontId="0" fillId="0" borderId="0" xfId="1" applyNumberFormat="1" applyFont="1"/>
    <xf numFmtId="43" fontId="5" fillId="0" borderId="0" xfId="1" applyFont="1"/>
    <xf numFmtId="0" fontId="11" fillId="0" borderId="0" xfId="0" applyFont="1"/>
    <xf numFmtId="167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44" fontId="0" fillId="0" borderId="0" xfId="2" applyFont="1"/>
    <xf numFmtId="168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0" applyNumberFormat="1"/>
    <xf numFmtId="0" fontId="0" fillId="2" borderId="0" xfId="0" applyFill="1"/>
    <xf numFmtId="0" fontId="12" fillId="0" borderId="0" xfId="0" applyFont="1" applyAlignment="1">
      <alignment horizontal="left"/>
    </xf>
    <xf numFmtId="0" fontId="0" fillId="8" borderId="0" xfId="0" applyFill="1" applyAlignment="1">
      <alignment horizontal="center"/>
    </xf>
    <xf numFmtId="169" fontId="5" fillId="0" borderId="3" xfId="0" applyNumberFormat="1" applyFont="1" applyBorder="1" applyAlignment="1">
      <alignment horizontal="left"/>
    </xf>
    <xf numFmtId="165" fontId="5" fillId="0" borderId="0" xfId="0" applyNumberFormat="1" applyFont="1"/>
    <xf numFmtId="10" fontId="5" fillId="0" borderId="0" xfId="3" applyNumberFormat="1" applyFont="1"/>
    <xf numFmtId="43" fontId="1" fillId="0" borderId="0" xfId="1" applyFont="1" applyAlignment="1">
      <alignment horizontal="left"/>
    </xf>
    <xf numFmtId="0" fontId="0" fillId="0" borderId="0" xfId="0" applyAlignment="1">
      <alignment horizontal="right"/>
    </xf>
    <xf numFmtId="10" fontId="0" fillId="0" borderId="0" xfId="3" applyNumberFormat="1" applyFont="1"/>
    <xf numFmtId="10" fontId="0" fillId="0" borderId="0" xfId="0" applyNumberFormat="1"/>
    <xf numFmtId="168" fontId="5" fillId="0" borderId="0" xfId="3" applyNumberFormat="1" applyFont="1"/>
    <xf numFmtId="0" fontId="13" fillId="0" borderId="0" xfId="4"/>
    <xf numFmtId="40" fontId="13" fillId="0" borderId="0" xfId="4" applyNumberFormat="1"/>
    <xf numFmtId="0" fontId="14" fillId="0" borderId="0" xfId="4" applyFont="1" applyAlignment="1">
      <alignment vertical="center"/>
    </xf>
    <xf numFmtId="0" fontId="15" fillId="0" borderId="0" xfId="4" applyFont="1"/>
    <xf numFmtId="0" fontId="16" fillId="0" borderId="0" xfId="4" applyFont="1" applyAlignment="1">
      <alignment vertical="center" wrapText="1"/>
    </xf>
    <xf numFmtId="170" fontId="17" fillId="0" borderId="13" xfId="4" applyNumberFormat="1" applyFont="1" applyBorder="1" applyAlignment="1">
      <alignment horizontal="center" vertical="center" wrapText="1"/>
    </xf>
    <xf numFmtId="0" fontId="18" fillId="0" borderId="13" xfId="4" applyFont="1" applyBorder="1" applyAlignment="1">
      <alignment vertical="center" wrapText="1"/>
    </xf>
    <xf numFmtId="170" fontId="17" fillId="0" borderId="14" xfId="4" applyNumberFormat="1" applyFont="1" applyBorder="1" applyAlignment="1">
      <alignment horizontal="center" vertical="center" wrapText="1"/>
    </xf>
    <xf numFmtId="0" fontId="18" fillId="0" borderId="14" xfId="4" applyFont="1" applyBorder="1" applyAlignment="1">
      <alignment vertical="center" wrapText="1"/>
    </xf>
    <xf numFmtId="170" fontId="17" fillId="0" borderId="15" xfId="4" applyNumberFormat="1" applyFont="1" applyBorder="1" applyAlignment="1">
      <alignment horizontal="center" vertical="center" wrapText="1"/>
    </xf>
    <xf numFmtId="171" fontId="17" fillId="0" borderId="15" xfId="4" applyNumberFormat="1" applyFont="1" applyBorder="1" applyAlignment="1">
      <alignment horizontal="center" vertical="center" wrapText="1"/>
    </xf>
    <xf numFmtId="0" fontId="18" fillId="0" borderId="15" xfId="4" applyFont="1" applyBorder="1" applyAlignment="1">
      <alignment vertical="center" wrapText="1"/>
    </xf>
    <xf numFmtId="170" fontId="17" fillId="0" borderId="16" xfId="4" applyNumberFormat="1" applyFont="1" applyBorder="1" applyAlignment="1">
      <alignment horizontal="center" vertical="center" wrapText="1"/>
    </xf>
    <xf numFmtId="0" fontId="17" fillId="0" borderId="17" xfId="4" applyFont="1" applyBorder="1" applyAlignment="1">
      <alignment vertical="center" wrapText="1"/>
    </xf>
    <xf numFmtId="171" fontId="17" fillId="0" borderId="16" xfId="4" applyNumberFormat="1" applyFont="1" applyBorder="1" applyAlignment="1">
      <alignment horizontal="center" vertical="center" wrapText="1"/>
    </xf>
    <xf numFmtId="0" fontId="17" fillId="0" borderId="16" xfId="4" applyFont="1" applyBorder="1" applyAlignment="1">
      <alignment vertical="center" wrapText="1"/>
    </xf>
    <xf numFmtId="170" fontId="13" fillId="0" borderId="0" xfId="4" applyNumberFormat="1"/>
    <xf numFmtId="171" fontId="17" fillId="0" borderId="18" xfId="4" applyNumberFormat="1" applyFont="1" applyBorder="1" applyAlignment="1">
      <alignment horizontal="center" vertical="center" wrapText="1"/>
    </xf>
    <xf numFmtId="0" fontId="18" fillId="11" borderId="15" xfId="4" applyFont="1" applyFill="1" applyBorder="1" applyAlignment="1">
      <alignment vertical="center" wrapText="1"/>
    </xf>
    <xf numFmtId="0" fontId="18" fillId="0" borderId="0" xfId="4" applyFont="1" applyAlignment="1">
      <alignment horizontal="justify" vertical="center" wrapText="1"/>
    </xf>
    <xf numFmtId="0" fontId="18" fillId="0" borderId="0" xfId="4" applyFont="1" applyAlignment="1">
      <alignment vertical="center" wrapText="1"/>
    </xf>
    <xf numFmtId="0" fontId="13" fillId="0" borderId="0" xfId="4" applyAlignment="1">
      <alignment horizontal="center"/>
    </xf>
    <xf numFmtId="0" fontId="18" fillId="11" borderId="15" xfId="4" applyFont="1" applyFill="1" applyBorder="1" applyAlignment="1">
      <alignment horizontal="center" vertical="center" wrapText="1"/>
    </xf>
    <xf numFmtId="0" fontId="18" fillId="0" borderId="0" xfId="4" applyFont="1" applyAlignment="1">
      <alignment horizontal="center" vertical="center" wrapText="1"/>
    </xf>
    <xf numFmtId="172" fontId="17" fillId="0" borderId="13" xfId="4" applyNumberFormat="1" applyFont="1" applyBorder="1" applyAlignment="1">
      <alignment horizontal="center" vertical="center" wrapText="1"/>
    </xf>
    <xf numFmtId="173" fontId="13" fillId="0" borderId="0" xfId="4" applyNumberFormat="1"/>
    <xf numFmtId="0" fontId="18" fillId="11" borderId="9" xfId="4" applyFont="1" applyFill="1" applyBorder="1" applyAlignment="1">
      <alignment vertical="center" wrapText="1"/>
    </xf>
    <xf numFmtId="170" fontId="17" fillId="0" borderId="18" xfId="4" applyNumberFormat="1" applyFont="1" applyBorder="1" applyAlignment="1">
      <alignment horizontal="center" vertical="center" wrapText="1"/>
    </xf>
    <xf numFmtId="0" fontId="17" fillId="0" borderId="18" xfId="4" applyFont="1" applyBorder="1" applyAlignment="1">
      <alignment vertical="center" wrapText="1"/>
    </xf>
    <xf numFmtId="0" fontId="18" fillId="11" borderId="10" xfId="4" applyFont="1" applyFill="1" applyBorder="1" applyAlignment="1">
      <alignment vertical="center" wrapText="1"/>
    </xf>
    <xf numFmtId="0" fontId="18" fillId="11" borderId="19" xfId="4" applyFont="1" applyFill="1" applyBorder="1" applyAlignment="1">
      <alignment vertical="center" wrapText="1"/>
    </xf>
    <xf numFmtId="0" fontId="17" fillId="0" borderId="0" xfId="4" applyFont="1" applyAlignment="1">
      <alignment vertical="center" wrapText="1"/>
    </xf>
    <xf numFmtId="0" fontId="18" fillId="0" borderId="20" xfId="4" applyFont="1" applyBorder="1" applyAlignment="1">
      <alignment vertical="center" wrapText="1"/>
    </xf>
    <xf numFmtId="170" fontId="17" fillId="0" borderId="17" xfId="4" applyNumberFormat="1" applyFont="1" applyBorder="1" applyAlignment="1">
      <alignment horizontal="center" vertical="center" wrapText="1"/>
    </xf>
    <xf numFmtId="0" fontId="18" fillId="11" borderId="21" xfId="4" applyFont="1" applyFill="1" applyBorder="1" applyAlignment="1">
      <alignment horizontal="center" vertical="center" wrapText="1"/>
    </xf>
    <xf numFmtId="0" fontId="18" fillId="11" borderId="22" xfId="4" applyFont="1" applyFill="1" applyBorder="1" applyAlignment="1">
      <alignment horizontal="center" vertical="center" wrapText="1"/>
    </xf>
    <xf numFmtId="0" fontId="18" fillId="11" borderId="23" xfId="4" applyFont="1" applyFill="1" applyBorder="1" applyAlignment="1">
      <alignment horizontal="right" vertical="center" wrapText="1" indent="4"/>
    </xf>
    <xf numFmtId="0" fontId="19" fillId="0" borderId="0" xfId="4" applyFont="1"/>
    <xf numFmtId="0" fontId="17" fillId="0" borderId="0" xfId="4" applyFont="1" applyAlignment="1">
      <alignment vertical="center"/>
    </xf>
    <xf numFmtId="170" fontId="18" fillId="0" borderId="0" xfId="4" applyNumberFormat="1" applyFont="1" applyAlignment="1">
      <alignment vertical="center" wrapText="1"/>
    </xf>
    <xf numFmtId="170" fontId="18" fillId="0" borderId="20" xfId="4" applyNumberFormat="1" applyFont="1" applyBorder="1" applyAlignment="1">
      <alignment horizontal="center" vertical="center" wrapText="1"/>
    </xf>
    <xf numFmtId="174" fontId="20" fillId="0" borderId="24" xfId="4" applyNumberFormat="1" applyFont="1" applyBorder="1"/>
    <xf numFmtId="174" fontId="20" fillId="0" borderId="25" xfId="4" applyNumberFormat="1" applyFont="1" applyBorder="1"/>
    <xf numFmtId="174" fontId="20" fillId="0" borderId="11" xfId="4" applyNumberFormat="1" applyFont="1" applyBorder="1"/>
    <xf numFmtId="174" fontId="20" fillId="0" borderId="26" xfId="4" applyNumberFormat="1" applyFont="1" applyBorder="1"/>
    <xf numFmtId="174" fontId="20" fillId="0" borderId="20" xfId="4" applyNumberFormat="1" applyFont="1" applyBorder="1"/>
    <xf numFmtId="174" fontId="21" fillId="12" borderId="27" xfId="4" applyNumberFormat="1" applyFont="1" applyFill="1" applyBorder="1"/>
    <xf numFmtId="170" fontId="20" fillId="0" borderId="20" xfId="4" applyNumberFormat="1" applyFont="1" applyBorder="1" applyAlignment="1">
      <alignment horizontal="right"/>
    </xf>
    <xf numFmtId="170" fontId="13" fillId="0" borderId="26" xfId="4" applyNumberFormat="1" applyBorder="1"/>
    <xf numFmtId="170" fontId="13" fillId="0" borderId="20" xfId="4" applyNumberFormat="1" applyBorder="1"/>
    <xf numFmtId="170" fontId="20" fillId="0" borderId="27" xfId="4" applyNumberFormat="1" applyFont="1" applyBorder="1"/>
    <xf numFmtId="0" fontId="22" fillId="0" borderId="0" xfId="4" applyFont="1"/>
    <xf numFmtId="0" fontId="18" fillId="0" borderId="0" xfId="4" applyFont="1" applyAlignment="1">
      <alignment vertical="center"/>
    </xf>
    <xf numFmtId="0" fontId="23" fillId="0" borderId="0" xfId="4" applyFont="1"/>
    <xf numFmtId="0" fontId="24" fillId="0" borderId="0" xfId="4" applyFont="1"/>
    <xf numFmtId="0" fontId="20" fillId="13" borderId="0" xfId="4" applyFont="1" applyFill="1"/>
    <xf numFmtId="0" fontId="25" fillId="13" borderId="0" xfId="4" applyFont="1" applyFill="1"/>
    <xf numFmtId="0" fontId="25" fillId="14" borderId="0" xfId="4" applyFont="1" applyFill="1"/>
    <xf numFmtId="171" fontId="17" fillId="0" borderId="13" xfId="4" applyNumberFormat="1" applyFont="1" applyBorder="1" applyAlignment="1">
      <alignment horizontal="center" vertical="center" wrapText="1"/>
    </xf>
    <xf numFmtId="9" fontId="26" fillId="0" borderId="0" xfId="5" applyFont="1"/>
    <xf numFmtId="170" fontId="17" fillId="0" borderId="13" xfId="4" applyNumberFormat="1" applyFont="1" applyBorder="1" applyAlignment="1">
      <alignment vertical="center" wrapText="1"/>
    </xf>
    <xf numFmtId="0" fontId="17" fillId="0" borderId="13" xfId="4" applyFont="1" applyBorder="1" applyAlignment="1">
      <alignment vertical="center" wrapText="1"/>
    </xf>
    <xf numFmtId="0" fontId="26" fillId="0" borderId="0" xfId="4" applyFont="1"/>
    <xf numFmtId="172" fontId="17" fillId="0" borderId="16" xfId="4" applyNumberFormat="1" applyFont="1" applyBorder="1" applyAlignment="1">
      <alignment vertical="center" wrapText="1"/>
    </xf>
    <xf numFmtId="170" fontId="17" fillId="0" borderId="16" xfId="4" applyNumberFormat="1" applyFont="1" applyBorder="1" applyAlignment="1">
      <alignment vertical="center" wrapText="1"/>
    </xf>
    <xf numFmtId="170" fontId="26" fillId="0" borderId="0" xfId="4" applyNumberFormat="1" applyFont="1"/>
    <xf numFmtId="0" fontId="17" fillId="0" borderId="16" xfId="4" applyFont="1" applyBorder="1" applyAlignment="1">
      <alignment horizontal="right" vertical="center" wrapText="1"/>
    </xf>
    <xf numFmtId="170" fontId="17" fillId="0" borderId="18" xfId="4" applyNumberFormat="1" applyFont="1" applyBorder="1" applyAlignment="1">
      <alignment vertical="center" wrapText="1"/>
    </xf>
    <xf numFmtId="0" fontId="17" fillId="0" borderId="24" xfId="4" applyFont="1" applyBorder="1" applyAlignment="1">
      <alignment horizontal="right" vertical="center" wrapText="1"/>
    </xf>
    <xf numFmtId="0" fontId="17" fillId="0" borderId="25" xfId="4" applyFont="1" applyBorder="1" applyAlignment="1">
      <alignment horizontal="right" vertical="center" wrapText="1"/>
    </xf>
    <xf numFmtId="0" fontId="17" fillId="0" borderId="11" xfId="4" applyFont="1" applyBorder="1" applyAlignment="1">
      <alignment horizontal="right" vertical="center" wrapText="1"/>
    </xf>
    <xf numFmtId="0" fontId="17" fillId="0" borderId="26" xfId="4" applyFont="1" applyBorder="1" applyAlignment="1">
      <alignment horizontal="right" vertical="center" wrapText="1"/>
    </xf>
    <xf numFmtId="0" fontId="17" fillId="0" borderId="20" xfId="4" applyFont="1" applyBorder="1" applyAlignment="1">
      <alignment horizontal="right" vertical="center" wrapText="1"/>
    </xf>
    <xf numFmtId="0" fontId="17" fillId="0" borderId="27" xfId="4" applyFont="1" applyBorder="1" applyAlignment="1">
      <alignment horizontal="right" vertical="center" wrapText="1"/>
    </xf>
    <xf numFmtId="170" fontId="27" fillId="0" borderId="0" xfId="4" applyNumberFormat="1" applyFont="1"/>
    <xf numFmtId="170" fontId="28" fillId="0" borderId="0" xfId="4" quotePrefix="1" applyNumberFormat="1" applyFont="1"/>
    <xf numFmtId="170" fontId="29" fillId="0" borderId="0" xfId="4" quotePrefix="1" applyNumberFormat="1" applyFont="1"/>
    <xf numFmtId="10" fontId="26" fillId="0" borderId="0" xfId="5" applyNumberFormat="1" applyFont="1"/>
    <xf numFmtId="0" fontId="18" fillId="0" borderId="0" xfId="4" quotePrefix="1" applyFont="1" applyAlignment="1">
      <alignment horizontal="left" vertical="center"/>
    </xf>
    <xf numFmtId="0" fontId="17" fillId="12" borderId="27" xfId="4" applyFont="1" applyFill="1" applyBorder="1" applyAlignment="1">
      <alignment horizontal="right" vertical="center" wrapText="1"/>
    </xf>
    <xf numFmtId="170" fontId="29" fillId="0" borderId="0" xfId="4" applyNumberFormat="1" applyFont="1"/>
    <xf numFmtId="164" fontId="5" fillId="0" borderId="5" xfId="1" applyNumberFormat="1" applyFont="1" applyFill="1" applyBorder="1"/>
    <xf numFmtId="166" fontId="5" fillId="0" borderId="0" xfId="3" applyNumberFormat="1" applyFont="1"/>
    <xf numFmtId="175" fontId="5" fillId="0" borderId="0" xfId="0" applyNumberFormat="1" applyFont="1"/>
    <xf numFmtId="164" fontId="31" fillId="5" borderId="8" xfId="0" applyNumberFormat="1" applyFont="1" applyFill="1" applyBorder="1"/>
    <xf numFmtId="164" fontId="5" fillId="10" borderId="5" xfId="1" applyNumberFormat="1" applyFont="1" applyFill="1" applyBorder="1"/>
    <xf numFmtId="43" fontId="5" fillId="10" borderId="2" xfId="1" applyFont="1" applyFill="1" applyBorder="1"/>
    <xf numFmtId="43" fontId="4" fillId="0" borderId="7" xfId="1" applyFont="1" applyFill="1" applyBorder="1"/>
    <xf numFmtId="43" fontId="4" fillId="10" borderId="6" xfId="1" applyFont="1" applyFill="1" applyBorder="1"/>
    <xf numFmtId="43" fontId="4" fillId="10" borderId="2" xfId="1" applyFont="1" applyFill="1" applyBorder="1"/>
    <xf numFmtId="43" fontId="4" fillId="10" borderId="7" xfId="1" applyFont="1" applyFill="1" applyBorder="1"/>
    <xf numFmtId="43" fontId="4" fillId="8" borderId="1" xfId="1" applyFont="1" applyFill="1" applyBorder="1"/>
    <xf numFmtId="164" fontId="5" fillId="15" borderId="2" xfId="1" applyNumberFormat="1" applyFont="1" applyFill="1" applyBorder="1"/>
    <xf numFmtId="164" fontId="0" fillId="15" borderId="2" xfId="1" applyNumberFormat="1" applyFont="1" applyFill="1" applyBorder="1"/>
    <xf numFmtId="172" fontId="17" fillId="0" borderId="16" xfId="4" applyNumberFormat="1" applyFont="1" applyBorder="1" applyAlignment="1">
      <alignment horizontal="center" vertical="center" wrapText="1"/>
    </xf>
    <xf numFmtId="38" fontId="17" fillId="0" borderId="16" xfId="4" applyNumberFormat="1" applyFont="1" applyBorder="1" applyAlignment="1">
      <alignment vertical="center" wrapText="1"/>
    </xf>
    <xf numFmtId="0" fontId="30" fillId="0" borderId="0" xfId="4" applyFont="1" applyAlignment="1">
      <alignment horizontal="left" vertical="top" wrapText="1"/>
    </xf>
    <xf numFmtId="0" fontId="17" fillId="0" borderId="33" xfId="4" applyFont="1" applyBorder="1" applyAlignment="1">
      <alignment horizontal="center" vertical="center" wrapText="1"/>
    </xf>
    <xf numFmtId="0" fontId="17" fillId="0" borderId="29" xfId="4" applyFont="1" applyBorder="1" applyAlignment="1">
      <alignment horizontal="center" vertical="center" wrapText="1"/>
    </xf>
    <xf numFmtId="0" fontId="17" fillId="0" borderId="28" xfId="4" applyFont="1" applyBorder="1" applyAlignment="1">
      <alignment horizontal="center" vertical="center" wrapText="1"/>
    </xf>
    <xf numFmtId="0" fontId="17" fillId="0" borderId="32" xfId="4" applyFont="1" applyBorder="1" applyAlignment="1">
      <alignment horizontal="center" vertical="center" wrapText="1"/>
    </xf>
    <xf numFmtId="0" fontId="17" fillId="0" borderId="31" xfId="4" applyFont="1" applyBorder="1" applyAlignment="1">
      <alignment horizontal="center" vertical="center" wrapText="1"/>
    </xf>
    <xf numFmtId="0" fontId="17" fillId="0" borderId="30" xfId="4" applyFont="1" applyBorder="1" applyAlignment="1">
      <alignment horizontal="center" vertical="center" wrapText="1"/>
    </xf>
    <xf numFmtId="171" fontId="17" fillId="0" borderId="17" xfId="4" applyNumberFormat="1" applyFont="1" applyBorder="1" applyAlignment="1">
      <alignment horizontal="center" vertical="center" wrapText="1"/>
    </xf>
    <xf numFmtId="171" fontId="17" fillId="0" borderId="18" xfId="4" applyNumberFormat="1" applyFont="1" applyBorder="1" applyAlignment="1">
      <alignment horizontal="center" vertical="center" wrapText="1"/>
    </xf>
    <xf numFmtId="170" fontId="17" fillId="0" borderId="16" xfId="4" applyNumberFormat="1" applyFont="1" applyBorder="1" applyAlignment="1">
      <alignment horizontal="center" vertical="center" wrapText="1"/>
    </xf>
    <xf numFmtId="171" fontId="17" fillId="0" borderId="16" xfId="4" applyNumberFormat="1" applyFont="1" applyBorder="1" applyAlignment="1">
      <alignment horizontal="center" vertical="center" wrapText="1"/>
    </xf>
    <xf numFmtId="0" fontId="17" fillId="0" borderId="17" xfId="4" applyFont="1" applyBorder="1" applyAlignment="1">
      <alignment horizontal="left" vertical="center" wrapText="1"/>
    </xf>
    <xf numFmtId="0" fontId="17" fillId="0" borderId="18" xfId="4" applyFont="1" applyBorder="1" applyAlignment="1">
      <alignment horizontal="left" vertical="center" wrapText="1"/>
    </xf>
    <xf numFmtId="0" fontId="18" fillId="11" borderId="19" xfId="4" applyFont="1" applyFill="1" applyBorder="1" applyAlignment="1">
      <alignment horizontal="left" vertical="center" wrapText="1"/>
    </xf>
    <xf numFmtId="0" fontId="18" fillId="11" borderId="9" xfId="4" applyFont="1" applyFill="1" applyBorder="1" applyAlignment="1">
      <alignment horizontal="left" vertical="center" wrapText="1"/>
    </xf>
    <xf numFmtId="0" fontId="18" fillId="11" borderId="10" xfId="4" applyFont="1" applyFill="1" applyBorder="1" applyAlignment="1">
      <alignment horizontal="left" vertical="center" wrapText="1"/>
    </xf>
  </cellXfs>
  <cellStyles count="6">
    <cellStyle name="Comma" xfId="1" builtinId="3"/>
    <cellStyle name="Currency" xfId="2" builtinId="4"/>
    <cellStyle name="Normal" xfId="0" builtinId="0"/>
    <cellStyle name="Normal 2" xfId="4"/>
    <cellStyle name="Percent" xfId="3" builtinId="5"/>
    <cellStyle name="Percent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.Padron\Work%20Folders\Desktop\Budgets%20(2.0)\5-Year%20Budgets\Nevada\YWLA\YWLA%20-%206-Year%20-%2011.14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22"/>
      <sheetName val="22-23"/>
      <sheetName val="23-24"/>
      <sheetName val="24-25"/>
      <sheetName val="25-26"/>
      <sheetName val="26-27"/>
      <sheetName val="27-28"/>
      <sheetName val="6-Year (auto-populated)"/>
      <sheetName val="FFE Summary"/>
      <sheetName val="enrollment"/>
      <sheetName val="lease projections"/>
      <sheetName val="Funding History"/>
      <sheetName val="Staffing Narrative"/>
      <sheetName val="Cash Flow"/>
      <sheetName val="YWLA Year 1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D5">
            <v>58</v>
          </cell>
          <cell r="E5">
            <v>300</v>
          </cell>
          <cell r="F5">
            <v>450</v>
          </cell>
          <cell r="G5">
            <v>540</v>
          </cell>
          <cell r="H5">
            <v>570</v>
          </cell>
          <cell r="I5">
            <v>600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Whitney McIntosh" id="{86D7C6C6-4B77-4D19-91D7-059C9333D6B1}" userId="S::wmcintosh@ywlalv.org::a52fbb12-0fee-456f-a27f-98d8a6e9726c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1" dT="2023-06-21T00:22:02.79" personId="{86D7C6C6-4B77-4D19-91D7-059C9333D6B1}" id="{B4862344-7288-4608-8509-EF042BCE1755}">
    <text xml:space="preserve">Add an additional column with a baseline budget of the additional 2 teachers for 8th grade. </text>
  </threadedComment>
  <threadedComment ref="L1" dT="2023-06-21T00:22:43.17" personId="{86D7C6C6-4B77-4D19-91D7-059C9333D6B1}" id="{2929521D-A0BC-46A5-87E8-005707658A8C}" parentId="{B4862344-7288-4608-8509-EF042BCE1755}">
    <text xml:space="preserve">Have matt run an updated based line with then 8th grade and then update the dream budget.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2"/>
  <sheetViews>
    <sheetView topLeftCell="A96" zoomScale="80" zoomScaleNormal="80" workbookViewId="0">
      <selection activeCell="D130" sqref="D130"/>
    </sheetView>
  </sheetViews>
  <sheetFormatPr defaultColWidth="8.7109375" defaultRowHeight="15" x14ac:dyDescent="0.25"/>
  <cols>
    <col min="1" max="1" width="56.5703125" style="10" customWidth="1"/>
    <col min="2" max="9" width="15.7109375" style="112" customWidth="1"/>
    <col min="10" max="10" width="49.5703125" style="18" bestFit="1" customWidth="1"/>
    <col min="11" max="11" width="6.5703125" style="18" customWidth="1"/>
    <col min="12" max="12" width="16.85546875" style="112" customWidth="1"/>
    <col min="13" max="13" width="6.5703125" style="18" customWidth="1"/>
    <col min="14" max="14" width="15.7109375" style="112" customWidth="1"/>
    <col min="15" max="16384" width="8.7109375" style="10"/>
  </cols>
  <sheetData>
    <row r="1" spans="1:19" s="5" customFormat="1" x14ac:dyDescent="0.25">
      <c r="A1" s="1" t="s">
        <v>243</v>
      </c>
      <c r="B1" s="1" t="s">
        <v>0</v>
      </c>
      <c r="C1" s="1" t="s">
        <v>1</v>
      </c>
      <c r="D1" s="1" t="s">
        <v>2</v>
      </c>
      <c r="E1" s="1" t="s">
        <v>340</v>
      </c>
      <c r="F1" s="1" t="s">
        <v>3</v>
      </c>
      <c r="G1" s="1" t="s">
        <v>4</v>
      </c>
      <c r="H1" s="1" t="s">
        <v>5</v>
      </c>
      <c r="I1" s="1" t="s">
        <v>6</v>
      </c>
      <c r="J1" s="2"/>
      <c r="K1" s="2"/>
      <c r="L1" s="1" t="s">
        <v>346</v>
      </c>
      <c r="M1" s="2"/>
      <c r="N1" s="1" t="s">
        <v>7</v>
      </c>
      <c r="O1" s="3">
        <v>21</v>
      </c>
      <c r="P1" s="4" t="s">
        <v>8</v>
      </c>
      <c r="Q1" s="5" t="s">
        <v>9</v>
      </c>
      <c r="R1" s="5" t="s">
        <v>0</v>
      </c>
      <c r="S1" s="2" t="s">
        <v>10</v>
      </c>
    </row>
    <row r="2" spans="1:19" x14ac:dyDescent="0.25">
      <c r="A2" s="6" t="s">
        <v>11</v>
      </c>
      <c r="B2" s="7">
        <v>8966</v>
      </c>
      <c r="C2" s="7"/>
      <c r="D2" s="7"/>
      <c r="E2" s="7"/>
      <c r="F2" s="7"/>
      <c r="G2" s="7"/>
      <c r="H2" s="7"/>
      <c r="I2" s="7">
        <f>SUM(B2:H2)</f>
        <v>8966</v>
      </c>
      <c r="J2" s="8"/>
      <c r="K2" s="9"/>
      <c r="L2" s="7">
        <v>8966</v>
      </c>
      <c r="M2" s="9"/>
      <c r="N2" s="7">
        <f>I2-L2</f>
        <v>0</v>
      </c>
    </row>
    <row r="3" spans="1:19" x14ac:dyDescent="0.25">
      <c r="A3" s="11" t="s">
        <v>12</v>
      </c>
      <c r="B3" s="12">
        <f t="shared" ref="B3" si="0">B4+B5+B6+B7+B8+B9+B10+B11+B12+B13+B14+B15+B16</f>
        <v>118</v>
      </c>
      <c r="C3" s="12"/>
      <c r="D3" s="12"/>
      <c r="E3" s="12"/>
      <c r="F3" s="12"/>
      <c r="G3" s="12"/>
      <c r="H3" s="12"/>
      <c r="I3" s="12">
        <f t="shared" ref="I3:I16" si="1">SUM(B3:H3)</f>
        <v>118</v>
      </c>
      <c r="J3" s="8"/>
      <c r="K3" s="9"/>
      <c r="L3" s="12">
        <v>138</v>
      </c>
      <c r="M3" s="9"/>
      <c r="N3" s="12">
        <f>SUM(N4:N16)</f>
        <v>-20</v>
      </c>
    </row>
    <row r="4" spans="1:19" x14ac:dyDescent="0.25">
      <c r="A4" s="13" t="s">
        <v>13</v>
      </c>
      <c r="B4" s="7">
        <v>0</v>
      </c>
      <c r="C4" s="14"/>
      <c r="D4" s="14"/>
      <c r="E4" s="14"/>
      <c r="F4" s="14"/>
      <c r="G4" s="14"/>
      <c r="H4" s="14"/>
      <c r="I4" s="14">
        <f t="shared" si="1"/>
        <v>0</v>
      </c>
      <c r="J4" s="15">
        <f>B4/25</f>
        <v>0</v>
      </c>
      <c r="K4" s="16"/>
      <c r="L4" s="14">
        <v>0</v>
      </c>
      <c r="M4" s="16">
        <f>L4/25</f>
        <v>0</v>
      </c>
      <c r="N4" s="14">
        <f>I4-L4</f>
        <v>0</v>
      </c>
    </row>
    <row r="5" spans="1:19" x14ac:dyDescent="0.25">
      <c r="A5" s="11" t="s">
        <v>14</v>
      </c>
      <c r="B5" s="7">
        <v>0</v>
      </c>
      <c r="C5" s="14"/>
      <c r="D5" s="14"/>
      <c r="E5" s="14"/>
      <c r="F5" s="14"/>
      <c r="G5" s="14"/>
      <c r="H5" s="14"/>
      <c r="I5" s="14">
        <f t="shared" si="1"/>
        <v>0</v>
      </c>
      <c r="J5" s="15">
        <f>B5/26</f>
        <v>0</v>
      </c>
      <c r="K5" s="16"/>
      <c r="L5" s="14">
        <v>0</v>
      </c>
      <c r="M5" s="16">
        <f t="shared" ref="M5" si="2">L5/25</f>
        <v>0</v>
      </c>
      <c r="N5" s="14">
        <f t="shared" ref="N5:N16" si="3">I5-L5</f>
        <v>0</v>
      </c>
    </row>
    <row r="6" spans="1:19" x14ac:dyDescent="0.25">
      <c r="A6" s="11" t="s">
        <v>15</v>
      </c>
      <c r="B6" s="7">
        <v>0</v>
      </c>
      <c r="C6" s="14"/>
      <c r="D6" s="14"/>
      <c r="E6" s="14"/>
      <c r="F6" s="14"/>
      <c r="G6" s="14"/>
      <c r="H6" s="14"/>
      <c r="I6" s="14">
        <f t="shared" si="1"/>
        <v>0</v>
      </c>
      <c r="J6" s="15">
        <f>B6/26</f>
        <v>0</v>
      </c>
      <c r="K6" s="16"/>
      <c r="L6" s="14">
        <v>0</v>
      </c>
      <c r="M6" s="16">
        <f>L6/26</f>
        <v>0</v>
      </c>
      <c r="N6" s="14">
        <f t="shared" si="3"/>
        <v>0</v>
      </c>
    </row>
    <row r="7" spans="1:19" x14ac:dyDescent="0.25">
      <c r="A7" s="17" t="s">
        <v>16</v>
      </c>
      <c r="B7" s="7">
        <v>0</v>
      </c>
      <c r="C7" s="14"/>
      <c r="D7" s="14"/>
      <c r="E7" s="14"/>
      <c r="F7" s="14"/>
      <c r="G7" s="14"/>
      <c r="H7" s="14"/>
      <c r="I7" s="14">
        <f t="shared" si="1"/>
        <v>0</v>
      </c>
      <c r="J7" s="15">
        <f>B7/26</f>
        <v>0</v>
      </c>
      <c r="K7" s="16"/>
      <c r="L7" s="14">
        <v>0</v>
      </c>
      <c r="M7" s="16">
        <f>L7/27</f>
        <v>0</v>
      </c>
      <c r="N7" s="14">
        <f t="shared" si="3"/>
        <v>0</v>
      </c>
    </row>
    <row r="8" spans="1:19" x14ac:dyDescent="0.25">
      <c r="A8" s="17" t="s">
        <v>17</v>
      </c>
      <c r="B8" s="7">
        <v>0</v>
      </c>
      <c r="C8" s="14"/>
      <c r="D8" s="14"/>
      <c r="E8" s="14"/>
      <c r="F8" s="14"/>
      <c r="G8" s="14"/>
      <c r="H8" s="14"/>
      <c r="I8" s="14">
        <f>SUM(B8:H8)</f>
        <v>0</v>
      </c>
      <c r="J8" s="15">
        <f>B8/27</f>
        <v>0</v>
      </c>
      <c r="K8" s="16"/>
      <c r="L8" s="14">
        <v>0</v>
      </c>
      <c r="M8" s="16">
        <f>L8/27</f>
        <v>0</v>
      </c>
      <c r="N8" s="14">
        <f t="shared" si="3"/>
        <v>0</v>
      </c>
    </row>
    <row r="9" spans="1:19" x14ac:dyDescent="0.25">
      <c r="A9" s="17" t="s">
        <v>18</v>
      </c>
      <c r="B9" s="7">
        <v>0</v>
      </c>
      <c r="C9" s="14"/>
      <c r="D9" s="14"/>
      <c r="E9" s="14"/>
      <c r="F9" s="14"/>
      <c r="G9" s="14"/>
      <c r="H9" s="14"/>
      <c r="I9" s="14">
        <f t="shared" si="1"/>
        <v>0</v>
      </c>
      <c r="J9" s="15">
        <f>B9/27</f>
        <v>0</v>
      </c>
      <c r="K9" s="16"/>
      <c r="L9" s="14">
        <v>0</v>
      </c>
      <c r="M9" s="16">
        <f>L9/31</f>
        <v>0</v>
      </c>
      <c r="N9" s="14">
        <f t="shared" si="3"/>
        <v>0</v>
      </c>
    </row>
    <row r="10" spans="1:19" x14ac:dyDescent="0.25">
      <c r="A10" s="17" t="s">
        <v>19</v>
      </c>
      <c r="B10" s="7">
        <v>30</v>
      </c>
      <c r="C10" s="7"/>
      <c r="D10" s="7"/>
      <c r="E10" s="7"/>
      <c r="F10" s="7"/>
      <c r="G10" s="7"/>
      <c r="H10" s="7"/>
      <c r="I10" s="14">
        <f t="shared" si="1"/>
        <v>30</v>
      </c>
      <c r="J10" s="15">
        <v>1</v>
      </c>
      <c r="K10" s="16"/>
      <c r="L10" s="14">
        <v>33</v>
      </c>
      <c r="M10" s="16">
        <v>1</v>
      </c>
      <c r="N10" s="14">
        <f t="shared" si="3"/>
        <v>-3</v>
      </c>
    </row>
    <row r="11" spans="1:19" x14ac:dyDescent="0.25">
      <c r="A11" s="17" t="s">
        <v>20</v>
      </c>
      <c r="B11" s="7">
        <v>40</v>
      </c>
      <c r="C11" s="7"/>
      <c r="D11" s="7"/>
      <c r="E11" s="7"/>
      <c r="F11" s="7"/>
      <c r="G11" s="7"/>
      <c r="H11" s="7"/>
      <c r="I11" s="14">
        <f t="shared" si="1"/>
        <v>40</v>
      </c>
      <c r="J11" s="15">
        <v>2</v>
      </c>
      <c r="K11" s="16"/>
      <c r="L11" s="14">
        <v>50</v>
      </c>
      <c r="M11" s="16">
        <v>2</v>
      </c>
      <c r="N11" s="14">
        <f t="shared" si="3"/>
        <v>-10</v>
      </c>
    </row>
    <row r="12" spans="1:19" x14ac:dyDescent="0.25">
      <c r="A12" s="17" t="s">
        <v>21</v>
      </c>
      <c r="B12" s="7">
        <v>25</v>
      </c>
      <c r="C12" s="7"/>
      <c r="D12" s="7"/>
      <c r="E12" s="7"/>
      <c r="F12" s="7"/>
      <c r="G12" s="7"/>
      <c r="H12" s="7"/>
      <c r="I12" s="14">
        <f t="shared" si="1"/>
        <v>25</v>
      </c>
      <c r="J12" s="15">
        <v>1</v>
      </c>
      <c r="K12" s="16"/>
      <c r="L12" s="14">
        <v>30</v>
      </c>
      <c r="M12" s="16">
        <v>1</v>
      </c>
      <c r="N12" s="14">
        <f t="shared" si="3"/>
        <v>-5</v>
      </c>
    </row>
    <row r="13" spans="1:19" x14ac:dyDescent="0.25">
      <c r="A13" s="17" t="s">
        <v>22</v>
      </c>
      <c r="B13" s="7">
        <v>12</v>
      </c>
      <c r="C13" s="7"/>
      <c r="D13" s="7"/>
      <c r="E13" s="7"/>
      <c r="F13" s="7"/>
      <c r="G13" s="7"/>
      <c r="H13" s="7"/>
      <c r="I13" s="14">
        <f t="shared" si="1"/>
        <v>12</v>
      </c>
      <c r="J13" s="15">
        <v>1</v>
      </c>
      <c r="L13" s="14">
        <v>11</v>
      </c>
      <c r="M13" s="16">
        <v>1</v>
      </c>
      <c r="N13" s="14">
        <f t="shared" si="3"/>
        <v>1</v>
      </c>
    </row>
    <row r="14" spans="1:19" x14ac:dyDescent="0.25">
      <c r="A14" s="17" t="s">
        <v>23</v>
      </c>
      <c r="B14" s="7">
        <v>11</v>
      </c>
      <c r="C14" s="7"/>
      <c r="D14" s="7"/>
      <c r="E14" s="7"/>
      <c r="F14" s="7"/>
      <c r="G14" s="7"/>
      <c r="H14" s="7"/>
      <c r="I14" s="14">
        <f t="shared" si="1"/>
        <v>11</v>
      </c>
      <c r="J14" s="15">
        <v>1</v>
      </c>
      <c r="L14" s="14">
        <v>14</v>
      </c>
      <c r="M14" s="16">
        <v>1</v>
      </c>
      <c r="N14" s="14">
        <f t="shared" si="3"/>
        <v>-3</v>
      </c>
    </row>
    <row r="15" spans="1:19" x14ac:dyDescent="0.25">
      <c r="A15" s="17" t="s">
        <v>24</v>
      </c>
      <c r="B15" s="7">
        <v>0</v>
      </c>
      <c r="C15" s="7"/>
      <c r="D15" s="7"/>
      <c r="E15" s="7"/>
      <c r="F15" s="7"/>
      <c r="G15" s="7"/>
      <c r="H15" s="7"/>
      <c r="I15" s="14">
        <f t="shared" si="1"/>
        <v>0</v>
      </c>
      <c r="J15" s="19"/>
      <c r="L15" s="14">
        <v>0</v>
      </c>
      <c r="N15" s="14">
        <f t="shared" si="3"/>
        <v>0</v>
      </c>
    </row>
    <row r="16" spans="1:19" x14ac:dyDescent="0.25">
      <c r="A16" s="17" t="s">
        <v>25</v>
      </c>
      <c r="B16" s="7">
        <v>0</v>
      </c>
      <c r="C16" s="7"/>
      <c r="D16" s="7"/>
      <c r="E16" s="7"/>
      <c r="F16" s="7"/>
      <c r="G16" s="7"/>
      <c r="H16" s="7"/>
      <c r="I16" s="14">
        <f t="shared" si="1"/>
        <v>0</v>
      </c>
      <c r="J16" s="19"/>
      <c r="L16" s="14">
        <v>0</v>
      </c>
      <c r="N16" s="14">
        <f t="shared" si="3"/>
        <v>0</v>
      </c>
    </row>
    <row r="17" spans="1:16" x14ac:dyDescent="0.25">
      <c r="A17" s="20" t="s">
        <v>12</v>
      </c>
      <c r="B17" s="12">
        <f t="shared" ref="B17:H17" si="4">SUM(B4:B16)</f>
        <v>118</v>
      </c>
      <c r="C17" s="12">
        <f t="shared" si="4"/>
        <v>0</v>
      </c>
      <c r="D17" s="12">
        <f t="shared" si="4"/>
        <v>0</v>
      </c>
      <c r="E17" s="12"/>
      <c r="F17" s="12">
        <f t="shared" si="4"/>
        <v>0</v>
      </c>
      <c r="G17" s="12">
        <f t="shared" si="4"/>
        <v>0</v>
      </c>
      <c r="H17" s="12">
        <f t="shared" si="4"/>
        <v>0</v>
      </c>
      <c r="I17" s="12">
        <f>SUM(I4:I16)</f>
        <v>118</v>
      </c>
      <c r="J17" s="15">
        <f>SUM(J4:J16)</f>
        <v>6</v>
      </c>
      <c r="K17" s="21"/>
      <c r="L17" s="12">
        <v>138</v>
      </c>
      <c r="M17" s="21"/>
      <c r="N17" s="12">
        <f>SUM(N4:N16)</f>
        <v>-20</v>
      </c>
    </row>
    <row r="18" spans="1:16" x14ac:dyDescent="0.25">
      <c r="A18" s="17"/>
      <c r="B18" s="7"/>
      <c r="C18" s="22"/>
      <c r="D18" s="22"/>
      <c r="E18" s="22"/>
      <c r="F18" s="22"/>
      <c r="G18" s="22"/>
      <c r="H18" s="22"/>
      <c r="I18" s="22"/>
      <c r="J18" s="10"/>
      <c r="K18" s="10"/>
      <c r="L18" s="22"/>
      <c r="M18" s="10"/>
      <c r="N18" s="22"/>
    </row>
    <row r="19" spans="1:16" x14ac:dyDescent="0.25">
      <c r="A19" s="23" t="s">
        <v>26</v>
      </c>
      <c r="B19" s="24" t="str">
        <f>B1</f>
        <v>Operating</v>
      </c>
      <c r="C19" s="24" t="str">
        <f>C1</f>
        <v>SPED</v>
      </c>
      <c r="D19" s="24" t="str">
        <f>D1</f>
        <v>NSLP</v>
      </c>
      <c r="E19" s="24" t="str">
        <f>E1</f>
        <v>CSP</v>
      </c>
      <c r="F19" s="24" t="str">
        <f t="shared" ref="F19:G19" si="5">F1</f>
        <v>Title I</v>
      </c>
      <c r="G19" s="24" t="str">
        <f t="shared" si="5"/>
        <v>Title II</v>
      </c>
      <c r="H19" s="24" t="str">
        <f>H1</f>
        <v>Title III</v>
      </c>
      <c r="I19" s="24" t="str">
        <f>I1</f>
        <v>Total (23-24)</v>
      </c>
      <c r="J19" s="25"/>
      <c r="K19" s="25"/>
      <c r="L19" s="24" t="s">
        <v>6</v>
      </c>
      <c r="M19" s="25"/>
      <c r="N19" s="24" t="str">
        <f>N1</f>
        <v>Variance</v>
      </c>
      <c r="O19" s="25"/>
    </row>
    <row r="20" spans="1:16" x14ac:dyDescent="0.25">
      <c r="A20" s="17" t="s">
        <v>27</v>
      </c>
      <c r="B20" s="7"/>
      <c r="C20" s="7">
        <v>7</v>
      </c>
      <c r="D20" s="7"/>
      <c r="E20" s="7"/>
      <c r="F20" s="7"/>
      <c r="G20" s="7"/>
      <c r="H20" s="7"/>
      <c r="I20" s="7">
        <f>SUM(B20:H20)</f>
        <v>7</v>
      </c>
      <c r="J20" s="26" t="s">
        <v>28</v>
      </c>
      <c r="K20" s="27"/>
      <c r="L20" s="7">
        <v>7</v>
      </c>
      <c r="M20" s="27"/>
      <c r="N20" s="7">
        <f>I20-L20</f>
        <v>0</v>
      </c>
      <c r="O20" s="28"/>
    </row>
    <row r="21" spans="1:16" x14ac:dyDescent="0.25">
      <c r="A21" s="17" t="s">
        <v>29</v>
      </c>
      <c r="B21" s="7">
        <v>5</v>
      </c>
      <c r="C21" s="7"/>
      <c r="D21" s="7"/>
      <c r="E21" s="7"/>
      <c r="F21" s="7"/>
      <c r="G21" s="7"/>
      <c r="H21" s="7"/>
      <c r="I21" s="7">
        <f>SUM(B21:H21)</f>
        <v>5</v>
      </c>
      <c r="J21" s="26"/>
      <c r="K21" s="27"/>
      <c r="L21" s="7">
        <v>5</v>
      </c>
      <c r="M21" s="27"/>
      <c r="N21" s="7">
        <f>I21-L21</f>
        <v>0</v>
      </c>
      <c r="O21" s="28"/>
    </row>
    <row r="22" spans="1:16" x14ac:dyDescent="0.25">
      <c r="A22" s="17" t="s">
        <v>30</v>
      </c>
      <c r="B22" s="14">
        <v>0</v>
      </c>
      <c r="C22" s="14"/>
      <c r="D22" s="14"/>
      <c r="E22" s="14"/>
      <c r="F22" s="14"/>
      <c r="G22" s="14"/>
      <c r="H22" s="14"/>
      <c r="I22" s="7">
        <f>SUM(B22:H22)</f>
        <v>0</v>
      </c>
      <c r="J22" s="19"/>
      <c r="L22" s="7">
        <v>0</v>
      </c>
      <c r="N22" s="7">
        <f>I22-L22</f>
        <v>0</v>
      </c>
    </row>
    <row r="23" spans="1:16" x14ac:dyDescent="0.25">
      <c r="A23" s="17" t="s">
        <v>352</v>
      </c>
      <c r="B23" s="7">
        <v>34</v>
      </c>
      <c r="C23" s="29"/>
      <c r="D23" s="29">
        <v>0.7097</v>
      </c>
      <c r="E23" s="29"/>
      <c r="F23" s="29"/>
      <c r="G23" s="29"/>
      <c r="H23" s="29"/>
      <c r="I23" s="29">
        <f>D23</f>
        <v>0.7097</v>
      </c>
      <c r="J23" s="30"/>
      <c r="K23" s="31"/>
      <c r="L23" s="29">
        <v>0.7097</v>
      </c>
      <c r="M23" s="31"/>
      <c r="N23" s="32">
        <f>I23-L23</f>
        <v>0</v>
      </c>
    </row>
    <row r="24" spans="1:16" x14ac:dyDescent="0.25">
      <c r="A24" s="17" t="s">
        <v>351</v>
      </c>
      <c r="B24" s="7">
        <v>0</v>
      </c>
      <c r="C24" s="7"/>
      <c r="D24" s="7"/>
      <c r="E24" s="7"/>
      <c r="F24" s="7"/>
      <c r="G24" s="7"/>
      <c r="H24" s="7"/>
      <c r="I24" s="7">
        <f>SUM(B24:H24)</f>
        <v>0</v>
      </c>
      <c r="J24" s="30"/>
      <c r="K24" s="31"/>
      <c r="L24" s="7">
        <v>0</v>
      </c>
      <c r="M24" s="31"/>
      <c r="N24" s="7">
        <f>I24-L24</f>
        <v>0</v>
      </c>
    </row>
    <row r="25" spans="1:16" x14ac:dyDescent="0.25">
      <c r="A25" s="17"/>
      <c r="B25" s="7"/>
      <c r="C25" s="7"/>
      <c r="D25" s="7"/>
      <c r="E25" s="7"/>
      <c r="F25" s="7"/>
      <c r="G25" s="7"/>
      <c r="H25" s="7"/>
      <c r="I25" s="7"/>
      <c r="J25" s="25"/>
      <c r="K25" s="10"/>
      <c r="L25" s="7"/>
      <c r="M25" s="10"/>
      <c r="N25" s="7"/>
    </row>
    <row r="26" spans="1:16" x14ac:dyDescent="0.25">
      <c r="A26" s="33" t="s">
        <v>32</v>
      </c>
      <c r="B26" s="24" t="str">
        <f>B1</f>
        <v>Operating</v>
      </c>
      <c r="C26" s="24" t="str">
        <f>C1</f>
        <v>SPED</v>
      </c>
      <c r="D26" s="24" t="str">
        <f>D1</f>
        <v>NSLP</v>
      </c>
      <c r="E26" s="24" t="str">
        <f>E1</f>
        <v>CSP</v>
      </c>
      <c r="F26" s="24" t="str">
        <f t="shared" ref="F26:G26" si="6">F1</f>
        <v>Title I</v>
      </c>
      <c r="G26" s="24" t="str">
        <f t="shared" si="6"/>
        <v>Title II</v>
      </c>
      <c r="H26" s="24" t="str">
        <f>H1</f>
        <v>Title III</v>
      </c>
      <c r="I26" s="24" t="str">
        <f>I1</f>
        <v>Total (23-24)</v>
      </c>
      <c r="J26" s="25"/>
      <c r="K26" s="25"/>
      <c r="L26" s="24" t="s">
        <v>6</v>
      </c>
      <c r="M26" s="25"/>
      <c r="N26" s="24" t="str">
        <f>N1</f>
        <v>Variance</v>
      </c>
      <c r="O26" s="4"/>
      <c r="P26" s="4"/>
    </row>
    <row r="27" spans="1:16" x14ac:dyDescent="0.25">
      <c r="A27" s="34" t="s">
        <v>33</v>
      </c>
      <c r="B27" s="35">
        <v>6</v>
      </c>
      <c r="C27" s="35"/>
      <c r="D27" s="35"/>
      <c r="E27" s="35"/>
      <c r="F27" s="35"/>
      <c r="G27" s="35"/>
      <c r="H27" s="35"/>
      <c r="I27" s="35">
        <f>SUM(B27:H27)</f>
        <v>6</v>
      </c>
      <c r="J27" s="15">
        <f>I27/6</f>
        <v>1</v>
      </c>
      <c r="K27" s="16"/>
      <c r="L27" s="35">
        <v>6</v>
      </c>
      <c r="M27" s="16"/>
      <c r="N27" s="236">
        <f>I27-L27</f>
        <v>0</v>
      </c>
      <c r="P27" s="36"/>
    </row>
    <row r="28" spans="1:16" x14ac:dyDescent="0.25">
      <c r="A28" s="34" t="s">
        <v>34</v>
      </c>
      <c r="B28" s="37">
        <v>0</v>
      </c>
      <c r="C28" s="37">
        <v>1</v>
      </c>
      <c r="D28" s="37"/>
      <c r="E28" s="37"/>
      <c r="F28" s="37"/>
      <c r="G28" s="37"/>
      <c r="H28" s="37"/>
      <c r="I28" s="35">
        <f>SUM(B28:H28)</f>
        <v>1</v>
      </c>
      <c r="J28" s="15">
        <f>I20/21</f>
        <v>0.33333333333333331</v>
      </c>
      <c r="K28" s="16"/>
      <c r="L28" s="35">
        <v>1</v>
      </c>
      <c r="M28" s="16"/>
      <c r="N28" s="35">
        <f t="shared" ref="N28:N35" si="7">I28-L28</f>
        <v>0</v>
      </c>
      <c r="P28" s="36"/>
    </row>
    <row r="29" spans="1:16" x14ac:dyDescent="0.25">
      <c r="A29" s="34" t="s">
        <v>35</v>
      </c>
      <c r="B29" s="35">
        <v>0</v>
      </c>
      <c r="C29" s="35"/>
      <c r="D29" s="35"/>
      <c r="E29" s="35"/>
      <c r="F29" s="35"/>
      <c r="G29" s="35"/>
      <c r="H29" s="35"/>
      <c r="I29" s="35">
        <f t="shared" ref="I29:I35" si="8">SUM(B29:H29)</f>
        <v>0</v>
      </c>
      <c r="J29" s="19"/>
      <c r="L29" s="35">
        <v>0</v>
      </c>
      <c r="N29" s="35">
        <f>I29-L29</f>
        <v>0</v>
      </c>
      <c r="P29" s="36"/>
    </row>
    <row r="30" spans="1:16" x14ac:dyDescent="0.25">
      <c r="A30" s="34" t="s">
        <v>36</v>
      </c>
      <c r="B30" s="35">
        <v>0</v>
      </c>
      <c r="C30" s="35"/>
      <c r="D30" s="35"/>
      <c r="E30" s="35"/>
      <c r="F30" s="35"/>
      <c r="G30" s="35"/>
      <c r="H30" s="35"/>
      <c r="I30" s="35">
        <f t="shared" si="8"/>
        <v>0</v>
      </c>
      <c r="J30" s="19"/>
      <c r="L30" s="35">
        <v>0</v>
      </c>
      <c r="N30" s="35">
        <f t="shared" si="7"/>
        <v>0</v>
      </c>
      <c r="P30" s="36"/>
    </row>
    <row r="31" spans="1:16" x14ac:dyDescent="0.25">
      <c r="A31" s="34" t="s">
        <v>37</v>
      </c>
      <c r="B31" s="35">
        <v>0</v>
      </c>
      <c r="C31" s="35"/>
      <c r="D31" s="35"/>
      <c r="E31" s="35"/>
      <c r="F31" s="35"/>
      <c r="G31" s="35"/>
      <c r="H31" s="35"/>
      <c r="I31" s="35">
        <f t="shared" si="8"/>
        <v>0</v>
      </c>
      <c r="J31" s="19"/>
      <c r="L31" s="35">
        <v>0</v>
      </c>
      <c r="N31" s="35">
        <f t="shared" si="7"/>
        <v>0</v>
      </c>
      <c r="P31" s="38"/>
    </row>
    <row r="32" spans="1:16" x14ac:dyDescent="0.25">
      <c r="A32" s="39" t="s">
        <v>38</v>
      </c>
      <c r="B32" s="35">
        <v>0</v>
      </c>
      <c r="C32" s="35"/>
      <c r="D32" s="35"/>
      <c r="E32" s="35"/>
      <c r="F32" s="35"/>
      <c r="G32" s="35"/>
      <c r="H32" s="35"/>
      <c r="I32" s="35">
        <f t="shared" si="8"/>
        <v>0</v>
      </c>
      <c r="J32" s="19"/>
      <c r="L32" s="35">
        <v>0</v>
      </c>
      <c r="N32" s="35">
        <f>I32-L32</f>
        <v>0</v>
      </c>
      <c r="P32" s="38"/>
    </row>
    <row r="33" spans="1:16" x14ac:dyDescent="0.25">
      <c r="A33" s="39" t="s">
        <v>39</v>
      </c>
      <c r="B33" s="35">
        <v>0</v>
      </c>
      <c r="C33" s="35"/>
      <c r="D33" s="35"/>
      <c r="E33" s="35"/>
      <c r="F33" s="35"/>
      <c r="G33" s="35"/>
      <c r="H33" s="35"/>
      <c r="I33" s="35">
        <f t="shared" si="8"/>
        <v>0</v>
      </c>
      <c r="J33" s="19"/>
      <c r="L33" s="35">
        <v>0</v>
      </c>
      <c r="N33" s="35">
        <f t="shared" si="7"/>
        <v>0</v>
      </c>
      <c r="P33" s="38"/>
    </row>
    <row r="34" spans="1:16" x14ac:dyDescent="0.25">
      <c r="A34" s="39" t="s">
        <v>40</v>
      </c>
      <c r="B34" s="35">
        <v>0.75</v>
      </c>
      <c r="C34" s="35"/>
      <c r="D34" s="35"/>
      <c r="E34" s="35"/>
      <c r="F34" s="35"/>
      <c r="G34" s="35"/>
      <c r="H34" s="35"/>
      <c r="I34" s="35">
        <f t="shared" si="8"/>
        <v>0.75</v>
      </c>
      <c r="J34" s="19"/>
      <c r="L34" s="35">
        <v>0.75</v>
      </c>
      <c r="N34" s="236">
        <f t="shared" si="7"/>
        <v>0</v>
      </c>
    </row>
    <row r="35" spans="1:16" x14ac:dyDescent="0.25">
      <c r="A35" s="40" t="s">
        <v>41</v>
      </c>
      <c r="B35" s="35">
        <v>0</v>
      </c>
      <c r="C35" s="35"/>
      <c r="D35" s="35"/>
      <c r="E35" s="35"/>
      <c r="F35" s="35"/>
      <c r="G35" s="35"/>
      <c r="H35" s="35"/>
      <c r="I35" s="35">
        <f t="shared" si="8"/>
        <v>0</v>
      </c>
      <c r="J35" s="19"/>
      <c r="L35" s="35">
        <v>0</v>
      </c>
      <c r="N35" s="35">
        <f t="shared" si="7"/>
        <v>0</v>
      </c>
    </row>
    <row r="36" spans="1:16" x14ac:dyDescent="0.25">
      <c r="A36" s="33" t="s">
        <v>42</v>
      </c>
      <c r="B36" s="41">
        <f>SUM(B27:B35)</f>
        <v>6.75</v>
      </c>
      <c r="C36" s="41">
        <f t="shared" ref="C36:H36" si="9">SUM(C27:C35)</f>
        <v>1</v>
      </c>
      <c r="D36" s="41">
        <f t="shared" si="9"/>
        <v>0</v>
      </c>
      <c r="E36" s="41">
        <f t="shared" si="9"/>
        <v>0</v>
      </c>
      <c r="F36" s="41">
        <f t="shared" si="9"/>
        <v>0</v>
      </c>
      <c r="G36" s="41">
        <f t="shared" si="9"/>
        <v>0</v>
      </c>
      <c r="H36" s="41">
        <f t="shared" si="9"/>
        <v>0</v>
      </c>
      <c r="I36" s="41">
        <f>SUM(I27:I35)</f>
        <v>7.75</v>
      </c>
      <c r="J36" s="10"/>
      <c r="K36" s="10"/>
      <c r="L36" s="41">
        <v>7.75</v>
      </c>
      <c r="M36" s="10"/>
      <c r="N36" s="41">
        <f>SUM(N27:N35)</f>
        <v>0</v>
      </c>
    </row>
    <row r="37" spans="1:16" x14ac:dyDescent="0.25">
      <c r="A37" s="42"/>
      <c r="B37" s="7"/>
      <c r="C37" s="7"/>
      <c r="D37" s="7"/>
      <c r="E37" s="7"/>
      <c r="F37" s="7"/>
      <c r="G37" s="7"/>
      <c r="H37" s="7"/>
      <c r="I37" s="7"/>
      <c r="J37" s="10"/>
      <c r="K37" s="10"/>
      <c r="L37" s="7"/>
      <c r="M37" s="10"/>
      <c r="N37" s="7"/>
    </row>
    <row r="38" spans="1:16" x14ac:dyDescent="0.25">
      <c r="A38" s="33" t="s">
        <v>43</v>
      </c>
      <c r="B38" s="24" t="str">
        <f>B1</f>
        <v>Operating</v>
      </c>
      <c r="C38" s="24" t="str">
        <f>C1</f>
        <v>SPED</v>
      </c>
      <c r="D38" s="24" t="str">
        <f>D1</f>
        <v>NSLP</v>
      </c>
      <c r="E38" s="24" t="str">
        <f>E1</f>
        <v>CSP</v>
      </c>
      <c r="F38" s="24" t="str">
        <f t="shared" ref="F38:G38" si="10">F1</f>
        <v>Title I</v>
      </c>
      <c r="G38" s="24" t="str">
        <f t="shared" si="10"/>
        <v>Title II</v>
      </c>
      <c r="H38" s="24" t="str">
        <f>H1</f>
        <v>Title III</v>
      </c>
      <c r="I38" s="24" t="str">
        <f>I1</f>
        <v>Total (23-24)</v>
      </c>
      <c r="J38" s="25"/>
      <c r="K38" s="25"/>
      <c r="L38" s="24" t="s">
        <v>6</v>
      </c>
      <c r="M38" s="25"/>
      <c r="N38" s="24" t="str">
        <f>N1</f>
        <v>Variance</v>
      </c>
      <c r="O38" s="4"/>
      <c r="P38" s="4"/>
    </row>
    <row r="39" spans="1:16" x14ac:dyDescent="0.25">
      <c r="A39" s="34" t="s">
        <v>349</v>
      </c>
      <c r="B39" s="37">
        <v>0</v>
      </c>
      <c r="C39" s="37"/>
      <c r="D39" s="37"/>
      <c r="E39" s="37"/>
      <c r="F39" s="37"/>
      <c r="G39" s="37"/>
      <c r="H39" s="37"/>
      <c r="I39" s="35">
        <f t="shared" ref="I39:I45" si="11">SUM(B39:H39)</f>
        <v>0</v>
      </c>
      <c r="J39" s="19"/>
      <c r="L39" s="7"/>
      <c r="N39" s="236">
        <f>I39-L39</f>
        <v>0</v>
      </c>
    </row>
    <row r="40" spans="1:16" x14ac:dyDescent="0.25">
      <c r="A40" s="34" t="s">
        <v>353</v>
      </c>
      <c r="B40" s="37">
        <v>1</v>
      </c>
      <c r="C40" s="37"/>
      <c r="D40" s="37"/>
      <c r="E40" s="37"/>
      <c r="F40" s="37"/>
      <c r="G40" s="37"/>
      <c r="H40" s="37"/>
      <c r="I40" s="35">
        <f t="shared" si="11"/>
        <v>1</v>
      </c>
      <c r="J40" s="19"/>
      <c r="L40" s="35">
        <v>1</v>
      </c>
      <c r="N40" s="35">
        <f t="shared" ref="N40:N61" si="12">I40-L40</f>
        <v>0</v>
      </c>
    </row>
    <row r="41" spans="1:16" x14ac:dyDescent="0.25">
      <c r="A41" s="34" t="s">
        <v>44</v>
      </c>
      <c r="B41" s="37">
        <v>0</v>
      </c>
      <c r="C41" s="37"/>
      <c r="D41" s="37"/>
      <c r="E41" s="37"/>
      <c r="F41" s="37"/>
      <c r="G41" s="37"/>
      <c r="H41" s="37"/>
      <c r="I41" s="35">
        <f t="shared" si="11"/>
        <v>0</v>
      </c>
      <c r="J41" s="19"/>
      <c r="L41" s="35">
        <v>0</v>
      </c>
      <c r="N41" s="35">
        <f t="shared" si="12"/>
        <v>0</v>
      </c>
    </row>
    <row r="42" spans="1:16" x14ac:dyDescent="0.25">
      <c r="A42" s="40" t="s">
        <v>45</v>
      </c>
      <c r="B42" s="37">
        <v>0</v>
      </c>
      <c r="C42" s="37"/>
      <c r="D42" s="37"/>
      <c r="E42" s="37">
        <v>0</v>
      </c>
      <c r="F42" s="37"/>
      <c r="G42" s="37"/>
      <c r="H42" s="37"/>
      <c r="I42" s="35">
        <f t="shared" si="11"/>
        <v>0</v>
      </c>
      <c r="J42" s="19"/>
      <c r="L42" s="35">
        <v>0</v>
      </c>
      <c r="N42" s="35">
        <f t="shared" si="12"/>
        <v>0</v>
      </c>
    </row>
    <row r="43" spans="1:16" x14ac:dyDescent="0.25">
      <c r="A43" s="43" t="s">
        <v>46</v>
      </c>
      <c r="B43" s="37">
        <v>0</v>
      </c>
      <c r="C43" s="37"/>
      <c r="D43" s="37"/>
      <c r="E43" s="37"/>
      <c r="F43" s="37"/>
      <c r="G43" s="37"/>
      <c r="H43" s="37"/>
      <c r="I43" s="35">
        <f t="shared" si="11"/>
        <v>0</v>
      </c>
      <c r="J43" s="19"/>
      <c r="L43" s="35">
        <v>0</v>
      </c>
      <c r="N43" s="35">
        <f t="shared" si="12"/>
        <v>0</v>
      </c>
    </row>
    <row r="44" spans="1:16" x14ac:dyDescent="0.25">
      <c r="A44" s="43" t="s">
        <v>47</v>
      </c>
      <c r="B44" s="37">
        <v>0</v>
      </c>
      <c r="C44" s="37"/>
      <c r="D44" s="37"/>
      <c r="E44" s="37"/>
      <c r="F44" s="37"/>
      <c r="G44" s="37"/>
      <c r="H44" s="37"/>
      <c r="I44" s="35">
        <f t="shared" si="11"/>
        <v>0</v>
      </c>
      <c r="J44" s="19"/>
      <c r="L44" s="35">
        <v>0</v>
      </c>
      <c r="N44" s="37">
        <f t="shared" si="12"/>
        <v>0</v>
      </c>
    </row>
    <row r="45" spans="1:16" x14ac:dyDescent="0.25">
      <c r="A45" s="43" t="s">
        <v>354</v>
      </c>
      <c r="B45" s="37">
        <v>0</v>
      </c>
      <c r="C45" s="37"/>
      <c r="D45" s="37"/>
      <c r="E45" s="37">
        <v>1</v>
      </c>
      <c r="F45" s="37"/>
      <c r="G45" s="37"/>
      <c r="H45" s="37"/>
      <c r="I45" s="35">
        <f t="shared" si="11"/>
        <v>1</v>
      </c>
      <c r="J45" s="19"/>
      <c r="L45" s="35">
        <v>0</v>
      </c>
      <c r="N45" s="37">
        <f t="shared" si="12"/>
        <v>1</v>
      </c>
    </row>
    <row r="46" spans="1:16" x14ac:dyDescent="0.25">
      <c r="A46" s="43" t="s">
        <v>48</v>
      </c>
      <c r="B46" s="37">
        <v>0</v>
      </c>
      <c r="C46" s="37"/>
      <c r="D46" s="37"/>
      <c r="E46" s="37"/>
      <c r="F46" s="37"/>
      <c r="G46" s="37"/>
      <c r="H46" s="37"/>
      <c r="I46" s="35"/>
      <c r="J46" s="19"/>
      <c r="L46" s="35"/>
      <c r="N46" s="35">
        <f t="shared" si="12"/>
        <v>0</v>
      </c>
    </row>
    <row r="47" spans="1:16" x14ac:dyDescent="0.25">
      <c r="A47" s="34" t="s">
        <v>49</v>
      </c>
      <c r="B47" s="37">
        <v>1</v>
      </c>
      <c r="C47" s="37"/>
      <c r="D47" s="37"/>
      <c r="E47" s="37"/>
      <c r="F47" s="37"/>
      <c r="G47" s="37"/>
      <c r="H47" s="37"/>
      <c r="I47" s="35">
        <f t="shared" ref="I47:I61" si="13">SUM(B47:H47)</f>
        <v>1</v>
      </c>
      <c r="J47" s="19"/>
      <c r="L47" s="35">
        <v>1</v>
      </c>
      <c r="N47" s="35">
        <f t="shared" si="12"/>
        <v>0</v>
      </c>
      <c r="O47" s="4"/>
      <c r="P47" s="4"/>
    </row>
    <row r="48" spans="1:16" x14ac:dyDescent="0.25">
      <c r="A48" s="34" t="s">
        <v>50</v>
      </c>
      <c r="B48" s="37">
        <v>1</v>
      </c>
      <c r="C48" s="37"/>
      <c r="D48" s="37"/>
      <c r="E48" s="37"/>
      <c r="F48" s="37"/>
      <c r="G48" s="37"/>
      <c r="H48" s="37"/>
      <c r="I48" s="35">
        <f t="shared" si="13"/>
        <v>1</v>
      </c>
      <c r="J48" s="19"/>
      <c r="L48" s="35">
        <v>1</v>
      </c>
      <c r="N48" s="35">
        <f t="shared" si="12"/>
        <v>0</v>
      </c>
    </row>
    <row r="49" spans="1:16" x14ac:dyDescent="0.25">
      <c r="A49" s="34" t="s">
        <v>51</v>
      </c>
      <c r="B49" s="37">
        <v>0</v>
      </c>
      <c r="C49" s="37"/>
      <c r="D49" s="37"/>
      <c r="E49" s="37"/>
      <c r="F49" s="37"/>
      <c r="G49" s="37"/>
      <c r="H49" s="37"/>
      <c r="I49" s="35">
        <f t="shared" si="13"/>
        <v>0</v>
      </c>
      <c r="J49" s="19"/>
      <c r="L49" s="35">
        <v>0</v>
      </c>
      <c r="N49" s="35">
        <f t="shared" si="12"/>
        <v>0</v>
      </c>
      <c r="O49" s="4"/>
      <c r="P49" s="4"/>
    </row>
    <row r="50" spans="1:16" x14ac:dyDescent="0.25">
      <c r="A50" s="34" t="s">
        <v>52</v>
      </c>
      <c r="B50" s="37">
        <v>0</v>
      </c>
      <c r="C50" s="37"/>
      <c r="D50" s="37"/>
      <c r="E50" s="37"/>
      <c r="F50" s="37"/>
      <c r="G50" s="37"/>
      <c r="H50" s="37"/>
      <c r="I50" s="35">
        <f t="shared" si="13"/>
        <v>0</v>
      </c>
      <c r="J50" s="19"/>
      <c r="L50" s="35">
        <v>0</v>
      </c>
      <c r="N50" s="35">
        <f t="shared" si="12"/>
        <v>0</v>
      </c>
      <c r="P50" s="44"/>
    </row>
    <row r="51" spans="1:16" x14ac:dyDescent="0.25">
      <c r="A51" s="34" t="s">
        <v>53</v>
      </c>
      <c r="B51" s="37">
        <v>0</v>
      </c>
      <c r="C51" s="37"/>
      <c r="D51" s="37"/>
      <c r="E51" s="37"/>
      <c r="F51" s="37">
        <v>1</v>
      </c>
      <c r="G51" s="37"/>
      <c r="H51" s="37"/>
      <c r="I51" s="35">
        <f t="shared" si="13"/>
        <v>1</v>
      </c>
      <c r="J51" s="19"/>
      <c r="L51" s="35">
        <v>1</v>
      </c>
      <c r="N51" s="236">
        <f t="shared" si="12"/>
        <v>0</v>
      </c>
      <c r="O51" s="4"/>
      <c r="P51" s="4"/>
    </row>
    <row r="52" spans="1:16" x14ac:dyDescent="0.25">
      <c r="A52" s="34" t="s">
        <v>54</v>
      </c>
      <c r="B52" s="37">
        <v>0</v>
      </c>
      <c r="C52" s="37"/>
      <c r="D52" s="37"/>
      <c r="E52" s="37"/>
      <c r="F52" s="37"/>
      <c r="G52" s="37"/>
      <c r="H52" s="37"/>
      <c r="I52" s="35">
        <f t="shared" si="13"/>
        <v>0</v>
      </c>
      <c r="J52" s="19"/>
      <c r="L52" s="35">
        <v>0</v>
      </c>
      <c r="N52" s="35">
        <f t="shared" si="12"/>
        <v>0</v>
      </c>
      <c r="P52" s="4"/>
    </row>
    <row r="53" spans="1:16" x14ac:dyDescent="0.25">
      <c r="A53" s="34" t="s">
        <v>55</v>
      </c>
      <c r="B53" s="37"/>
      <c r="C53" s="37"/>
      <c r="D53" s="37">
        <v>1</v>
      </c>
      <c r="E53" s="37"/>
      <c r="F53" s="37"/>
      <c r="G53" s="37"/>
      <c r="H53" s="37"/>
      <c r="I53" s="35">
        <f t="shared" si="13"/>
        <v>1</v>
      </c>
      <c r="J53" s="19"/>
      <c r="L53" s="35">
        <v>1</v>
      </c>
      <c r="N53" s="35">
        <f t="shared" si="12"/>
        <v>0</v>
      </c>
      <c r="O53" s="4"/>
      <c r="P53" s="4"/>
    </row>
    <row r="54" spans="1:16" x14ac:dyDescent="0.25">
      <c r="A54" s="34" t="s">
        <v>56</v>
      </c>
      <c r="B54" s="37"/>
      <c r="C54" s="37"/>
      <c r="D54" s="37"/>
      <c r="E54" s="37"/>
      <c r="F54" s="37"/>
      <c r="G54" s="37"/>
      <c r="H54" s="37"/>
      <c r="I54" s="35">
        <f t="shared" si="13"/>
        <v>0</v>
      </c>
      <c r="J54" s="8"/>
      <c r="K54" s="9"/>
      <c r="L54" s="35">
        <v>0</v>
      </c>
      <c r="M54" s="9"/>
      <c r="N54" s="35">
        <f t="shared" si="12"/>
        <v>0</v>
      </c>
    </row>
    <row r="55" spans="1:16" x14ac:dyDescent="0.25">
      <c r="A55" s="40" t="s">
        <v>57</v>
      </c>
      <c r="B55" s="37"/>
      <c r="C55" s="37"/>
      <c r="D55" s="37"/>
      <c r="E55" s="37"/>
      <c r="F55" s="37"/>
      <c r="G55" s="37"/>
      <c r="H55" s="37"/>
      <c r="I55" s="35">
        <f t="shared" si="13"/>
        <v>0</v>
      </c>
      <c r="J55" s="8"/>
      <c r="K55" s="9"/>
      <c r="L55" s="35">
        <v>0</v>
      </c>
      <c r="M55" s="9"/>
      <c r="N55" s="35">
        <f t="shared" si="12"/>
        <v>0</v>
      </c>
    </row>
    <row r="56" spans="1:16" x14ac:dyDescent="0.25">
      <c r="A56" s="40" t="s">
        <v>58</v>
      </c>
      <c r="B56" s="37"/>
      <c r="C56" s="37"/>
      <c r="D56" s="37"/>
      <c r="E56" s="37"/>
      <c r="F56" s="37"/>
      <c r="G56" s="37"/>
      <c r="H56" s="37"/>
      <c r="I56" s="35">
        <f t="shared" si="13"/>
        <v>0</v>
      </c>
      <c r="J56" s="8"/>
      <c r="K56" s="9"/>
      <c r="L56" s="35">
        <v>0</v>
      </c>
      <c r="M56" s="9"/>
      <c r="N56" s="35">
        <f t="shared" si="12"/>
        <v>0</v>
      </c>
    </row>
    <row r="57" spans="1:16" x14ac:dyDescent="0.25">
      <c r="A57" s="40" t="s">
        <v>59</v>
      </c>
      <c r="B57" s="37"/>
      <c r="C57" s="37"/>
      <c r="D57" s="37"/>
      <c r="E57" s="37"/>
      <c r="F57" s="37"/>
      <c r="G57" s="37"/>
      <c r="H57" s="37"/>
      <c r="I57" s="35">
        <f t="shared" si="13"/>
        <v>0</v>
      </c>
      <c r="J57" s="8"/>
      <c r="K57" s="9"/>
      <c r="L57" s="35">
        <v>0</v>
      </c>
      <c r="M57" s="9"/>
      <c r="N57" s="35">
        <f t="shared" si="12"/>
        <v>0</v>
      </c>
      <c r="O57" s="4"/>
      <c r="P57" s="4"/>
    </row>
    <row r="58" spans="1:16" x14ac:dyDescent="0.25">
      <c r="A58" s="40" t="s">
        <v>60</v>
      </c>
      <c r="B58" s="37"/>
      <c r="C58" s="37"/>
      <c r="D58" s="37"/>
      <c r="E58" s="37"/>
      <c r="F58" s="37"/>
      <c r="G58" s="37"/>
      <c r="H58" s="37"/>
      <c r="I58" s="35">
        <f t="shared" si="13"/>
        <v>0</v>
      </c>
      <c r="J58" s="8"/>
      <c r="K58" s="9"/>
      <c r="L58" s="35">
        <v>0</v>
      </c>
      <c r="M58" s="9"/>
      <c r="N58" s="35">
        <f t="shared" si="12"/>
        <v>0</v>
      </c>
    </row>
    <row r="59" spans="1:16" x14ac:dyDescent="0.25">
      <c r="A59" s="40" t="s">
        <v>61</v>
      </c>
      <c r="B59" s="37"/>
      <c r="C59" s="37"/>
      <c r="D59" s="37"/>
      <c r="E59" s="37"/>
      <c r="F59" s="37"/>
      <c r="G59" s="37"/>
      <c r="H59" s="37"/>
      <c r="I59" s="35">
        <f t="shared" si="13"/>
        <v>0</v>
      </c>
      <c r="J59" s="8"/>
      <c r="K59" s="9"/>
      <c r="L59" s="35">
        <v>0</v>
      </c>
      <c r="M59" s="9"/>
      <c r="N59" s="35">
        <f t="shared" si="12"/>
        <v>0</v>
      </c>
    </row>
    <row r="60" spans="1:16" x14ac:dyDescent="0.25">
      <c r="A60" s="40" t="s">
        <v>62</v>
      </c>
      <c r="B60" s="37"/>
      <c r="C60" s="37"/>
      <c r="D60" s="37"/>
      <c r="E60" s="37"/>
      <c r="F60" s="37"/>
      <c r="G60" s="37"/>
      <c r="H60" s="37"/>
      <c r="I60" s="35">
        <f t="shared" si="13"/>
        <v>0</v>
      </c>
      <c r="J60" s="8"/>
      <c r="K60" s="9"/>
      <c r="L60" s="35">
        <v>1</v>
      </c>
      <c r="M60" s="9"/>
      <c r="N60" s="37">
        <f t="shared" si="12"/>
        <v>-1</v>
      </c>
    </row>
    <row r="61" spans="1:16" x14ac:dyDescent="0.25">
      <c r="A61" s="34" t="s">
        <v>63</v>
      </c>
      <c r="B61" s="35"/>
      <c r="C61" s="35"/>
      <c r="D61" s="35"/>
      <c r="E61" s="35"/>
      <c r="F61" s="35"/>
      <c r="G61" s="35"/>
      <c r="H61" s="35"/>
      <c r="I61" s="35">
        <f t="shared" si="13"/>
        <v>0</v>
      </c>
      <c r="J61" s="8"/>
      <c r="K61" s="9"/>
      <c r="L61" s="35">
        <v>0</v>
      </c>
      <c r="M61" s="9"/>
      <c r="N61" s="35">
        <f t="shared" si="12"/>
        <v>0</v>
      </c>
    </row>
    <row r="62" spans="1:16" x14ac:dyDescent="0.25">
      <c r="A62" s="33" t="s">
        <v>64</v>
      </c>
      <c r="B62" s="45">
        <f>SUM(B40:B61)</f>
        <v>3</v>
      </c>
      <c r="C62" s="45">
        <f>SUM(C40:C61)</f>
        <v>0</v>
      </c>
      <c r="D62" s="45">
        <f>SUM(D40:D61)</f>
        <v>1</v>
      </c>
      <c r="E62" s="45">
        <f>SUM(E40:E61)</f>
        <v>1</v>
      </c>
      <c r="F62" s="45">
        <f t="shared" ref="F62:H62" si="14">SUM(F40:F61)</f>
        <v>1</v>
      </c>
      <c r="G62" s="45">
        <f t="shared" si="14"/>
        <v>0</v>
      </c>
      <c r="H62" s="45">
        <f t="shared" si="14"/>
        <v>0</v>
      </c>
      <c r="I62" s="45">
        <f>SUM(I40:I61)</f>
        <v>6</v>
      </c>
      <c r="J62" s="10"/>
      <c r="K62" s="10"/>
      <c r="L62" s="45">
        <v>6</v>
      </c>
      <c r="M62" s="10"/>
      <c r="N62" s="45">
        <f>SUM(N39:N61)</f>
        <v>0</v>
      </c>
      <c r="O62" s="4"/>
      <c r="P62" s="4"/>
    </row>
    <row r="63" spans="1:16" ht="15.75" thickBot="1" x14ac:dyDescent="0.3">
      <c r="A63" s="46"/>
      <c r="B63" s="47"/>
      <c r="C63" s="47"/>
      <c r="D63" s="47"/>
      <c r="E63" s="47"/>
      <c r="F63" s="47"/>
      <c r="G63" s="47"/>
      <c r="H63" s="47"/>
      <c r="I63" s="47"/>
      <c r="J63" s="10"/>
      <c r="K63" s="10"/>
      <c r="L63" s="47"/>
      <c r="M63" s="10"/>
      <c r="N63" s="47"/>
    </row>
    <row r="64" spans="1:16" x14ac:dyDescent="0.25">
      <c r="A64" s="48" t="s">
        <v>65</v>
      </c>
      <c r="B64" s="49">
        <f>B36</f>
        <v>6.75</v>
      </c>
      <c r="C64" s="49">
        <f>C36</f>
        <v>1</v>
      </c>
      <c r="D64" s="49">
        <f>D36</f>
        <v>0</v>
      </c>
      <c r="E64" s="49">
        <f>E36</f>
        <v>0</v>
      </c>
      <c r="F64" s="49">
        <f t="shared" ref="F64:H64" si="15">F36</f>
        <v>0</v>
      </c>
      <c r="G64" s="49">
        <f t="shared" si="15"/>
        <v>0</v>
      </c>
      <c r="H64" s="49">
        <f t="shared" si="15"/>
        <v>0</v>
      </c>
      <c r="I64" s="49">
        <f>I36</f>
        <v>7.75</v>
      </c>
      <c r="J64" s="10"/>
      <c r="K64" s="10"/>
      <c r="L64" s="49">
        <v>7.75</v>
      </c>
      <c r="M64" s="10"/>
      <c r="N64" s="238">
        <f>N36</f>
        <v>0</v>
      </c>
    </row>
    <row r="65" spans="1:15" x14ac:dyDescent="0.25">
      <c r="A65" s="50" t="s">
        <v>66</v>
      </c>
      <c r="B65" s="51">
        <f>B62</f>
        <v>3</v>
      </c>
      <c r="C65" s="51">
        <f t="shared" ref="C65:I65" si="16">C62</f>
        <v>0</v>
      </c>
      <c r="D65" s="51">
        <f t="shared" si="16"/>
        <v>1</v>
      </c>
      <c r="E65" s="51">
        <f t="shared" si="16"/>
        <v>1</v>
      </c>
      <c r="F65" s="51">
        <f t="shared" si="16"/>
        <v>1</v>
      </c>
      <c r="G65" s="51">
        <f t="shared" si="16"/>
        <v>0</v>
      </c>
      <c r="H65" s="51">
        <f t="shared" si="16"/>
        <v>0</v>
      </c>
      <c r="I65" s="51">
        <f t="shared" si="16"/>
        <v>6</v>
      </c>
      <c r="J65" s="10"/>
      <c r="K65" s="10"/>
      <c r="L65" s="51">
        <v>6</v>
      </c>
      <c r="M65" s="10"/>
      <c r="N65" s="239">
        <f t="shared" ref="N65" si="17">N62</f>
        <v>0</v>
      </c>
    </row>
    <row r="66" spans="1:15" ht="15.75" thickBot="1" x14ac:dyDescent="0.3">
      <c r="A66" s="52" t="s">
        <v>67</v>
      </c>
      <c r="B66" s="53">
        <f>SUM(B64:B65)</f>
        <v>9.75</v>
      </c>
      <c r="C66" s="53">
        <f t="shared" ref="C66:I66" si="18">SUM(C64:C65)</f>
        <v>1</v>
      </c>
      <c r="D66" s="53">
        <f t="shared" si="18"/>
        <v>1</v>
      </c>
      <c r="E66" s="53">
        <f t="shared" si="18"/>
        <v>1</v>
      </c>
      <c r="F66" s="53">
        <f t="shared" si="18"/>
        <v>1</v>
      </c>
      <c r="G66" s="53">
        <f t="shared" si="18"/>
        <v>0</v>
      </c>
      <c r="H66" s="53">
        <f t="shared" si="18"/>
        <v>0</v>
      </c>
      <c r="I66" s="53">
        <f t="shared" si="18"/>
        <v>13.75</v>
      </c>
      <c r="J66" s="10"/>
      <c r="K66" s="10"/>
      <c r="L66" s="237">
        <v>13.75</v>
      </c>
      <c r="M66" s="10"/>
      <c r="N66" s="240">
        <f t="shared" ref="N66" si="19">SUM(N64:N65)</f>
        <v>0</v>
      </c>
    </row>
    <row r="67" spans="1:15" x14ac:dyDescent="0.25">
      <c r="A67" s="40"/>
      <c r="B67" s="54"/>
      <c r="C67" s="54"/>
      <c r="D67" s="54"/>
      <c r="E67" s="54"/>
      <c r="F67" s="54"/>
      <c r="G67" s="54"/>
      <c r="H67" s="54"/>
      <c r="I67" s="54"/>
      <c r="J67" s="10"/>
      <c r="K67" s="10"/>
      <c r="L67" s="54"/>
      <c r="M67" s="10"/>
      <c r="N67" s="54"/>
    </row>
    <row r="68" spans="1:15" x14ac:dyDescent="0.25">
      <c r="A68" s="55" t="s">
        <v>68</v>
      </c>
      <c r="B68" s="56"/>
      <c r="C68" s="56"/>
      <c r="D68" s="56"/>
      <c r="E68" s="56"/>
      <c r="F68" s="56"/>
      <c r="G68" s="56"/>
      <c r="H68" s="56"/>
      <c r="I68" s="57">
        <f>I144/(I213+I215+I216+I217+I218+I219)</f>
        <v>0.55039089540768282</v>
      </c>
      <c r="J68" s="10"/>
      <c r="K68" s="10"/>
      <c r="L68" s="57">
        <v>0.53647734620123844</v>
      </c>
      <c r="M68" s="10"/>
      <c r="N68" s="57" t="e">
        <f>N144/(N212+N214+N215+N216+N217+N218)</f>
        <v>#VALUE!</v>
      </c>
    </row>
    <row r="69" spans="1:15" x14ac:dyDescent="0.25">
      <c r="A69" s="55" t="s">
        <v>69</v>
      </c>
      <c r="B69" s="56"/>
      <c r="C69" s="56"/>
      <c r="D69" s="56"/>
      <c r="E69" s="56"/>
      <c r="F69" s="56"/>
      <c r="G69" s="56"/>
      <c r="H69" s="56"/>
      <c r="I69" s="57">
        <f>(I116+I117+I120+I130)/I134</f>
        <v>0.63167982056024707</v>
      </c>
      <c r="J69" s="10"/>
      <c r="K69" s="10"/>
      <c r="L69" s="57">
        <v>0.63167982056024707</v>
      </c>
      <c r="M69" s="10"/>
      <c r="N69" s="57" t="e">
        <f>(N116+N117+N120+N130)/N134</f>
        <v>#DIV/0!</v>
      </c>
    </row>
    <row r="70" spans="1:15" x14ac:dyDescent="0.25">
      <c r="A70" s="55" t="s">
        <v>70</v>
      </c>
      <c r="B70" s="56"/>
      <c r="C70" s="56"/>
      <c r="D70" s="56"/>
      <c r="E70" s="56"/>
      <c r="F70" s="56"/>
      <c r="G70" s="56"/>
      <c r="H70" s="56"/>
      <c r="I70" s="57">
        <f>(I109+I110+I111+I114+I118+I119+I121+I122++I125+I126+I127+I128+I129+I131+I132)/I134</f>
        <v>0.36832017943975293</v>
      </c>
      <c r="J70" s="10"/>
      <c r="K70" s="10"/>
      <c r="L70" s="57">
        <v>0.36832017943975293</v>
      </c>
      <c r="M70" s="10"/>
      <c r="N70" s="57" t="e">
        <f>(N108+N110+N111+N114+N118+N119+N121+N122++N125+N126+N127+N128+N129+N131+N132)/N134</f>
        <v>#DIV/0!</v>
      </c>
    </row>
    <row r="71" spans="1:15" x14ac:dyDescent="0.25">
      <c r="A71" s="55" t="s">
        <v>71</v>
      </c>
      <c r="B71" s="56"/>
      <c r="C71" s="56"/>
      <c r="D71" s="56"/>
      <c r="E71" s="56"/>
      <c r="F71" s="56"/>
      <c r="G71" s="56"/>
      <c r="H71" s="56"/>
      <c r="I71" s="57">
        <f>(I215+I216+I217+I218)/(I98)</f>
        <v>3.0027472251826597E-2</v>
      </c>
      <c r="J71" s="10"/>
      <c r="K71" s="10"/>
      <c r="L71" s="57">
        <v>3.4229153687912892E-2</v>
      </c>
      <c r="M71" s="10"/>
      <c r="N71" s="57">
        <f>(N215+N216+N217+N218)/(N98-N84)</f>
        <v>-1.3057719431146257</v>
      </c>
    </row>
    <row r="72" spans="1:15" ht="15.75" thickBot="1" x14ac:dyDescent="0.3">
      <c r="B72" s="54"/>
      <c r="C72" s="54"/>
      <c r="D72" s="54"/>
      <c r="E72" s="54"/>
      <c r="F72" s="54"/>
      <c r="G72" s="54"/>
      <c r="H72" s="54"/>
      <c r="I72" s="54"/>
      <c r="J72" s="10"/>
      <c r="K72" s="10"/>
      <c r="L72" s="54"/>
      <c r="M72" s="10"/>
      <c r="N72" s="54"/>
    </row>
    <row r="73" spans="1:15" ht="15.75" thickBot="1" x14ac:dyDescent="0.3">
      <c r="A73" s="58" t="s">
        <v>72</v>
      </c>
      <c r="B73" s="59" t="str">
        <f>B1</f>
        <v>Operating</v>
      </c>
      <c r="C73" s="59" t="str">
        <f>C1</f>
        <v>SPED</v>
      </c>
      <c r="D73" s="59" t="str">
        <f>D1</f>
        <v>NSLP</v>
      </c>
      <c r="E73" s="59" t="str">
        <f>E1</f>
        <v>CSP</v>
      </c>
      <c r="F73" s="59" t="str">
        <f t="shared" ref="F73:G73" si="20">F1</f>
        <v>Title I</v>
      </c>
      <c r="G73" s="59" t="str">
        <f t="shared" si="20"/>
        <v>Title II</v>
      </c>
      <c r="H73" s="59" t="str">
        <f>H1</f>
        <v>Title III</v>
      </c>
      <c r="I73" s="59" t="str">
        <f>I1</f>
        <v>Total (23-24)</v>
      </c>
      <c r="J73" s="10"/>
      <c r="K73" s="10"/>
      <c r="L73" s="59" t="s">
        <v>6</v>
      </c>
      <c r="M73" s="10"/>
      <c r="N73" s="59" t="str">
        <f>N1</f>
        <v>Variance</v>
      </c>
    </row>
    <row r="74" spans="1:15" x14ac:dyDescent="0.25">
      <c r="A74" s="60" t="s">
        <v>73</v>
      </c>
      <c r="B74" s="61"/>
      <c r="C74" s="61"/>
      <c r="D74" s="61"/>
      <c r="E74" s="61"/>
      <c r="F74" s="61"/>
      <c r="G74" s="61"/>
      <c r="H74" s="61"/>
      <c r="I74" s="62"/>
      <c r="J74" s="10"/>
      <c r="K74" s="10"/>
      <c r="L74" s="62"/>
      <c r="M74" s="10"/>
      <c r="N74" s="62"/>
    </row>
    <row r="75" spans="1:15" x14ac:dyDescent="0.25">
      <c r="A75" s="40" t="s">
        <v>74</v>
      </c>
      <c r="B75" s="63">
        <f>(B2*B3)</f>
        <v>1057988</v>
      </c>
      <c r="C75" s="63"/>
      <c r="D75" s="63"/>
      <c r="E75" s="63"/>
      <c r="F75" s="63"/>
      <c r="G75" s="63"/>
      <c r="H75" s="63"/>
      <c r="I75" s="64">
        <f t="shared" ref="I75:I96" si="21">SUM(B75:H75)</f>
        <v>1057988</v>
      </c>
      <c r="J75" s="26">
        <f>I75/12</f>
        <v>88165.666666666672</v>
      </c>
      <c r="L75" s="64">
        <v>1237308</v>
      </c>
      <c r="N75" s="64">
        <f>I75-L75</f>
        <v>-179320</v>
      </c>
    </row>
    <row r="76" spans="1:15" x14ac:dyDescent="0.25">
      <c r="A76" s="40" t="s">
        <v>75</v>
      </c>
      <c r="B76" s="47">
        <f>4034*B21</f>
        <v>20170</v>
      </c>
      <c r="C76" s="47"/>
      <c r="D76" s="47"/>
      <c r="E76" s="47"/>
      <c r="F76" s="47"/>
      <c r="G76" s="47"/>
      <c r="H76" s="47"/>
      <c r="I76" s="7">
        <f>SUM(B76:H76)</f>
        <v>20170</v>
      </c>
      <c r="J76" s="8">
        <v>4034</v>
      </c>
      <c r="K76" s="9"/>
      <c r="L76" s="7">
        <v>20170</v>
      </c>
      <c r="M76" s="9"/>
      <c r="N76" s="64">
        <f t="shared" ref="N76:N80" si="22">I76-L76</f>
        <v>0</v>
      </c>
      <c r="O76" s="65"/>
    </row>
    <row r="77" spans="1:15" x14ac:dyDescent="0.25">
      <c r="A77" s="40" t="s">
        <v>76</v>
      </c>
      <c r="B77" s="7">
        <f>1075*B22</f>
        <v>0</v>
      </c>
      <c r="C77" s="7"/>
      <c r="D77" s="7"/>
      <c r="E77" s="7"/>
      <c r="F77" s="7"/>
      <c r="G77" s="7"/>
      <c r="H77" s="7"/>
      <c r="I77" s="7">
        <f>SUM(B77:H77)</f>
        <v>0</v>
      </c>
      <c r="J77" s="8">
        <v>1075</v>
      </c>
      <c r="K77" s="9"/>
      <c r="L77" s="7">
        <v>0</v>
      </c>
      <c r="M77" s="9"/>
      <c r="N77" s="64">
        <f t="shared" si="22"/>
        <v>0</v>
      </c>
      <c r="O77" s="65"/>
    </row>
    <row r="78" spans="1:15" x14ac:dyDescent="0.25">
      <c r="A78" s="40" t="s">
        <v>77</v>
      </c>
      <c r="B78" s="242">
        <v>0</v>
      </c>
      <c r="C78" s="7"/>
      <c r="D78" s="7"/>
      <c r="E78" s="7"/>
      <c r="F78" s="7"/>
      <c r="G78" s="7"/>
      <c r="H78" s="7"/>
      <c r="I78" s="7">
        <f>SUM(B78:H78)</f>
        <v>0</v>
      </c>
      <c r="J78" s="8" t="s">
        <v>355</v>
      </c>
      <c r="L78" s="7">
        <v>0</v>
      </c>
      <c r="N78" s="64">
        <f t="shared" si="22"/>
        <v>0</v>
      </c>
    </row>
    <row r="79" spans="1:15" x14ac:dyDescent="0.25">
      <c r="A79" s="40" t="s">
        <v>78</v>
      </c>
      <c r="B79" s="47"/>
      <c r="C79" s="47">
        <v>0</v>
      </c>
      <c r="D79" s="47"/>
      <c r="E79" s="47"/>
      <c r="F79" s="47"/>
      <c r="G79" s="47"/>
      <c r="H79" s="47"/>
      <c r="I79" s="47">
        <f>SUM(B79:H79)</f>
        <v>0</v>
      </c>
      <c r="J79" s="8"/>
      <c r="K79" s="66"/>
      <c r="L79" s="47">
        <v>0</v>
      </c>
      <c r="M79" s="66"/>
      <c r="N79" s="64">
        <f t="shared" si="22"/>
        <v>0</v>
      </c>
      <c r="O79" s="25"/>
    </row>
    <row r="80" spans="1:15" x14ac:dyDescent="0.25">
      <c r="A80" s="40" t="s">
        <v>79</v>
      </c>
      <c r="B80" s="47">
        <v>0</v>
      </c>
      <c r="C80" s="47">
        <f>3845*C20</f>
        <v>26915</v>
      </c>
      <c r="D80" s="47"/>
      <c r="E80" s="47"/>
      <c r="F80" s="47"/>
      <c r="G80" s="47"/>
      <c r="H80" s="47"/>
      <c r="I80" s="47">
        <f>SUM(B80:H80)</f>
        <v>26915</v>
      </c>
      <c r="J80" s="8">
        <v>3845</v>
      </c>
      <c r="K80" s="66"/>
      <c r="L80" s="47">
        <v>26915</v>
      </c>
      <c r="M80" s="66"/>
      <c r="N80" s="64">
        <f t="shared" si="22"/>
        <v>0</v>
      </c>
      <c r="O80" s="25"/>
    </row>
    <row r="81" spans="1:15" x14ac:dyDescent="0.25">
      <c r="A81" s="67" t="s">
        <v>80</v>
      </c>
      <c r="B81" s="68">
        <f>SUM(B75:B80)</f>
        <v>1078158</v>
      </c>
      <c r="C81" s="68">
        <f>SUM(C75:C80)</f>
        <v>26915</v>
      </c>
      <c r="D81" s="68">
        <f>SUM(D75:D80)</f>
        <v>0</v>
      </c>
      <c r="E81" s="68">
        <f t="shared" ref="E81:G81" si="23">SUM(E75:E80)</f>
        <v>0</v>
      </c>
      <c r="F81" s="68">
        <f t="shared" si="23"/>
        <v>0</v>
      </c>
      <c r="G81" s="68">
        <f t="shared" si="23"/>
        <v>0</v>
      </c>
      <c r="H81" s="68">
        <f>SUM(H75:H80)</f>
        <v>0</v>
      </c>
      <c r="I81" s="68">
        <f>SUM(I75:I80)</f>
        <v>1105073</v>
      </c>
      <c r="J81" s="10"/>
      <c r="K81" s="10"/>
      <c r="L81" s="68">
        <v>1284393</v>
      </c>
      <c r="M81" s="10"/>
      <c r="N81" s="68">
        <f>SUM(N75:N80)</f>
        <v>-179320</v>
      </c>
    </row>
    <row r="82" spans="1:15" x14ac:dyDescent="0.25">
      <c r="A82" s="69" t="s">
        <v>81</v>
      </c>
      <c r="B82" s="61"/>
      <c r="C82" s="61"/>
      <c r="D82" s="61"/>
      <c r="E82" s="61"/>
      <c r="F82" s="61"/>
      <c r="G82" s="61"/>
      <c r="H82" s="61"/>
      <c r="I82" s="62"/>
      <c r="J82" s="10"/>
      <c r="K82" s="10"/>
      <c r="L82" s="62"/>
      <c r="M82" s="10"/>
      <c r="N82" s="62"/>
    </row>
    <row r="83" spans="1:15" x14ac:dyDescent="0.25">
      <c r="A83" s="40" t="s">
        <v>82</v>
      </c>
      <c r="B83" s="7"/>
      <c r="C83" s="7">
        <f>1287*C20</f>
        <v>9009</v>
      </c>
      <c r="D83" s="7"/>
      <c r="E83" s="7"/>
      <c r="F83" s="7"/>
      <c r="G83" s="7"/>
      <c r="H83" s="7"/>
      <c r="I83" s="7">
        <f>SUM(B83:H83)</f>
        <v>9009</v>
      </c>
      <c r="J83" s="8">
        <v>1287</v>
      </c>
      <c r="K83" s="9"/>
      <c r="L83" s="7">
        <v>9009</v>
      </c>
      <c r="M83" s="9"/>
      <c r="N83" s="64">
        <f>I83-L83</f>
        <v>0</v>
      </c>
      <c r="O83" s="65"/>
    </row>
    <row r="84" spans="1:15" x14ac:dyDescent="0.25">
      <c r="A84" s="40" t="s">
        <v>83</v>
      </c>
      <c r="B84" s="7"/>
      <c r="C84" s="7"/>
      <c r="D84" s="14">
        <f>((B17*D23)*2.26*180)</f>
        <v>34067.30328</v>
      </c>
      <c r="E84" s="14"/>
      <c r="F84" s="7"/>
      <c r="G84" s="7"/>
      <c r="H84" s="14"/>
      <c r="I84" s="7">
        <f t="shared" si="21"/>
        <v>34067.30328</v>
      </c>
      <c r="J84" s="70">
        <v>2.2599999999999998</v>
      </c>
      <c r="K84" s="71"/>
      <c r="L84" s="7">
        <v>39841.422479999994</v>
      </c>
      <c r="M84" s="71"/>
      <c r="N84" s="64">
        <f t="shared" ref="N84:N90" si="24">I84-L84</f>
        <v>-5774.1191999999937</v>
      </c>
      <c r="O84" s="72"/>
    </row>
    <row r="85" spans="1:15" x14ac:dyDescent="0.25">
      <c r="A85" s="40" t="s">
        <v>84</v>
      </c>
      <c r="B85" s="47"/>
      <c r="C85" s="47"/>
      <c r="D85" s="14">
        <f>((B17*D23)*4.37*180)</f>
        <v>65873.502359999999</v>
      </c>
      <c r="E85" s="73"/>
      <c r="F85" s="47"/>
      <c r="G85" s="47"/>
      <c r="H85" s="14"/>
      <c r="I85" s="7">
        <f t="shared" si="21"/>
        <v>65873.502359999999</v>
      </c>
      <c r="J85" s="70">
        <v>4.37</v>
      </c>
      <c r="K85" s="71"/>
      <c r="L85" s="7">
        <v>77038.502759999988</v>
      </c>
      <c r="M85" s="71"/>
      <c r="N85" s="64">
        <f t="shared" si="24"/>
        <v>-11165.00039999999</v>
      </c>
      <c r="O85" s="72"/>
    </row>
    <row r="86" spans="1:15" x14ac:dyDescent="0.25">
      <c r="A86" s="40" t="s">
        <v>3</v>
      </c>
      <c r="B86" s="47"/>
      <c r="C86" s="47"/>
      <c r="D86" s="47"/>
      <c r="E86" s="47"/>
      <c r="F86" s="47">
        <v>18727.87</v>
      </c>
      <c r="G86" s="47"/>
      <c r="H86" s="47"/>
      <c r="I86" s="7">
        <f t="shared" si="21"/>
        <v>18727.87</v>
      </c>
      <c r="J86" s="8"/>
      <c r="K86" s="9"/>
      <c r="L86" s="7">
        <v>18727.87</v>
      </c>
      <c r="M86" s="9"/>
      <c r="N86" s="64">
        <f t="shared" si="24"/>
        <v>0</v>
      </c>
      <c r="O86" s="65"/>
    </row>
    <row r="87" spans="1:15" x14ac:dyDescent="0.25">
      <c r="A87" s="40" t="s">
        <v>4</v>
      </c>
      <c r="B87" s="47"/>
      <c r="C87" s="47"/>
      <c r="D87" s="47"/>
      <c r="E87" s="47"/>
      <c r="F87" s="47"/>
      <c r="G87" s="47">
        <v>7153.52</v>
      </c>
      <c r="H87" s="47"/>
      <c r="I87" s="7">
        <f t="shared" si="21"/>
        <v>7153.52</v>
      </c>
      <c r="J87" s="8"/>
      <c r="K87" s="9"/>
      <c r="L87" s="7">
        <v>7153.52</v>
      </c>
      <c r="M87" s="9"/>
      <c r="N87" s="64">
        <f t="shared" si="24"/>
        <v>0</v>
      </c>
      <c r="O87" s="65"/>
    </row>
    <row r="88" spans="1:15" x14ac:dyDescent="0.25">
      <c r="A88" s="40" t="s">
        <v>5</v>
      </c>
      <c r="B88" s="47"/>
      <c r="C88" s="47"/>
      <c r="D88" s="47"/>
      <c r="E88" s="47"/>
      <c r="F88" s="47"/>
      <c r="G88" s="47"/>
      <c r="H88" s="47">
        <v>1239.1600000000001</v>
      </c>
      <c r="I88" s="7">
        <f t="shared" si="21"/>
        <v>1239.1600000000001</v>
      </c>
      <c r="J88" s="8"/>
      <c r="K88" s="9"/>
      <c r="L88" s="7">
        <v>1239.1600000000001</v>
      </c>
      <c r="M88" s="9"/>
      <c r="N88" s="64">
        <f t="shared" si="24"/>
        <v>0</v>
      </c>
      <c r="O88" s="65"/>
    </row>
    <row r="89" spans="1:15" x14ac:dyDescent="0.25">
      <c r="A89" s="40" t="s">
        <v>85</v>
      </c>
      <c r="B89" s="47"/>
      <c r="C89" s="47"/>
      <c r="D89" s="47"/>
      <c r="E89" s="47"/>
      <c r="F89" s="47"/>
      <c r="G89" s="47"/>
      <c r="H89" s="47">
        <v>0</v>
      </c>
      <c r="I89" s="7">
        <f t="shared" si="21"/>
        <v>0</v>
      </c>
      <c r="J89" s="8"/>
      <c r="K89" s="9"/>
      <c r="L89" s="7">
        <v>0</v>
      </c>
      <c r="M89" s="9"/>
      <c r="N89" s="64">
        <f t="shared" si="24"/>
        <v>0</v>
      </c>
      <c r="O89" s="65"/>
    </row>
    <row r="90" spans="1:15" x14ac:dyDescent="0.25">
      <c r="A90" s="40" t="s">
        <v>350</v>
      </c>
      <c r="B90" s="47">
        <f>42328</f>
        <v>42328</v>
      </c>
      <c r="C90" s="47"/>
      <c r="D90" s="47"/>
      <c r="E90" s="47">
        <v>292311</v>
      </c>
      <c r="F90" s="47"/>
      <c r="G90" s="47"/>
      <c r="H90" s="47"/>
      <c r="I90" s="7">
        <f t="shared" si="21"/>
        <v>334639</v>
      </c>
      <c r="J90" s="8"/>
      <c r="K90" s="9"/>
      <c r="L90" s="7">
        <v>334639</v>
      </c>
      <c r="M90" s="9"/>
      <c r="N90" s="64">
        <f t="shared" si="24"/>
        <v>0</v>
      </c>
      <c r="O90" s="65"/>
    </row>
    <row r="91" spans="1:15" x14ac:dyDescent="0.25">
      <c r="A91" s="67" t="s">
        <v>86</v>
      </c>
      <c r="B91" s="68">
        <f t="shared" ref="B91" si="25">SUM(B83:B90)</f>
        <v>42328</v>
      </c>
      <c r="C91" s="68">
        <f t="shared" ref="C91:H91" si="26">SUM(C83:C90)</f>
        <v>9009</v>
      </c>
      <c r="D91" s="68">
        <f t="shared" si="26"/>
        <v>99940.805640000006</v>
      </c>
      <c r="E91" s="68">
        <f t="shared" si="26"/>
        <v>292311</v>
      </c>
      <c r="F91" s="68">
        <f t="shared" si="26"/>
        <v>18727.87</v>
      </c>
      <c r="G91" s="68">
        <f t="shared" si="26"/>
        <v>7153.52</v>
      </c>
      <c r="H91" s="68">
        <f t="shared" si="26"/>
        <v>1239.1600000000001</v>
      </c>
      <c r="I91" s="68">
        <f>SUM(I83:I90)</f>
        <v>470709.35563999997</v>
      </c>
      <c r="J91" s="10"/>
      <c r="K91" s="10"/>
      <c r="L91" s="68">
        <v>487648.47523999994</v>
      </c>
      <c r="M91" s="10"/>
      <c r="N91" s="68">
        <f t="shared" ref="N91" si="27">SUM(N83:N89)</f>
        <v>-16939.119599999984</v>
      </c>
    </row>
    <row r="92" spans="1:15" x14ac:dyDescent="0.25">
      <c r="A92" s="69" t="s">
        <v>87</v>
      </c>
      <c r="B92" s="61"/>
      <c r="C92" s="61"/>
      <c r="D92" s="61"/>
      <c r="E92" s="61"/>
      <c r="F92" s="61"/>
      <c r="G92" s="61"/>
      <c r="H92" s="61"/>
      <c r="I92" s="62"/>
      <c r="J92" s="10" t="s">
        <v>342</v>
      </c>
      <c r="K92" s="10"/>
      <c r="L92" s="62"/>
      <c r="M92" s="10"/>
      <c r="N92" s="62"/>
    </row>
    <row r="93" spans="1:15" x14ac:dyDescent="0.25">
      <c r="A93" s="40" t="s">
        <v>88</v>
      </c>
      <c r="B93" s="7"/>
      <c r="C93" s="7"/>
      <c r="D93" s="7"/>
      <c r="E93" s="7"/>
      <c r="F93" s="7"/>
      <c r="G93" s="7"/>
      <c r="H93" s="7"/>
      <c r="I93" s="7">
        <f t="shared" si="21"/>
        <v>0</v>
      </c>
      <c r="J93" s="19"/>
      <c r="L93" s="7">
        <v>0</v>
      </c>
      <c r="N93" s="64">
        <f>I93-L93</f>
        <v>0</v>
      </c>
    </row>
    <row r="94" spans="1:15" x14ac:dyDescent="0.25">
      <c r="A94" s="40" t="s">
        <v>356</v>
      </c>
      <c r="B94" s="14"/>
      <c r="C94" s="14"/>
      <c r="D94" s="14"/>
      <c r="E94" s="14"/>
      <c r="F94" s="14"/>
      <c r="G94" s="14"/>
      <c r="H94" s="14"/>
      <c r="I94" s="7">
        <f t="shared" si="21"/>
        <v>0</v>
      </c>
      <c r="J94" s="19"/>
      <c r="L94" s="7">
        <v>0</v>
      </c>
      <c r="N94" s="64">
        <f t="shared" ref="N94:N97" si="28">I94-L94</f>
        <v>0</v>
      </c>
    </row>
    <row r="95" spans="1:15" x14ac:dyDescent="0.25">
      <c r="A95" s="40" t="s">
        <v>90</v>
      </c>
      <c r="B95" s="47">
        <f>243784+145301</f>
        <v>389085</v>
      </c>
      <c r="C95" s="47"/>
      <c r="D95" s="47"/>
      <c r="E95" s="47"/>
      <c r="F95" s="47"/>
      <c r="G95" s="47"/>
      <c r="H95" s="47"/>
      <c r="I95" s="47">
        <f t="shared" si="21"/>
        <v>389085</v>
      </c>
      <c r="J95" s="19"/>
      <c r="L95" s="47">
        <v>243784</v>
      </c>
      <c r="N95" s="64">
        <f t="shared" si="28"/>
        <v>145301</v>
      </c>
    </row>
    <row r="96" spans="1:15" x14ac:dyDescent="0.25">
      <c r="A96" s="40" t="s">
        <v>357</v>
      </c>
      <c r="B96" s="47"/>
      <c r="C96" s="47"/>
      <c r="D96" s="47"/>
      <c r="E96" s="47"/>
      <c r="F96" s="47"/>
      <c r="G96" s="47"/>
      <c r="H96" s="47"/>
      <c r="I96" s="47">
        <f t="shared" si="21"/>
        <v>0</v>
      </c>
      <c r="J96" s="19"/>
      <c r="L96" s="47">
        <v>0</v>
      </c>
      <c r="N96" s="64">
        <f t="shared" si="28"/>
        <v>0</v>
      </c>
    </row>
    <row r="97" spans="1:14" x14ac:dyDescent="0.25">
      <c r="A97" s="67" t="s">
        <v>92</v>
      </c>
      <c r="B97" s="68">
        <f>SUM(B93:B96)</f>
        <v>389085</v>
      </c>
      <c r="C97" s="68">
        <f t="shared" ref="C97:H97" si="29">SUM(C93:C96)</f>
        <v>0</v>
      </c>
      <c r="D97" s="68">
        <f t="shared" si="29"/>
        <v>0</v>
      </c>
      <c r="E97" s="68"/>
      <c r="F97" s="68"/>
      <c r="G97" s="68"/>
      <c r="H97" s="68">
        <f t="shared" si="29"/>
        <v>0</v>
      </c>
      <c r="I97" s="68">
        <f>SUM(I93:I96)</f>
        <v>389085</v>
      </c>
      <c r="J97" s="10"/>
      <c r="K97" s="10"/>
      <c r="L97" s="68">
        <v>243784</v>
      </c>
      <c r="M97" s="10"/>
      <c r="N97" s="64">
        <f t="shared" si="28"/>
        <v>145301</v>
      </c>
    </row>
    <row r="98" spans="1:14" x14ac:dyDescent="0.25">
      <c r="A98" s="74" t="s">
        <v>93</v>
      </c>
      <c r="B98" s="75">
        <f>B81+B91+B97</f>
        <v>1509571</v>
      </c>
      <c r="C98" s="75">
        <f t="shared" ref="C98:I98" si="30">C81+C91+C97</f>
        <v>35924</v>
      </c>
      <c r="D98" s="75">
        <f t="shared" si="30"/>
        <v>99940.805640000006</v>
      </c>
      <c r="E98" s="75">
        <f t="shared" si="30"/>
        <v>292311</v>
      </c>
      <c r="F98" s="75">
        <f t="shared" si="30"/>
        <v>18727.87</v>
      </c>
      <c r="G98" s="75">
        <f t="shared" si="30"/>
        <v>7153.52</v>
      </c>
      <c r="H98" s="75">
        <f t="shared" si="30"/>
        <v>1239.1600000000001</v>
      </c>
      <c r="I98" s="75">
        <f t="shared" si="30"/>
        <v>1964867.35564</v>
      </c>
      <c r="J98" s="10"/>
      <c r="K98" s="10"/>
      <c r="L98" s="75">
        <v>2015825.4752400001</v>
      </c>
      <c r="M98" s="10"/>
      <c r="N98" s="75">
        <f t="shared" ref="N98" si="31">N81+N91+N97</f>
        <v>-50958.119599999976</v>
      </c>
    </row>
    <row r="99" spans="1:14" x14ac:dyDescent="0.25">
      <c r="A99" s="69" t="s">
        <v>94</v>
      </c>
      <c r="B99" s="61"/>
      <c r="C99" s="61"/>
      <c r="D99" s="61"/>
      <c r="E99" s="61"/>
      <c r="F99" s="61"/>
      <c r="G99" s="61"/>
      <c r="H99" s="61"/>
      <c r="I99" s="62"/>
      <c r="J99" s="10"/>
      <c r="K99" s="10"/>
      <c r="L99" s="62"/>
      <c r="M99" s="10"/>
      <c r="N99" s="61"/>
    </row>
    <row r="100" spans="1:14" x14ac:dyDescent="0.25">
      <c r="A100" s="40" t="s">
        <v>95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f>SUM(B100:H100)</f>
        <v>0</v>
      </c>
      <c r="J100" s="19"/>
      <c r="K100" s="10"/>
      <c r="L100" s="7">
        <v>0</v>
      </c>
      <c r="M100" s="10"/>
      <c r="N100" s="7">
        <f>SUM(H100:M100)</f>
        <v>0</v>
      </c>
    </row>
    <row r="101" spans="1:14" x14ac:dyDescent="0.25">
      <c r="A101" s="40" t="s">
        <v>96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7">
        <f t="shared" ref="I101:I103" si="32">SUM(B101:H101)</f>
        <v>0</v>
      </c>
      <c r="J101" s="19"/>
      <c r="K101" s="10"/>
      <c r="L101" s="7">
        <v>0</v>
      </c>
      <c r="M101" s="10"/>
      <c r="N101" s="14">
        <v>0</v>
      </c>
    </row>
    <row r="102" spans="1:14" x14ac:dyDescent="0.25">
      <c r="A102" s="40"/>
      <c r="B102" s="47"/>
      <c r="C102" s="47"/>
      <c r="D102" s="47"/>
      <c r="E102" s="47"/>
      <c r="F102" s="47"/>
      <c r="G102" s="47"/>
      <c r="H102" s="47"/>
      <c r="I102" s="7">
        <f t="shared" si="32"/>
        <v>0</v>
      </c>
      <c r="J102" s="19"/>
      <c r="K102" s="10"/>
      <c r="L102" s="7">
        <v>0</v>
      </c>
      <c r="M102" s="10"/>
      <c r="N102" s="47"/>
    </row>
    <row r="103" spans="1:14" x14ac:dyDescent="0.25">
      <c r="A103" s="40"/>
      <c r="B103" s="47"/>
      <c r="C103" s="47"/>
      <c r="D103" s="47"/>
      <c r="E103" s="47"/>
      <c r="F103" s="47"/>
      <c r="G103" s="47"/>
      <c r="H103" s="47"/>
      <c r="I103" s="7">
        <f t="shared" si="32"/>
        <v>0</v>
      </c>
      <c r="J103" s="19"/>
      <c r="K103" s="10"/>
      <c r="L103" s="7">
        <v>0</v>
      </c>
      <c r="M103" s="10"/>
      <c r="N103" s="47"/>
    </row>
    <row r="104" spans="1:14" x14ac:dyDescent="0.25">
      <c r="A104" s="67" t="s">
        <v>97</v>
      </c>
      <c r="B104" s="68">
        <f>SUM(B100:B103)</f>
        <v>0</v>
      </c>
      <c r="C104" s="68">
        <f t="shared" ref="C104:I104" si="33">SUM(C100:C103)</f>
        <v>0</v>
      </c>
      <c r="D104" s="68">
        <f t="shared" si="33"/>
        <v>0</v>
      </c>
      <c r="E104" s="68">
        <f t="shared" si="33"/>
        <v>0</v>
      </c>
      <c r="F104" s="68">
        <f t="shared" si="33"/>
        <v>0</v>
      </c>
      <c r="G104" s="68">
        <f t="shared" si="33"/>
        <v>0</v>
      </c>
      <c r="H104" s="68">
        <f t="shared" si="33"/>
        <v>0</v>
      </c>
      <c r="I104" s="68">
        <f t="shared" si="33"/>
        <v>0</v>
      </c>
      <c r="J104" s="10"/>
      <c r="K104" s="10"/>
      <c r="L104" s="68">
        <v>0</v>
      </c>
      <c r="M104" s="10"/>
      <c r="N104" s="68">
        <f t="shared" ref="N104" si="34">SUM(N100:N103)</f>
        <v>0</v>
      </c>
    </row>
    <row r="105" spans="1:14" ht="15.75" thickBot="1" x14ac:dyDescent="0.3">
      <c r="A105" s="40"/>
      <c r="B105" s="54"/>
      <c r="C105" s="54"/>
      <c r="D105" s="54"/>
      <c r="E105" s="54"/>
      <c r="F105" s="54"/>
      <c r="G105" s="54"/>
      <c r="H105" s="54"/>
      <c r="I105" s="54"/>
      <c r="J105" s="10"/>
      <c r="K105" s="10"/>
      <c r="L105" s="54"/>
      <c r="M105" s="10"/>
      <c r="N105" s="54"/>
    </row>
    <row r="106" spans="1:14" ht="15.75" thickBot="1" x14ac:dyDescent="0.3">
      <c r="A106" s="76" t="s">
        <v>98</v>
      </c>
      <c r="B106" s="77" t="str">
        <f>B1</f>
        <v>Operating</v>
      </c>
      <c r="C106" s="77" t="str">
        <f>C1</f>
        <v>SPED</v>
      </c>
      <c r="D106" s="77" t="str">
        <f>D1</f>
        <v>NSLP</v>
      </c>
      <c r="E106" s="77" t="str">
        <f>E1</f>
        <v>CSP</v>
      </c>
      <c r="F106" s="77" t="str">
        <f t="shared" ref="F106:G106" si="35">F1</f>
        <v>Title I</v>
      </c>
      <c r="G106" s="77" t="str">
        <f t="shared" si="35"/>
        <v>Title II</v>
      </c>
      <c r="H106" s="77" t="str">
        <f>H1</f>
        <v>Title III</v>
      </c>
      <c r="I106" s="77" t="str">
        <f>I1</f>
        <v>Total (23-24)</v>
      </c>
      <c r="J106" s="10"/>
      <c r="K106" s="10"/>
      <c r="L106" s="77" t="s">
        <v>6</v>
      </c>
      <c r="M106" s="10"/>
      <c r="N106" s="77" t="str">
        <f>N1</f>
        <v>Variance</v>
      </c>
    </row>
    <row r="107" spans="1:14" x14ac:dyDescent="0.25">
      <c r="A107" s="60" t="s">
        <v>99</v>
      </c>
      <c r="B107" s="61"/>
      <c r="C107" s="61"/>
      <c r="D107" s="61"/>
      <c r="E107" s="61"/>
      <c r="F107" s="61"/>
      <c r="G107" s="61"/>
      <c r="H107" s="61"/>
      <c r="I107" s="62"/>
      <c r="J107" s="10"/>
      <c r="K107" s="10"/>
      <c r="L107" s="62"/>
      <c r="M107" s="10"/>
      <c r="N107" s="62"/>
    </row>
    <row r="108" spans="1:14" x14ac:dyDescent="0.25">
      <c r="A108" s="40" t="s">
        <v>349</v>
      </c>
      <c r="B108" s="14">
        <v>0</v>
      </c>
      <c r="C108" s="7"/>
      <c r="D108" s="7"/>
      <c r="E108" s="7"/>
      <c r="F108" s="7"/>
      <c r="G108" s="7"/>
      <c r="H108" s="7"/>
      <c r="I108" s="7">
        <f t="shared" ref="I108:I122" si="36">SUM(B108:H108)</f>
        <v>0</v>
      </c>
      <c r="J108" s="19"/>
      <c r="L108" s="7">
        <v>0</v>
      </c>
      <c r="N108" s="235">
        <f>I108-L108</f>
        <v>0</v>
      </c>
    </row>
    <row r="109" spans="1:14" x14ac:dyDescent="0.25">
      <c r="A109" s="40" t="s">
        <v>353</v>
      </c>
      <c r="B109" s="14">
        <f>100000*1.1</f>
        <v>110000.00000000001</v>
      </c>
      <c r="C109" s="7"/>
      <c r="D109" s="7"/>
      <c r="E109" s="7"/>
      <c r="F109" s="7"/>
      <c r="G109" s="7"/>
      <c r="H109" s="7"/>
      <c r="I109" s="7">
        <f t="shared" si="36"/>
        <v>110000.00000000001</v>
      </c>
      <c r="J109" s="19"/>
      <c r="L109" s="7">
        <v>110000</v>
      </c>
      <c r="N109" s="64">
        <f t="shared" ref="N109:N122" si="37">I109-L109</f>
        <v>0</v>
      </c>
    </row>
    <row r="110" spans="1:14" x14ac:dyDescent="0.25">
      <c r="A110" s="40" t="s">
        <v>100</v>
      </c>
      <c r="B110" s="7">
        <v>0</v>
      </c>
      <c r="C110" s="7"/>
      <c r="D110" s="7"/>
      <c r="E110" s="7"/>
      <c r="F110" s="7"/>
      <c r="G110" s="7"/>
      <c r="H110" s="7"/>
      <c r="I110" s="7">
        <f t="shared" si="36"/>
        <v>0</v>
      </c>
      <c r="J110" s="19"/>
      <c r="L110" s="7">
        <v>0</v>
      </c>
      <c r="N110" s="64">
        <f t="shared" si="37"/>
        <v>0</v>
      </c>
    </row>
    <row r="111" spans="1:14" x14ac:dyDescent="0.25">
      <c r="A111" s="40" t="s">
        <v>45</v>
      </c>
      <c r="B111" s="7">
        <v>0</v>
      </c>
      <c r="C111" s="7"/>
      <c r="D111" s="7"/>
      <c r="E111" s="7">
        <v>0</v>
      </c>
      <c r="F111" s="7"/>
      <c r="G111" s="7"/>
      <c r="H111" s="7"/>
      <c r="I111" s="7">
        <f t="shared" si="36"/>
        <v>0</v>
      </c>
      <c r="J111" s="19"/>
      <c r="L111" s="7">
        <v>0</v>
      </c>
      <c r="N111" s="64">
        <f t="shared" si="37"/>
        <v>0</v>
      </c>
    </row>
    <row r="112" spans="1:14" x14ac:dyDescent="0.25">
      <c r="A112" s="43" t="s">
        <v>46</v>
      </c>
      <c r="B112" s="7">
        <v>0</v>
      </c>
      <c r="C112" s="7"/>
      <c r="D112" s="7"/>
      <c r="E112" s="7"/>
      <c r="F112" s="7"/>
      <c r="G112" s="7"/>
      <c r="H112" s="7"/>
      <c r="I112" s="7">
        <f>SUM(B112:H112)</f>
        <v>0</v>
      </c>
      <c r="J112" s="19"/>
      <c r="L112" s="7">
        <v>0</v>
      </c>
      <c r="N112" s="64">
        <f t="shared" si="37"/>
        <v>0</v>
      </c>
    </row>
    <row r="113" spans="1:16" x14ac:dyDescent="0.25">
      <c r="A113" s="43" t="s">
        <v>47</v>
      </c>
      <c r="B113" s="7">
        <v>0</v>
      </c>
      <c r="C113" s="7"/>
      <c r="D113" s="7"/>
      <c r="E113" s="7"/>
      <c r="F113" s="7"/>
      <c r="G113" s="7"/>
      <c r="H113" s="7"/>
      <c r="I113" s="7">
        <f>SUM(B113:H113)</f>
        <v>0</v>
      </c>
      <c r="J113" s="19"/>
      <c r="L113" s="7">
        <f>SUM(E113:K113)</f>
        <v>0</v>
      </c>
      <c r="N113" s="64">
        <f t="shared" si="37"/>
        <v>0</v>
      </c>
    </row>
    <row r="114" spans="1:16" x14ac:dyDescent="0.25">
      <c r="A114" s="40" t="s">
        <v>345</v>
      </c>
      <c r="B114" s="7">
        <v>0</v>
      </c>
      <c r="C114" s="7">
        <v>0</v>
      </c>
      <c r="D114" s="7"/>
      <c r="E114" s="7">
        <f>50000</f>
        <v>50000</v>
      </c>
      <c r="F114" s="7"/>
      <c r="G114" s="7"/>
      <c r="H114" s="7"/>
      <c r="I114" s="7">
        <f>SUM(B114:H114)</f>
        <v>50000</v>
      </c>
      <c r="J114" s="19"/>
      <c r="L114" s="7">
        <v>50000</v>
      </c>
      <c r="N114" s="231">
        <f t="shared" si="37"/>
        <v>0</v>
      </c>
    </row>
    <row r="115" spans="1:16" x14ac:dyDescent="0.25">
      <c r="A115" s="40" t="s">
        <v>101</v>
      </c>
      <c r="B115" s="7"/>
      <c r="C115" s="7"/>
      <c r="D115" s="7"/>
      <c r="E115" s="7"/>
      <c r="F115" s="7"/>
      <c r="G115" s="7"/>
      <c r="H115" s="7"/>
      <c r="I115" s="7">
        <f t="shared" si="36"/>
        <v>0</v>
      </c>
      <c r="J115" s="19"/>
      <c r="L115" s="7">
        <v>0</v>
      </c>
      <c r="N115" s="231">
        <f t="shared" si="37"/>
        <v>0</v>
      </c>
    </row>
    <row r="116" spans="1:16" x14ac:dyDescent="0.25">
      <c r="A116" s="40" t="s">
        <v>102</v>
      </c>
      <c r="B116" s="7">
        <f>55000*(B36-B35)+5000</f>
        <v>376250</v>
      </c>
      <c r="C116" s="7"/>
      <c r="D116" s="7"/>
      <c r="E116" s="7"/>
      <c r="F116" s="7"/>
      <c r="G116" s="7"/>
      <c r="H116" s="7"/>
      <c r="I116" s="7">
        <f t="shared" si="36"/>
        <v>376250</v>
      </c>
      <c r="J116" s="19"/>
      <c r="L116" s="7">
        <v>376250</v>
      </c>
      <c r="N116" s="235">
        <f t="shared" si="37"/>
        <v>0</v>
      </c>
    </row>
    <row r="117" spans="1:16" x14ac:dyDescent="0.25">
      <c r="A117" s="40" t="s">
        <v>34</v>
      </c>
      <c r="B117" s="7"/>
      <c r="C117" s="7">
        <f>55000*I28</f>
        <v>55000</v>
      </c>
      <c r="D117" s="7"/>
      <c r="E117" s="7"/>
      <c r="F117" s="7"/>
      <c r="G117" s="7"/>
      <c r="H117" s="7"/>
      <c r="I117" s="7">
        <f t="shared" si="36"/>
        <v>55000</v>
      </c>
      <c r="J117" s="19"/>
      <c r="L117" s="7">
        <v>55000</v>
      </c>
      <c r="N117" s="235">
        <f>I117-L117</f>
        <v>0</v>
      </c>
    </row>
    <row r="118" spans="1:16" x14ac:dyDescent="0.25">
      <c r="A118" s="40" t="s">
        <v>103</v>
      </c>
      <c r="B118" s="14">
        <f>40000*1.1+35568</f>
        <v>79568</v>
      </c>
      <c r="C118" s="7"/>
      <c r="D118" s="7"/>
      <c r="E118" s="7"/>
      <c r="F118" s="7"/>
      <c r="G118" s="7"/>
      <c r="H118" s="7"/>
      <c r="I118" s="7">
        <f t="shared" si="36"/>
        <v>79568</v>
      </c>
      <c r="J118" s="19"/>
      <c r="L118" s="7">
        <v>79568</v>
      </c>
      <c r="N118" s="231">
        <f t="shared" si="37"/>
        <v>0</v>
      </c>
    </row>
    <row r="119" spans="1:16" x14ac:dyDescent="0.25">
      <c r="A119" s="40" t="s">
        <v>104</v>
      </c>
      <c r="B119" s="14">
        <f>(14*8*190)*(B50+B49)</f>
        <v>0</v>
      </c>
      <c r="C119" s="7"/>
      <c r="D119" s="7"/>
      <c r="E119" s="7"/>
      <c r="F119" s="7"/>
      <c r="G119" s="7"/>
      <c r="H119" s="7"/>
      <c r="I119" s="7">
        <f t="shared" si="36"/>
        <v>0</v>
      </c>
      <c r="J119" s="19"/>
      <c r="L119" s="7">
        <v>0</v>
      </c>
      <c r="N119" s="231">
        <f t="shared" si="37"/>
        <v>0</v>
      </c>
    </row>
    <row r="120" spans="1:16" x14ac:dyDescent="0.25">
      <c r="A120" s="40" t="s">
        <v>105</v>
      </c>
      <c r="B120" s="7">
        <f>(14*8*180)*B51</f>
        <v>0</v>
      </c>
      <c r="C120" s="7">
        <f t="shared" ref="C120:D120" si="38">(14*8*180)*C51</f>
        <v>0</v>
      </c>
      <c r="D120" s="7">
        <f t="shared" si="38"/>
        <v>0</v>
      </c>
      <c r="E120" s="7"/>
      <c r="F120" s="14">
        <f>(15*8*180)*F51</f>
        <v>21600</v>
      </c>
      <c r="G120" s="7"/>
      <c r="H120" s="7"/>
      <c r="I120" s="7">
        <f t="shared" si="36"/>
        <v>21600</v>
      </c>
      <c r="J120" s="19"/>
      <c r="L120" s="7">
        <v>21600</v>
      </c>
      <c r="N120" s="235">
        <f>I120-L120</f>
        <v>0</v>
      </c>
      <c r="O120" s="28"/>
      <c r="P120" s="28"/>
    </row>
    <row r="121" spans="1:16" x14ac:dyDescent="0.25">
      <c r="A121" s="40" t="s">
        <v>106</v>
      </c>
      <c r="B121" s="14">
        <f>(17*8*210)*B52</f>
        <v>0</v>
      </c>
      <c r="C121" s="7"/>
      <c r="D121" s="7"/>
      <c r="E121" s="7"/>
      <c r="F121" s="7"/>
      <c r="G121" s="7"/>
      <c r="H121" s="7"/>
      <c r="I121" s="7">
        <f t="shared" si="36"/>
        <v>0</v>
      </c>
      <c r="J121" s="19"/>
      <c r="L121" s="7">
        <v>0</v>
      </c>
      <c r="N121" s="231">
        <f t="shared" si="37"/>
        <v>0</v>
      </c>
    </row>
    <row r="122" spans="1:16" x14ac:dyDescent="0.25">
      <c r="A122" s="40" t="s">
        <v>55</v>
      </c>
      <c r="B122" s="7"/>
      <c r="C122" s="7"/>
      <c r="D122" s="7"/>
      <c r="E122" s="7"/>
      <c r="F122" s="7"/>
      <c r="G122" s="7"/>
      <c r="H122" s="7"/>
      <c r="I122" s="7">
        <f t="shared" si="36"/>
        <v>0</v>
      </c>
      <c r="J122" s="19"/>
      <c r="L122" s="79">
        <v>0</v>
      </c>
      <c r="N122" s="64">
        <f t="shared" si="37"/>
        <v>0</v>
      </c>
    </row>
    <row r="123" spans="1:16" x14ac:dyDescent="0.25">
      <c r="A123" s="78" t="s">
        <v>107</v>
      </c>
      <c r="B123" s="79">
        <f>SUM(B109:B122)</f>
        <v>565818</v>
      </c>
      <c r="C123" s="79">
        <f t="shared" ref="C123:H123" si="39">SUM(C109:C122)</f>
        <v>55000</v>
      </c>
      <c r="D123" s="79">
        <f t="shared" si="39"/>
        <v>0</v>
      </c>
      <c r="E123" s="79">
        <f t="shared" si="39"/>
        <v>50000</v>
      </c>
      <c r="F123" s="79">
        <f t="shared" si="39"/>
        <v>21600</v>
      </c>
      <c r="G123" s="79">
        <f t="shared" si="39"/>
        <v>0</v>
      </c>
      <c r="H123" s="79">
        <f t="shared" si="39"/>
        <v>0</v>
      </c>
      <c r="I123" s="79">
        <f>SUM(I109:I122)</f>
        <v>692418</v>
      </c>
      <c r="J123" s="10"/>
      <c r="K123" s="10"/>
      <c r="L123" s="62">
        <v>692418</v>
      </c>
      <c r="M123" s="10"/>
      <c r="N123" s="79">
        <f>SUM(N108:N122)</f>
        <v>0</v>
      </c>
    </row>
    <row r="124" spans="1:16" x14ac:dyDescent="0.25">
      <c r="A124" s="80" t="s">
        <v>108</v>
      </c>
      <c r="B124" s="61"/>
      <c r="C124" s="61"/>
      <c r="D124" s="61"/>
      <c r="E124" s="61"/>
      <c r="F124" s="61"/>
      <c r="G124" s="61"/>
      <c r="H124" s="61"/>
      <c r="I124" s="62"/>
      <c r="J124" s="10"/>
      <c r="K124" s="10"/>
      <c r="L124" s="7"/>
      <c r="M124" s="10"/>
      <c r="N124" s="62"/>
    </row>
    <row r="125" spans="1:16" x14ac:dyDescent="0.25">
      <c r="A125" s="40" t="s">
        <v>57</v>
      </c>
      <c r="B125" s="7">
        <v>0</v>
      </c>
      <c r="C125" s="7"/>
      <c r="D125" s="7"/>
      <c r="E125" s="7"/>
      <c r="F125" s="7"/>
      <c r="G125" s="7"/>
      <c r="H125" s="7"/>
      <c r="I125" s="35">
        <f t="shared" ref="I125:I132" si="40">SUM(B125:H125)</f>
        <v>0</v>
      </c>
      <c r="J125" s="19"/>
      <c r="L125" s="35">
        <v>0</v>
      </c>
      <c r="N125" s="64">
        <f>I125-L125</f>
        <v>0</v>
      </c>
    </row>
    <row r="126" spans="1:16" x14ac:dyDescent="0.25">
      <c r="A126" s="40" t="s">
        <v>58</v>
      </c>
      <c r="B126" s="7">
        <v>0</v>
      </c>
      <c r="C126" s="7"/>
      <c r="D126" s="7"/>
      <c r="E126" s="7"/>
      <c r="F126" s="7"/>
      <c r="G126" s="7"/>
      <c r="H126" s="7"/>
      <c r="I126" s="35">
        <f t="shared" si="40"/>
        <v>0</v>
      </c>
      <c r="J126" s="19"/>
      <c r="L126" s="35">
        <v>0</v>
      </c>
      <c r="N126" s="64">
        <f t="shared" ref="N126:N132" si="41">I126-L126</f>
        <v>0</v>
      </c>
    </row>
    <row r="127" spans="1:16" x14ac:dyDescent="0.25">
      <c r="A127" s="40" t="s">
        <v>59</v>
      </c>
      <c r="B127" s="7">
        <v>0</v>
      </c>
      <c r="C127" s="7"/>
      <c r="D127" s="7"/>
      <c r="E127" s="7"/>
      <c r="F127" s="7"/>
      <c r="G127" s="7"/>
      <c r="H127" s="7"/>
      <c r="I127" s="7">
        <f t="shared" si="40"/>
        <v>0</v>
      </c>
      <c r="J127" s="19"/>
      <c r="L127" s="7">
        <v>0</v>
      </c>
      <c r="N127" s="64">
        <f t="shared" si="41"/>
        <v>0</v>
      </c>
    </row>
    <row r="128" spans="1:16" x14ac:dyDescent="0.25">
      <c r="A128" s="40" t="s">
        <v>109</v>
      </c>
      <c r="B128" s="7">
        <v>0</v>
      </c>
      <c r="C128" s="7"/>
      <c r="D128" s="7"/>
      <c r="E128" s="7"/>
      <c r="F128" s="7"/>
      <c r="G128" s="7"/>
      <c r="H128" s="7"/>
      <c r="I128" s="35">
        <f t="shared" si="40"/>
        <v>0</v>
      </c>
      <c r="J128" s="19"/>
      <c r="L128" s="35">
        <v>0</v>
      </c>
      <c r="N128" s="64">
        <f t="shared" si="41"/>
        <v>0</v>
      </c>
    </row>
    <row r="129" spans="1:17" x14ac:dyDescent="0.25">
      <c r="A129" s="40" t="s">
        <v>61</v>
      </c>
      <c r="B129" s="7">
        <v>0</v>
      </c>
      <c r="C129" s="7"/>
      <c r="D129" s="7"/>
      <c r="E129" s="7"/>
      <c r="F129" s="7"/>
      <c r="G129" s="7"/>
      <c r="H129" s="7"/>
      <c r="I129" s="35">
        <f t="shared" si="40"/>
        <v>0</v>
      </c>
      <c r="J129" s="19"/>
      <c r="L129" s="35">
        <v>0</v>
      </c>
      <c r="N129" s="64">
        <f t="shared" si="41"/>
        <v>0</v>
      </c>
    </row>
    <row r="130" spans="1:17" x14ac:dyDescent="0.25">
      <c r="A130" s="40" t="s">
        <v>256</v>
      </c>
      <c r="B130" s="7">
        <v>0</v>
      </c>
      <c r="C130" s="7"/>
      <c r="D130" s="7"/>
      <c r="E130" s="7"/>
      <c r="F130" s="7"/>
      <c r="G130" s="7"/>
      <c r="H130" s="7"/>
      <c r="I130" s="35">
        <f t="shared" si="40"/>
        <v>0</v>
      </c>
      <c r="J130" s="19"/>
      <c r="L130" s="35">
        <v>0</v>
      </c>
      <c r="N130" s="64">
        <f t="shared" si="41"/>
        <v>0</v>
      </c>
    </row>
    <row r="131" spans="1:17" x14ac:dyDescent="0.25">
      <c r="A131" s="40" t="s">
        <v>110</v>
      </c>
      <c r="B131" s="7">
        <f>(12.5*6*185)*B53</f>
        <v>0</v>
      </c>
      <c r="C131" s="7">
        <f>(12.5*6*185)*C53</f>
        <v>0</v>
      </c>
      <c r="D131" s="7">
        <f>(17*8*180)*D53</f>
        <v>24480</v>
      </c>
      <c r="E131" s="7"/>
      <c r="F131" s="7"/>
      <c r="G131" s="7"/>
      <c r="H131" s="7">
        <f>(13.75*8*180)*H53</f>
        <v>0</v>
      </c>
      <c r="I131" s="7">
        <f>SUM(B131:H131)</f>
        <v>24480</v>
      </c>
      <c r="J131" s="19"/>
      <c r="L131" s="7">
        <v>24480</v>
      </c>
      <c r="N131" s="231">
        <f t="shared" si="41"/>
        <v>0</v>
      </c>
    </row>
    <row r="132" spans="1:17" x14ac:dyDescent="0.25">
      <c r="A132" s="40" t="s">
        <v>62</v>
      </c>
      <c r="B132" s="47">
        <v>0</v>
      </c>
      <c r="C132" s="7"/>
      <c r="D132" s="7"/>
      <c r="E132" s="7"/>
      <c r="F132" s="7"/>
      <c r="G132" s="7">
        <v>0</v>
      </c>
      <c r="H132" s="7"/>
      <c r="I132" s="35">
        <f t="shared" si="40"/>
        <v>0</v>
      </c>
      <c r="J132" s="19"/>
      <c r="L132" s="241">
        <v>0</v>
      </c>
      <c r="N132" s="64">
        <f t="shared" si="41"/>
        <v>0</v>
      </c>
    </row>
    <row r="133" spans="1:17" x14ac:dyDescent="0.25">
      <c r="A133" s="81" t="s">
        <v>111</v>
      </c>
      <c r="B133" s="82">
        <f>SUM(B125:B132)</f>
        <v>0</v>
      </c>
      <c r="C133" s="82">
        <f>SUM(C125:C132)</f>
        <v>0</v>
      </c>
      <c r="D133" s="82">
        <f>SUM(D125:D132)</f>
        <v>24480</v>
      </c>
      <c r="E133" s="82">
        <f>SUM(E125:E132)</f>
        <v>0</v>
      </c>
      <c r="F133" s="82">
        <f t="shared" ref="F133" si="42">SUM(F125:F132)</f>
        <v>0</v>
      </c>
      <c r="G133" s="82"/>
      <c r="H133" s="82">
        <f>SUM(H125:H132)</f>
        <v>0</v>
      </c>
      <c r="I133" s="82">
        <f>SUM(I125:I132)</f>
        <v>24480</v>
      </c>
      <c r="J133" s="25"/>
      <c r="K133" s="28"/>
      <c r="L133" s="84">
        <v>24480</v>
      </c>
      <c r="M133" s="10"/>
      <c r="N133" s="82">
        <f>SUM(N125:N132)</f>
        <v>0</v>
      </c>
    </row>
    <row r="134" spans="1:17" x14ac:dyDescent="0.25">
      <c r="A134" s="83" t="s">
        <v>112</v>
      </c>
      <c r="B134" s="84">
        <f>B123+B133</f>
        <v>565818</v>
      </c>
      <c r="C134" s="84">
        <f>C123+C133</f>
        <v>55000</v>
      </c>
      <c r="D134" s="84">
        <f>D123+D133</f>
        <v>24480</v>
      </c>
      <c r="E134" s="84">
        <f>E123+E133</f>
        <v>50000</v>
      </c>
      <c r="F134" s="84">
        <f t="shared" ref="F134:H134" si="43">F123+F133</f>
        <v>21600</v>
      </c>
      <c r="G134" s="84">
        <f t="shared" si="43"/>
        <v>0</v>
      </c>
      <c r="H134" s="84">
        <f t="shared" si="43"/>
        <v>0</v>
      </c>
      <c r="I134" s="84">
        <f>I123+I133</f>
        <v>716898</v>
      </c>
      <c r="J134" s="28"/>
      <c r="K134" s="10"/>
      <c r="L134" s="7">
        <v>716898</v>
      </c>
      <c r="M134" s="10"/>
      <c r="N134" s="84">
        <f>N123+N133</f>
        <v>0</v>
      </c>
    </row>
    <row r="135" spans="1:17" x14ac:dyDescent="0.25">
      <c r="A135" s="40" t="s">
        <v>113</v>
      </c>
      <c r="B135" s="64">
        <f>B134*0.335</f>
        <v>189549.03</v>
      </c>
      <c r="C135" s="64">
        <f t="shared" ref="C135:F135" si="44">C134*0.335</f>
        <v>18425</v>
      </c>
      <c r="D135" s="64">
        <f t="shared" si="44"/>
        <v>8200.8000000000011</v>
      </c>
      <c r="E135" s="64">
        <f t="shared" si="44"/>
        <v>16750</v>
      </c>
      <c r="F135" s="64">
        <f t="shared" si="44"/>
        <v>7236</v>
      </c>
      <c r="G135" s="64">
        <f t="shared" ref="G135:H135" si="45">G134*0.2975</f>
        <v>0</v>
      </c>
      <c r="H135" s="64">
        <f t="shared" si="45"/>
        <v>0</v>
      </c>
      <c r="I135" s="7">
        <f>SUM(B135:H135)</f>
        <v>240160.83</v>
      </c>
      <c r="J135" s="85">
        <f>I135/I134</f>
        <v>0.33499999999999996</v>
      </c>
      <c r="K135" s="86"/>
      <c r="L135" s="7">
        <v>240160.83</v>
      </c>
      <c r="M135" s="86"/>
      <c r="N135" s="235">
        <f>I135-L135</f>
        <v>0</v>
      </c>
    </row>
    <row r="136" spans="1:17" x14ac:dyDescent="0.25">
      <c r="A136" s="87" t="s">
        <v>114</v>
      </c>
      <c r="B136" s="14">
        <f>(((5600*(B66*0.7))+((185*(B66*0.65)))+((60*(B66*0.65)))))+(B134*0.0145)+(B134*0.031)</f>
        <v>65517.40649999999</v>
      </c>
      <c r="C136" s="14">
        <f t="shared" ref="C136:F136" si="46">(((5600*(C66*0.7))+((185*(C66*0.65)))+((60*(C66*0.65)))))+(C134*0.0145)+(C134*0.031)</f>
        <v>6581.75</v>
      </c>
      <c r="D136" s="14">
        <f t="shared" si="46"/>
        <v>5193.0899999999992</v>
      </c>
      <c r="E136" s="14">
        <f t="shared" si="46"/>
        <v>6354.25</v>
      </c>
      <c r="F136" s="14">
        <f t="shared" si="46"/>
        <v>5062.05</v>
      </c>
      <c r="G136" s="14">
        <f t="shared" ref="G136:H136" si="47">(((6400*(G66*0.8))+((275*(G66*0.8)))+((60*(G66*0.8)))))+(G134*0.0145)+(G134*0.031)</f>
        <v>0</v>
      </c>
      <c r="H136" s="14">
        <f t="shared" si="47"/>
        <v>0</v>
      </c>
      <c r="I136" s="7">
        <f>SUM(B136:H136)</f>
        <v>88708.546499999982</v>
      </c>
      <c r="J136" s="85">
        <f>I136/I134</f>
        <v>0.12373942527388831</v>
      </c>
      <c r="K136" s="86"/>
      <c r="L136" s="7">
        <v>88708.546499999982</v>
      </c>
      <c r="M136" s="86"/>
      <c r="N136" s="235">
        <f t="shared" ref="N136:N142" si="48">I136-L136</f>
        <v>0</v>
      </c>
    </row>
    <row r="137" spans="1:17" x14ac:dyDescent="0.25">
      <c r="A137" s="40" t="s">
        <v>115</v>
      </c>
      <c r="B137" s="7">
        <f>((1100*B36)+(2750*B40)+(2200*B41)+(1650*B42)+(1650*B43)+(1650*B44)+(1650*B45)+(1650*B46)+(1100*B47)+(1100*B48)+(500*B49)+(500*B50)+(500*B51)+(500*B52)+(500*B53)+(500*B54)+(1100*B55)+(1100*B56)+(1100*B57)+(1100*B58)+(1100*B59)+(1100*B60))*0.9</f>
        <v>11137.5</v>
      </c>
      <c r="C137" s="7">
        <f>((1100*C36)+(2750*C40)+(2200*C41)+(1650*C42)+(1650*C43)+(1650*C44)+(1650*C45)+(1650*C46)+(1100*C47)+(1100*C48)+(500*C49)+(500*C50)+(500*C51)+(500*C52)+(500*C53)+(500*C54)+(1100*C55)+(1100*C56)+(1100*C57)+(1100*C58)+(1100*C59)+(1100*C60))</f>
        <v>1100</v>
      </c>
      <c r="D137" s="7">
        <f t="shared" ref="D137" si="49">((1100*D36)+(2750*D40)+(2200*D41)+(1650*D42)+(1650*D43)+(1650*D44)+(1650*D45)+(1650*D46)+(1100*D47)+(1100*D48)+(500*D49)+(500*D50)+(500*D51)+(500*D52)+(500*D53)+(500*D54)+(1100*D55)+(1100*D56)+(1100*D57)+(1100*D58)+(1100*D59)+(1100*D60))*0.9</f>
        <v>450</v>
      </c>
      <c r="E137" s="7"/>
      <c r="F137" s="7"/>
      <c r="G137" s="7">
        <f t="shared" ref="G137:H137" si="50">((1000*G36)+(2000*G40)+(1750*G41)+(1500*G42)+(1500*G43)+(1500*G44)+(1000*G47)+(1000*G48)+(500*G49)+(500*G50)+(500*G51)+(500*G52)+(500*G53)+(500*G54)+(1000*G55)+(1000*G56)+(1000*G57)+(1000*G58)+(1000*G59)+(1000*G60))*0.7</f>
        <v>0</v>
      </c>
      <c r="H137" s="7">
        <f t="shared" si="50"/>
        <v>0</v>
      </c>
      <c r="I137" s="7">
        <f t="shared" ref="I137:I142" si="51">SUM(B137:H137)</f>
        <v>12687.5</v>
      </c>
      <c r="J137" s="19"/>
      <c r="L137" s="7">
        <v>12687.5</v>
      </c>
      <c r="N137" s="235">
        <f t="shared" si="48"/>
        <v>0</v>
      </c>
    </row>
    <row r="138" spans="1:17" x14ac:dyDescent="0.25">
      <c r="A138" s="87" t="s">
        <v>116</v>
      </c>
      <c r="B138" s="88">
        <f>125*B66+125*6</f>
        <v>1968.75</v>
      </c>
      <c r="C138" s="89">
        <f>125*C66</f>
        <v>125</v>
      </c>
      <c r="D138" s="89">
        <f t="shared" ref="D138:H138" si="52">125*D66</f>
        <v>125</v>
      </c>
      <c r="E138" s="89"/>
      <c r="F138" s="89"/>
      <c r="G138" s="89">
        <f t="shared" si="52"/>
        <v>0</v>
      </c>
      <c r="H138" s="89">
        <f t="shared" si="52"/>
        <v>0</v>
      </c>
      <c r="I138" s="7">
        <f t="shared" si="51"/>
        <v>2218.75</v>
      </c>
      <c r="J138" s="19"/>
      <c r="L138" s="7">
        <v>2218.75</v>
      </c>
      <c r="N138" s="235">
        <f t="shared" si="48"/>
        <v>0</v>
      </c>
    </row>
    <row r="139" spans="1:17" x14ac:dyDescent="0.25">
      <c r="A139" s="40" t="s">
        <v>117</v>
      </c>
      <c r="B139" s="7">
        <v>0</v>
      </c>
      <c r="C139" s="14"/>
      <c r="D139" s="14"/>
      <c r="E139" s="14"/>
      <c r="F139" s="14"/>
      <c r="G139" s="14"/>
      <c r="H139" s="14"/>
      <c r="I139" s="7">
        <f t="shared" si="51"/>
        <v>0</v>
      </c>
      <c r="J139" s="19"/>
      <c r="L139" s="7">
        <v>0</v>
      </c>
      <c r="N139" s="231">
        <f t="shared" si="48"/>
        <v>0</v>
      </c>
    </row>
    <row r="140" spans="1:17" x14ac:dyDescent="0.25">
      <c r="A140" s="40" t="s">
        <v>118</v>
      </c>
      <c r="B140" s="7"/>
      <c r="C140" s="14"/>
      <c r="D140" s="14"/>
      <c r="E140" s="14"/>
      <c r="F140" s="14"/>
      <c r="G140" s="14"/>
      <c r="H140" s="14"/>
      <c r="I140" s="7">
        <f t="shared" si="51"/>
        <v>0</v>
      </c>
      <c r="J140" s="19"/>
      <c r="L140" s="7">
        <v>0</v>
      </c>
      <c r="N140" s="231">
        <f t="shared" si="48"/>
        <v>0</v>
      </c>
      <c r="Q140" s="90"/>
    </row>
    <row r="141" spans="1:17" x14ac:dyDescent="0.25">
      <c r="A141" s="40" t="s">
        <v>119</v>
      </c>
      <c r="B141" s="14">
        <v>5000</v>
      </c>
      <c r="C141" s="14"/>
      <c r="D141" s="14"/>
      <c r="E141" s="14"/>
      <c r="F141" s="14"/>
      <c r="G141" s="14"/>
      <c r="H141" s="14"/>
      <c r="I141" s="7">
        <f t="shared" si="51"/>
        <v>5000</v>
      </c>
      <c r="J141" s="19"/>
      <c r="L141" s="7">
        <v>5000</v>
      </c>
      <c r="N141" s="231">
        <f t="shared" si="48"/>
        <v>0</v>
      </c>
      <c r="Q141" s="90"/>
    </row>
    <row r="142" spans="1:17" x14ac:dyDescent="0.25">
      <c r="A142" s="40" t="s">
        <v>347</v>
      </c>
      <c r="B142" s="47">
        <f>(185*11*B36)-B132</f>
        <v>13736.25</v>
      </c>
      <c r="C142" s="47">
        <f t="shared" ref="C142:G142" si="53">(185*11*C36)-C132</f>
        <v>2035</v>
      </c>
      <c r="D142" s="47">
        <f t="shared" si="53"/>
        <v>0</v>
      </c>
      <c r="E142" s="47">
        <f t="shared" si="53"/>
        <v>0</v>
      </c>
      <c r="F142" s="47">
        <f t="shared" si="53"/>
        <v>0</v>
      </c>
      <c r="G142" s="47">
        <f t="shared" si="53"/>
        <v>0</v>
      </c>
      <c r="H142" s="47">
        <f t="shared" ref="H142" si="54">(175*11*H36)-H132</f>
        <v>0</v>
      </c>
      <c r="I142" s="7">
        <f t="shared" si="51"/>
        <v>15771.25</v>
      </c>
      <c r="J142" s="19" t="s">
        <v>121</v>
      </c>
      <c r="L142" s="92">
        <v>15771.25</v>
      </c>
      <c r="N142" s="235">
        <f t="shared" si="48"/>
        <v>0</v>
      </c>
    </row>
    <row r="143" spans="1:17" x14ac:dyDescent="0.25">
      <c r="A143" s="91" t="s">
        <v>122</v>
      </c>
      <c r="B143" s="92">
        <f>SUM(B135:B142)</f>
        <v>286908.93649999995</v>
      </c>
      <c r="C143" s="92">
        <f t="shared" ref="C143:H143" si="55">SUM(C135:C142)</f>
        <v>28266.75</v>
      </c>
      <c r="D143" s="92">
        <f t="shared" si="55"/>
        <v>13968.89</v>
      </c>
      <c r="E143" s="92">
        <f t="shared" si="55"/>
        <v>23104.25</v>
      </c>
      <c r="F143" s="92">
        <f t="shared" si="55"/>
        <v>12298.05</v>
      </c>
      <c r="G143" s="92">
        <f t="shared" si="55"/>
        <v>0</v>
      </c>
      <c r="H143" s="92">
        <f t="shared" si="55"/>
        <v>0</v>
      </c>
      <c r="I143" s="92">
        <f>SUM(I135:I142)</f>
        <v>364546.87649999995</v>
      </c>
      <c r="J143" s="10"/>
      <c r="K143" s="10"/>
      <c r="L143" s="84">
        <v>364546.87649999995</v>
      </c>
      <c r="M143" s="10"/>
      <c r="N143" s="92">
        <f>SUM(N135:N142)</f>
        <v>0</v>
      </c>
    </row>
    <row r="144" spans="1:17" x14ac:dyDescent="0.25">
      <c r="A144" s="83" t="s">
        <v>123</v>
      </c>
      <c r="B144" s="84">
        <f>B134+B143</f>
        <v>852726.93649999995</v>
      </c>
      <c r="C144" s="84">
        <f>C134+C143</f>
        <v>83266.75</v>
      </c>
      <c r="D144" s="84">
        <f>D134+D143</f>
        <v>38448.89</v>
      </c>
      <c r="E144" s="84">
        <f>E134+E143</f>
        <v>73104.25</v>
      </c>
      <c r="F144" s="84">
        <f t="shared" ref="F144:G144" si="56">F134+F143</f>
        <v>33898.050000000003</v>
      </c>
      <c r="G144" s="84">
        <f t="shared" si="56"/>
        <v>0</v>
      </c>
      <c r="H144" s="84">
        <f>H134+H143</f>
        <v>0</v>
      </c>
      <c r="I144" s="84">
        <f>I134+I143</f>
        <v>1081444.8765</v>
      </c>
      <c r="J144" s="10"/>
      <c r="K144" s="10"/>
      <c r="L144" s="24">
        <v>1081444.8765</v>
      </c>
      <c r="M144" s="10"/>
      <c r="N144" s="84">
        <f>N134+N143</f>
        <v>0</v>
      </c>
    </row>
    <row r="145" spans="1:14" x14ac:dyDescent="0.25">
      <c r="A145" s="93" t="s">
        <v>124</v>
      </c>
      <c r="B145" s="24" t="str">
        <f>B1</f>
        <v>Operating</v>
      </c>
      <c r="C145" s="24" t="str">
        <f>C1</f>
        <v>SPED</v>
      </c>
      <c r="D145" s="24" t="str">
        <f>D1</f>
        <v>NSLP</v>
      </c>
      <c r="E145" s="24" t="str">
        <f>E1</f>
        <v>CSP</v>
      </c>
      <c r="F145" s="24" t="str">
        <f t="shared" ref="F145:G145" si="57">F1</f>
        <v>Title I</v>
      </c>
      <c r="G145" s="24" t="str">
        <f t="shared" si="57"/>
        <v>Title II</v>
      </c>
      <c r="H145" s="24" t="str">
        <f>H1</f>
        <v>Title III</v>
      </c>
      <c r="I145" s="24" t="str">
        <f>I1</f>
        <v>Total (23-24)</v>
      </c>
      <c r="J145" s="10"/>
      <c r="K145" s="10"/>
      <c r="L145" s="7" t="s">
        <v>6</v>
      </c>
      <c r="M145" s="10"/>
      <c r="N145" s="24" t="str">
        <f>N1</f>
        <v>Variance</v>
      </c>
    </row>
    <row r="146" spans="1:14" x14ac:dyDescent="0.25">
      <c r="A146" s="94" t="s">
        <v>125</v>
      </c>
      <c r="B146" s="7">
        <v>30545</v>
      </c>
      <c r="C146" s="14"/>
      <c r="D146" s="14"/>
      <c r="E146" s="14"/>
      <c r="F146" s="14"/>
      <c r="G146" s="14"/>
      <c r="H146" s="14"/>
      <c r="I146" s="7">
        <f t="shared" ref="I146:I154" si="58">SUM(B146:H146)</f>
        <v>30545</v>
      </c>
      <c r="J146" s="8" t="s">
        <v>126</v>
      </c>
      <c r="L146" s="7">
        <v>30545</v>
      </c>
      <c r="N146" s="231">
        <f>I146-L146</f>
        <v>0</v>
      </c>
    </row>
    <row r="147" spans="1:14" x14ac:dyDescent="0.25">
      <c r="A147" s="95" t="s">
        <v>127</v>
      </c>
      <c r="B147" s="7">
        <v>5000</v>
      </c>
      <c r="C147" s="14"/>
      <c r="D147" s="14"/>
      <c r="E147" s="14"/>
      <c r="F147" s="14"/>
      <c r="G147" s="14"/>
      <c r="H147" s="14"/>
      <c r="I147" s="7">
        <f t="shared" si="58"/>
        <v>5000</v>
      </c>
      <c r="J147" s="19"/>
      <c r="L147" s="7">
        <v>5000</v>
      </c>
      <c r="N147" s="231">
        <f t="shared" ref="N147:N155" si="59">I147-L147</f>
        <v>0</v>
      </c>
    </row>
    <row r="148" spans="1:14" x14ac:dyDescent="0.25">
      <c r="A148" s="40" t="s">
        <v>128</v>
      </c>
      <c r="B148" s="14">
        <v>0</v>
      </c>
      <c r="C148" s="14"/>
      <c r="D148" s="14"/>
      <c r="E148" s="14">
        <f>192227+5596</f>
        <v>197823</v>
      </c>
      <c r="F148" s="14"/>
      <c r="G148" s="14"/>
      <c r="H148" s="14"/>
      <c r="I148" s="7">
        <f t="shared" si="58"/>
        <v>197823</v>
      </c>
      <c r="J148" s="19"/>
      <c r="L148" s="7">
        <v>197823</v>
      </c>
      <c r="N148" s="231">
        <f t="shared" si="59"/>
        <v>0</v>
      </c>
    </row>
    <row r="149" spans="1:14" x14ac:dyDescent="0.25">
      <c r="A149" s="40" t="s">
        <v>129</v>
      </c>
      <c r="B149" s="7">
        <f>30*B17</f>
        <v>3540</v>
      </c>
      <c r="C149" s="14"/>
      <c r="D149" s="14"/>
      <c r="E149" s="14"/>
      <c r="F149" s="14"/>
      <c r="G149" s="14"/>
      <c r="H149" s="14"/>
      <c r="I149" s="7">
        <f t="shared" si="58"/>
        <v>3540</v>
      </c>
      <c r="J149" s="8" t="s">
        <v>130</v>
      </c>
      <c r="L149" s="7">
        <v>4140</v>
      </c>
      <c r="N149" s="231">
        <f t="shared" si="59"/>
        <v>-600</v>
      </c>
    </row>
    <row r="150" spans="1:14" x14ac:dyDescent="0.25">
      <c r="A150" s="40" t="s">
        <v>131</v>
      </c>
      <c r="B150" s="7">
        <f>40*B17</f>
        <v>4720</v>
      </c>
      <c r="C150" s="14"/>
      <c r="D150" s="14"/>
      <c r="E150" s="14"/>
      <c r="F150" s="14"/>
      <c r="G150" s="14"/>
      <c r="H150" s="14"/>
      <c r="I150" s="7">
        <f t="shared" si="58"/>
        <v>4720</v>
      </c>
      <c r="J150" s="8" t="s">
        <v>132</v>
      </c>
      <c r="L150" s="7">
        <v>5520</v>
      </c>
      <c r="N150" s="231">
        <f t="shared" si="59"/>
        <v>-800</v>
      </c>
    </row>
    <row r="151" spans="1:14" x14ac:dyDescent="0.25">
      <c r="A151" s="40" t="s">
        <v>133</v>
      </c>
      <c r="B151" s="7">
        <f>10*B17</f>
        <v>1180</v>
      </c>
      <c r="C151" s="14"/>
      <c r="D151" s="14"/>
      <c r="E151" s="14"/>
      <c r="F151" s="14"/>
      <c r="G151" s="14"/>
      <c r="H151" s="14"/>
      <c r="I151" s="7">
        <f t="shared" si="58"/>
        <v>1180</v>
      </c>
      <c r="J151" s="8" t="s">
        <v>134</v>
      </c>
      <c r="L151" s="7">
        <v>1380</v>
      </c>
      <c r="N151" s="231">
        <f t="shared" si="59"/>
        <v>-200</v>
      </c>
    </row>
    <row r="152" spans="1:14" x14ac:dyDescent="0.25">
      <c r="A152" s="40" t="s">
        <v>135</v>
      </c>
      <c r="B152" s="7">
        <f>8*B17</f>
        <v>944</v>
      </c>
      <c r="C152" s="14"/>
      <c r="D152" s="14"/>
      <c r="E152" s="14"/>
      <c r="F152" s="14"/>
      <c r="G152" s="14"/>
      <c r="H152" s="14"/>
      <c r="I152" s="7">
        <f t="shared" si="58"/>
        <v>944</v>
      </c>
      <c r="J152" s="8" t="s">
        <v>136</v>
      </c>
      <c r="L152" s="7">
        <v>1104</v>
      </c>
      <c r="N152" s="231">
        <f t="shared" si="59"/>
        <v>-160</v>
      </c>
    </row>
    <row r="153" spans="1:14" x14ac:dyDescent="0.25">
      <c r="A153" s="40" t="s">
        <v>137</v>
      </c>
      <c r="B153" s="7">
        <f>129*B20</f>
        <v>0</v>
      </c>
      <c r="C153" s="14">
        <f>150*(C20)</f>
        <v>1050</v>
      </c>
      <c r="D153" s="14"/>
      <c r="E153" s="14"/>
      <c r="F153" s="14"/>
      <c r="G153" s="14"/>
      <c r="H153" s="14"/>
      <c r="I153" s="7">
        <f t="shared" si="58"/>
        <v>1050</v>
      </c>
      <c r="J153" s="8" t="s">
        <v>138</v>
      </c>
      <c r="L153" s="7">
        <v>1050</v>
      </c>
      <c r="N153" s="231">
        <f t="shared" si="59"/>
        <v>0</v>
      </c>
    </row>
    <row r="154" spans="1:14" x14ac:dyDescent="0.25">
      <c r="A154" s="40" t="s">
        <v>139</v>
      </c>
      <c r="B154" s="7">
        <v>7500</v>
      </c>
      <c r="C154" s="7"/>
      <c r="D154" s="7"/>
      <c r="E154" s="7"/>
      <c r="F154" s="7"/>
      <c r="G154" s="7"/>
      <c r="H154" s="7"/>
      <c r="I154" s="7">
        <f t="shared" si="58"/>
        <v>7500</v>
      </c>
      <c r="J154" s="19"/>
      <c r="L154" s="7">
        <v>7500</v>
      </c>
      <c r="N154" s="231">
        <f t="shared" si="59"/>
        <v>0</v>
      </c>
    </row>
    <row r="155" spans="1:14" x14ac:dyDescent="0.25">
      <c r="A155" s="96" t="s">
        <v>140</v>
      </c>
      <c r="B155" s="97">
        <f>6705</f>
        <v>6705</v>
      </c>
      <c r="C155" s="7"/>
      <c r="D155" s="7"/>
      <c r="E155" s="7"/>
      <c r="F155" s="7"/>
      <c r="G155" s="7"/>
      <c r="H155" s="7"/>
      <c r="I155" s="7">
        <f>SUM(B155:H155)</f>
        <v>6705</v>
      </c>
      <c r="J155" s="19" t="s">
        <v>141</v>
      </c>
      <c r="L155" s="84">
        <v>6705</v>
      </c>
      <c r="N155" s="231">
        <f t="shared" si="59"/>
        <v>0</v>
      </c>
    </row>
    <row r="156" spans="1:14" x14ac:dyDescent="0.25">
      <c r="A156" s="83" t="s">
        <v>142</v>
      </c>
      <c r="B156" s="84">
        <f>SUM(B146:B155)</f>
        <v>60134</v>
      </c>
      <c r="C156" s="84">
        <f t="shared" ref="C156:H156" si="60">SUM(C146:C155)</f>
        <v>1050</v>
      </c>
      <c r="D156" s="84">
        <f t="shared" si="60"/>
        <v>0</v>
      </c>
      <c r="E156" s="84">
        <f t="shared" si="60"/>
        <v>197823</v>
      </c>
      <c r="F156" s="84">
        <f t="shared" si="60"/>
        <v>0</v>
      </c>
      <c r="G156" s="84">
        <f t="shared" si="60"/>
        <v>0</v>
      </c>
      <c r="H156" s="84">
        <f t="shared" si="60"/>
        <v>0</v>
      </c>
      <c r="I156" s="84">
        <f>SUM(I146:I155)</f>
        <v>259007</v>
      </c>
      <c r="J156" s="10"/>
      <c r="K156" s="10"/>
      <c r="L156" s="24">
        <v>260767</v>
      </c>
      <c r="M156" s="10"/>
      <c r="N156" s="84">
        <f>SUM(N146:N155)</f>
        <v>-1760</v>
      </c>
    </row>
    <row r="157" spans="1:14" x14ac:dyDescent="0.25">
      <c r="A157" s="93" t="s">
        <v>143</v>
      </c>
      <c r="B157" s="24" t="str">
        <f t="shared" ref="B157:I157" si="61">B1</f>
        <v>Operating</v>
      </c>
      <c r="C157" s="24" t="str">
        <f t="shared" si="61"/>
        <v>SPED</v>
      </c>
      <c r="D157" s="24" t="str">
        <f t="shared" si="61"/>
        <v>NSLP</v>
      </c>
      <c r="E157" s="24" t="str">
        <f t="shared" si="61"/>
        <v>CSP</v>
      </c>
      <c r="F157" s="24" t="str">
        <f t="shared" si="61"/>
        <v>Title I</v>
      </c>
      <c r="G157" s="24" t="str">
        <f t="shared" si="61"/>
        <v>Title II</v>
      </c>
      <c r="H157" s="24" t="str">
        <f t="shared" si="61"/>
        <v>Title III</v>
      </c>
      <c r="I157" s="24" t="str">
        <f t="shared" si="61"/>
        <v>Total (23-24)</v>
      </c>
      <c r="J157" s="10"/>
      <c r="K157" s="10"/>
      <c r="L157" s="7" t="s">
        <v>6</v>
      </c>
      <c r="M157" s="10"/>
      <c r="N157" s="24" t="str">
        <f>N1</f>
        <v>Variance</v>
      </c>
    </row>
    <row r="158" spans="1:14" x14ac:dyDescent="0.25">
      <c r="A158" s="40" t="s">
        <v>144</v>
      </c>
      <c r="B158" s="14">
        <v>6000</v>
      </c>
      <c r="C158" s="14"/>
      <c r="D158" s="14"/>
      <c r="E158" s="14"/>
      <c r="F158" s="14"/>
      <c r="G158" s="14"/>
      <c r="H158" s="14"/>
      <c r="I158" s="7">
        <f>SUM(B158:H158)</f>
        <v>6000</v>
      </c>
      <c r="J158" s="19"/>
      <c r="L158" s="7">
        <v>6000</v>
      </c>
      <c r="N158" s="64">
        <f>I158-L158</f>
        <v>0</v>
      </c>
    </row>
    <row r="159" spans="1:14" x14ac:dyDescent="0.25">
      <c r="A159" s="40" t="s">
        <v>145</v>
      </c>
      <c r="B159" s="14">
        <v>0</v>
      </c>
      <c r="C159" s="14">
        <f>470*B17</f>
        <v>55460</v>
      </c>
      <c r="D159" s="7"/>
      <c r="E159" s="7"/>
      <c r="F159" s="7"/>
      <c r="G159" s="7"/>
      <c r="H159" s="7"/>
      <c r="I159" s="7">
        <f t="shared" ref="I159:I171" si="62">SUM(B159:H159)</f>
        <v>55460</v>
      </c>
      <c r="J159" s="19" t="s">
        <v>146</v>
      </c>
      <c r="L159" s="7">
        <v>64860</v>
      </c>
      <c r="N159" s="64">
        <f t="shared" ref="N159:N171" si="63">I159-L159</f>
        <v>-9400</v>
      </c>
    </row>
    <row r="160" spans="1:14" x14ac:dyDescent="0.25">
      <c r="A160" s="40" t="s">
        <v>358</v>
      </c>
      <c r="B160" s="14">
        <f>60000</f>
        <v>60000</v>
      </c>
      <c r="C160" s="7"/>
      <c r="D160" s="7"/>
      <c r="E160" s="7"/>
      <c r="F160" s="7"/>
      <c r="G160" s="7"/>
      <c r="H160" s="7"/>
      <c r="I160" s="7">
        <f t="shared" si="62"/>
        <v>60000</v>
      </c>
      <c r="J160" s="19" t="s">
        <v>359</v>
      </c>
      <c r="L160" s="7">
        <v>60000</v>
      </c>
      <c r="N160" s="64">
        <f t="shared" si="63"/>
        <v>0</v>
      </c>
    </row>
    <row r="161" spans="1:15" x14ac:dyDescent="0.25">
      <c r="A161" s="40" t="s">
        <v>147</v>
      </c>
      <c r="B161" s="14"/>
      <c r="C161" s="7"/>
      <c r="D161" s="7"/>
      <c r="E161" s="7"/>
      <c r="F161" s="7"/>
      <c r="G161" s="7"/>
      <c r="H161" s="7"/>
      <c r="I161" s="7">
        <f t="shared" si="62"/>
        <v>0</v>
      </c>
      <c r="J161" s="19"/>
      <c r="L161" s="7">
        <v>0</v>
      </c>
      <c r="N161" s="64">
        <f t="shared" si="63"/>
        <v>0</v>
      </c>
    </row>
    <row r="162" spans="1:15" x14ac:dyDescent="0.25">
      <c r="A162" s="40" t="s">
        <v>148</v>
      </c>
      <c r="B162" s="14">
        <f>495*B17</f>
        <v>58410</v>
      </c>
      <c r="C162" s="7"/>
      <c r="D162" s="7"/>
      <c r="E162" s="7"/>
      <c r="F162" s="7"/>
      <c r="G162" s="7"/>
      <c r="H162" s="7"/>
      <c r="I162" s="7">
        <f t="shared" si="62"/>
        <v>58410</v>
      </c>
      <c r="J162" s="19" t="s">
        <v>149</v>
      </c>
      <c r="L162" s="7">
        <v>68310</v>
      </c>
      <c r="N162" s="64">
        <f t="shared" si="63"/>
        <v>-9900</v>
      </c>
    </row>
    <row r="163" spans="1:15" x14ac:dyDescent="0.25">
      <c r="A163" s="40" t="s">
        <v>150</v>
      </c>
      <c r="B163" s="14">
        <f>6813+960</f>
        <v>7773</v>
      </c>
      <c r="C163" s="14"/>
      <c r="D163" s="14"/>
      <c r="E163" s="14"/>
      <c r="F163" s="14"/>
      <c r="G163" s="14">
        <f>(240*G66)</f>
        <v>0</v>
      </c>
      <c r="H163" s="14">
        <f>(240*H66)</f>
        <v>0</v>
      </c>
      <c r="I163" s="7">
        <f t="shared" si="62"/>
        <v>7773</v>
      </c>
      <c r="J163" s="19" t="s">
        <v>360</v>
      </c>
      <c r="L163" s="7">
        <v>7773</v>
      </c>
      <c r="N163" s="235">
        <f t="shared" si="63"/>
        <v>0</v>
      </c>
    </row>
    <row r="164" spans="1:15" x14ac:dyDescent="0.25">
      <c r="A164" s="40" t="s">
        <v>151</v>
      </c>
      <c r="B164" s="14">
        <f>50000+4000+2500</f>
        <v>56500</v>
      </c>
      <c r="C164" s="7"/>
      <c r="D164" s="7"/>
      <c r="E164" s="7"/>
      <c r="F164" s="7"/>
      <c r="G164" s="7"/>
      <c r="H164" s="7"/>
      <c r="I164" s="7">
        <f t="shared" si="62"/>
        <v>56500</v>
      </c>
      <c r="J164" s="19" t="s">
        <v>361</v>
      </c>
      <c r="L164" s="7">
        <v>56500</v>
      </c>
      <c r="N164" s="231">
        <f t="shared" si="63"/>
        <v>0</v>
      </c>
    </row>
    <row r="165" spans="1:15" x14ac:dyDescent="0.25">
      <c r="A165" s="40" t="s">
        <v>152</v>
      </c>
      <c r="B165" s="7">
        <v>1500</v>
      </c>
      <c r="C165" s="7"/>
      <c r="D165" s="7"/>
      <c r="E165" s="7"/>
      <c r="F165" s="7"/>
      <c r="G165" s="7"/>
      <c r="H165" s="7"/>
      <c r="I165" s="7">
        <f t="shared" si="62"/>
        <v>1500</v>
      </c>
      <c r="J165" s="19"/>
      <c r="L165" s="7">
        <v>1500</v>
      </c>
      <c r="N165" s="231">
        <f t="shared" si="63"/>
        <v>0</v>
      </c>
    </row>
    <row r="166" spans="1:15" x14ac:dyDescent="0.25">
      <c r="A166" s="40" t="s">
        <v>153</v>
      </c>
      <c r="B166" s="14">
        <f>50*B17+(60*12)</f>
        <v>6620</v>
      </c>
      <c r="C166" s="7"/>
      <c r="D166" s="7"/>
      <c r="E166" s="7"/>
      <c r="F166" s="7"/>
      <c r="G166" s="7"/>
      <c r="H166" s="7"/>
      <c r="I166" s="7">
        <f t="shared" si="62"/>
        <v>6620</v>
      </c>
      <c r="J166" s="19" t="s">
        <v>154</v>
      </c>
      <c r="L166" s="7">
        <v>7620</v>
      </c>
      <c r="N166" s="231">
        <f t="shared" si="63"/>
        <v>-1000</v>
      </c>
      <c r="O166" s="25"/>
    </row>
    <row r="167" spans="1:15" x14ac:dyDescent="0.25">
      <c r="A167" s="40" t="s">
        <v>155</v>
      </c>
      <c r="B167" s="14">
        <v>0</v>
      </c>
      <c r="C167" s="7"/>
      <c r="D167" s="7"/>
      <c r="E167" s="7">
        <v>10884</v>
      </c>
      <c r="F167" s="7"/>
      <c r="G167" s="7"/>
      <c r="H167" s="7"/>
      <c r="I167" s="7">
        <f t="shared" si="62"/>
        <v>10884</v>
      </c>
      <c r="J167" s="19"/>
      <c r="L167" s="7">
        <v>10884</v>
      </c>
      <c r="N167" s="231">
        <f t="shared" si="63"/>
        <v>0</v>
      </c>
    </row>
    <row r="168" spans="1:15" x14ac:dyDescent="0.25">
      <c r="A168" s="40" t="s">
        <v>156</v>
      </c>
      <c r="B168" s="14">
        <f>(B75+B76+B77+B78)*0.0125</f>
        <v>13476.975</v>
      </c>
      <c r="C168" s="7"/>
      <c r="D168" s="7"/>
      <c r="E168" s="7"/>
      <c r="F168" s="7"/>
      <c r="G168" s="7"/>
      <c r="H168" s="7"/>
      <c r="I168" s="7">
        <f t="shared" si="62"/>
        <v>13476.975</v>
      </c>
      <c r="J168" s="98">
        <v>1.2500000000000001E-2</v>
      </c>
      <c r="K168" s="99"/>
      <c r="L168" s="7">
        <v>15718.475</v>
      </c>
      <c r="M168" s="99"/>
      <c r="N168" s="64">
        <f t="shared" si="63"/>
        <v>-2241.5</v>
      </c>
      <c r="O168" s="90"/>
    </row>
    <row r="169" spans="1:15" x14ac:dyDescent="0.25">
      <c r="A169" s="40" t="s">
        <v>157</v>
      </c>
      <c r="B169" s="14">
        <f>10000</f>
        <v>10000</v>
      </c>
      <c r="C169" s="7"/>
      <c r="D169" s="7"/>
      <c r="E169" s="7"/>
      <c r="F169" s="7"/>
      <c r="G169" s="7"/>
      <c r="H169" s="7"/>
      <c r="I169" s="7">
        <f t="shared" si="62"/>
        <v>10000</v>
      </c>
      <c r="J169" s="98" t="s">
        <v>158</v>
      </c>
      <c r="K169" s="99"/>
      <c r="L169" s="7">
        <v>10000</v>
      </c>
      <c r="M169" s="99"/>
      <c r="N169" s="64">
        <f t="shared" si="63"/>
        <v>0</v>
      </c>
      <c r="O169" s="90"/>
    </row>
    <row r="170" spans="1:15" x14ac:dyDescent="0.25">
      <c r="A170" s="40" t="s">
        <v>159</v>
      </c>
      <c r="B170" s="14">
        <v>0</v>
      </c>
      <c r="C170" s="7"/>
      <c r="D170" s="7"/>
      <c r="E170" s="7"/>
      <c r="F170" s="7"/>
      <c r="G170" s="7"/>
      <c r="H170" s="7"/>
      <c r="I170" s="7">
        <f t="shared" si="62"/>
        <v>0</v>
      </c>
      <c r="J170" s="98" t="s">
        <v>160</v>
      </c>
      <c r="K170" s="99"/>
      <c r="L170" s="7">
        <v>0</v>
      </c>
      <c r="M170" s="99"/>
      <c r="N170" s="64">
        <f t="shared" si="63"/>
        <v>0</v>
      </c>
      <c r="O170" s="90"/>
    </row>
    <row r="171" spans="1:15" x14ac:dyDescent="0.25">
      <c r="A171" s="96" t="s">
        <v>161</v>
      </c>
      <c r="B171" s="14">
        <f>B75*0.005</f>
        <v>5289.9400000000005</v>
      </c>
      <c r="C171" s="7"/>
      <c r="D171" s="7"/>
      <c r="E171" s="7"/>
      <c r="F171" s="7"/>
      <c r="G171" s="7">
        <f>G87</f>
        <v>7153.52</v>
      </c>
      <c r="H171" s="7">
        <f>H88</f>
        <v>1239.1600000000001</v>
      </c>
      <c r="I171" s="7">
        <f t="shared" si="62"/>
        <v>13682.62</v>
      </c>
      <c r="J171" s="98"/>
      <c r="K171" s="99"/>
      <c r="L171" s="84">
        <v>14579.220000000001</v>
      </c>
      <c r="M171" s="99"/>
      <c r="N171" s="64">
        <f t="shared" si="63"/>
        <v>-896.60000000000036</v>
      </c>
      <c r="O171" s="90"/>
    </row>
    <row r="172" spans="1:15" x14ac:dyDescent="0.25">
      <c r="A172" s="83" t="s">
        <v>162</v>
      </c>
      <c r="B172" s="84">
        <f>SUM(B158:B171)</f>
        <v>225569.91500000001</v>
      </c>
      <c r="C172" s="84">
        <f t="shared" ref="C172:H172" si="64">SUM(C158:C171)</f>
        <v>55460</v>
      </c>
      <c r="D172" s="84">
        <f t="shared" si="64"/>
        <v>0</v>
      </c>
      <c r="E172" s="84">
        <f t="shared" si="64"/>
        <v>10884</v>
      </c>
      <c r="F172" s="84">
        <f t="shared" si="64"/>
        <v>0</v>
      </c>
      <c r="G172" s="84">
        <f t="shared" si="64"/>
        <v>7153.52</v>
      </c>
      <c r="H172" s="84">
        <f t="shared" si="64"/>
        <v>1239.1600000000001</v>
      </c>
      <c r="I172" s="84">
        <f>SUM(I158:I171)</f>
        <v>300306.59499999997</v>
      </c>
      <c r="J172" s="10"/>
      <c r="K172" s="10"/>
      <c r="L172" s="24">
        <v>323744.69499999995</v>
      </c>
      <c r="M172" s="10"/>
      <c r="N172" s="84">
        <f>SUM(N158:N171)</f>
        <v>-23438.1</v>
      </c>
    </row>
    <row r="173" spans="1:15" x14ac:dyDescent="0.25">
      <c r="A173" s="93" t="s">
        <v>163</v>
      </c>
      <c r="B173" s="24" t="str">
        <f t="shared" ref="B173:I173" si="65">B1</f>
        <v>Operating</v>
      </c>
      <c r="C173" s="24" t="str">
        <f t="shared" si="65"/>
        <v>SPED</v>
      </c>
      <c r="D173" s="24" t="str">
        <f t="shared" si="65"/>
        <v>NSLP</v>
      </c>
      <c r="E173" s="24" t="str">
        <f t="shared" si="65"/>
        <v>CSP</v>
      </c>
      <c r="F173" s="24" t="str">
        <f t="shared" si="65"/>
        <v>Title I</v>
      </c>
      <c r="G173" s="24" t="str">
        <f t="shared" si="65"/>
        <v>Title II</v>
      </c>
      <c r="H173" s="24" t="str">
        <f t="shared" si="65"/>
        <v>Title III</v>
      </c>
      <c r="I173" s="24" t="str">
        <f t="shared" si="65"/>
        <v>Total (23-24)</v>
      </c>
      <c r="J173" s="10"/>
      <c r="K173" s="10"/>
      <c r="L173" s="7" t="s">
        <v>6</v>
      </c>
      <c r="M173" s="10"/>
      <c r="N173" s="24" t="str">
        <f>N1</f>
        <v>Variance</v>
      </c>
    </row>
    <row r="174" spans="1:15" x14ac:dyDescent="0.25">
      <c r="A174" s="100" t="s">
        <v>164</v>
      </c>
      <c r="B174" s="88">
        <f>500*12</f>
        <v>6000</v>
      </c>
      <c r="C174" s="7"/>
      <c r="D174" s="7"/>
      <c r="E174" s="7"/>
      <c r="F174" s="7"/>
      <c r="G174" s="7"/>
      <c r="H174" s="7"/>
      <c r="I174" s="7">
        <f t="shared" ref="I174:I180" si="66">SUM(B174:H174)</f>
        <v>6000</v>
      </c>
      <c r="J174" s="19"/>
      <c r="L174" s="7">
        <v>6000</v>
      </c>
      <c r="N174" s="64">
        <f>I174-L174</f>
        <v>0</v>
      </c>
    </row>
    <row r="175" spans="1:15" x14ac:dyDescent="0.25">
      <c r="A175" s="40" t="s">
        <v>165</v>
      </c>
      <c r="B175" s="88">
        <v>7000</v>
      </c>
      <c r="C175" s="7"/>
      <c r="D175" s="7"/>
      <c r="E175" s="7"/>
      <c r="F175" s="7"/>
      <c r="G175" s="7"/>
      <c r="H175" s="7"/>
      <c r="I175" s="7">
        <f t="shared" si="66"/>
        <v>7000</v>
      </c>
      <c r="J175" s="19"/>
      <c r="L175" s="7">
        <v>7000</v>
      </c>
      <c r="N175" s="64">
        <f t="shared" ref="N175:N197" si="67">I175-L175</f>
        <v>0</v>
      </c>
    </row>
    <row r="176" spans="1:15" x14ac:dyDescent="0.25">
      <c r="A176" s="40" t="s">
        <v>166</v>
      </c>
      <c r="B176" s="97"/>
      <c r="C176" s="7"/>
      <c r="D176" s="7"/>
      <c r="E176" s="7"/>
      <c r="F176" s="7"/>
      <c r="G176" s="7"/>
      <c r="H176" s="7"/>
      <c r="I176" s="7">
        <f t="shared" si="66"/>
        <v>0</v>
      </c>
      <c r="J176" s="19"/>
      <c r="L176" s="7">
        <v>0</v>
      </c>
      <c r="N176" s="64">
        <f t="shared" si="67"/>
        <v>0</v>
      </c>
    </row>
    <row r="177" spans="1:15" x14ac:dyDescent="0.25">
      <c r="A177" s="40" t="s">
        <v>167</v>
      </c>
      <c r="B177" s="97">
        <v>750</v>
      </c>
      <c r="C177" s="7"/>
      <c r="D177" s="7"/>
      <c r="E177" s="7"/>
      <c r="F177" s="7"/>
      <c r="G177" s="7"/>
      <c r="H177" s="7"/>
      <c r="I177" s="7">
        <f t="shared" si="66"/>
        <v>750</v>
      </c>
      <c r="J177" s="19"/>
      <c r="L177" s="7">
        <v>750</v>
      </c>
      <c r="N177" s="64">
        <f t="shared" si="67"/>
        <v>0</v>
      </c>
    </row>
    <row r="178" spans="1:15" x14ac:dyDescent="0.25">
      <c r="A178" s="40" t="s">
        <v>168</v>
      </c>
      <c r="B178" s="97">
        <v>0</v>
      </c>
      <c r="C178" s="7"/>
      <c r="D178" s="7"/>
      <c r="E178" s="7">
        <v>5500</v>
      </c>
      <c r="F178" s="7"/>
      <c r="G178" s="7"/>
      <c r="H178" s="7"/>
      <c r="I178" s="7">
        <f t="shared" si="66"/>
        <v>5500</v>
      </c>
      <c r="J178" s="19"/>
      <c r="L178" s="7">
        <v>5500</v>
      </c>
      <c r="N178" s="231">
        <f t="shared" si="67"/>
        <v>0</v>
      </c>
    </row>
    <row r="179" spans="1:15" x14ac:dyDescent="0.25">
      <c r="A179" s="40" t="s">
        <v>169</v>
      </c>
      <c r="B179" s="88">
        <f>2000*12</f>
        <v>24000</v>
      </c>
      <c r="C179" s="7"/>
      <c r="D179" s="7"/>
      <c r="E179" s="7"/>
      <c r="F179" s="7"/>
      <c r="G179" s="7"/>
      <c r="H179" s="7"/>
      <c r="I179" s="7">
        <f t="shared" si="66"/>
        <v>24000</v>
      </c>
      <c r="J179" s="19"/>
      <c r="L179" s="7">
        <v>24000</v>
      </c>
      <c r="N179" s="231">
        <f t="shared" si="67"/>
        <v>0</v>
      </c>
    </row>
    <row r="180" spans="1:15" x14ac:dyDescent="0.25">
      <c r="A180" s="40" t="s">
        <v>170</v>
      </c>
      <c r="B180" s="88">
        <f>8500+(B17*2.4)</f>
        <v>8783.2000000000007</v>
      </c>
      <c r="C180" s="7"/>
      <c r="D180" s="7"/>
      <c r="E180" s="7"/>
      <c r="F180" s="7"/>
      <c r="G180" s="7"/>
      <c r="H180" s="7"/>
      <c r="I180" s="7">
        <f t="shared" si="66"/>
        <v>8783.2000000000007</v>
      </c>
      <c r="J180" s="19"/>
      <c r="L180" s="7">
        <v>8831.2000000000007</v>
      </c>
      <c r="N180" s="231">
        <f t="shared" si="67"/>
        <v>-48</v>
      </c>
    </row>
    <row r="181" spans="1:15" x14ac:dyDescent="0.25">
      <c r="A181" s="40" t="s">
        <v>171</v>
      </c>
      <c r="B181" s="14">
        <v>10416</v>
      </c>
      <c r="C181" s="7"/>
      <c r="D181" s="7"/>
      <c r="E181" s="7"/>
      <c r="F181" s="7"/>
      <c r="G181" s="7"/>
      <c r="H181" s="7"/>
      <c r="I181" s="7">
        <f>SUM(B181:H181)</f>
        <v>10416</v>
      </c>
      <c r="J181" s="19"/>
      <c r="L181" s="7">
        <v>10416</v>
      </c>
      <c r="N181" s="64">
        <f t="shared" si="67"/>
        <v>0</v>
      </c>
    </row>
    <row r="182" spans="1:15" x14ac:dyDescent="0.25">
      <c r="A182" s="40" t="s">
        <v>172</v>
      </c>
      <c r="B182" s="14">
        <v>9114</v>
      </c>
      <c r="C182" s="7"/>
      <c r="D182" s="7"/>
      <c r="E182" s="7"/>
      <c r="F182" s="7"/>
      <c r="G182" s="7"/>
      <c r="H182" s="7"/>
      <c r="I182" s="7">
        <f>SUM(B182:H182)</f>
        <v>9114</v>
      </c>
      <c r="J182" s="19"/>
      <c r="L182" s="7">
        <v>9114</v>
      </c>
      <c r="N182" s="64">
        <f t="shared" si="67"/>
        <v>0</v>
      </c>
    </row>
    <row r="183" spans="1:15" x14ac:dyDescent="0.25">
      <c r="A183" s="40" t="s">
        <v>173</v>
      </c>
      <c r="B183" s="14">
        <v>13020</v>
      </c>
      <c r="C183" s="7"/>
      <c r="D183" s="7"/>
      <c r="E183" s="7"/>
      <c r="F183" s="7"/>
      <c r="G183" s="7"/>
      <c r="H183" s="7"/>
      <c r="I183" s="7">
        <f>SUM(B183:H183)</f>
        <v>13020</v>
      </c>
      <c r="J183" s="19"/>
      <c r="L183" s="7">
        <v>13020</v>
      </c>
      <c r="N183" s="64">
        <f t="shared" si="67"/>
        <v>0</v>
      </c>
    </row>
    <row r="184" spans="1:15" x14ac:dyDescent="0.25">
      <c r="A184" s="40" t="s">
        <v>174</v>
      </c>
      <c r="B184" s="7"/>
      <c r="C184" s="7"/>
      <c r="D184" s="14">
        <f>((B17*D23)*2.4*180)</f>
        <v>36177.667200000004</v>
      </c>
      <c r="E184" s="7"/>
      <c r="F184" s="7"/>
      <c r="G184" s="7"/>
      <c r="H184" s="7"/>
      <c r="I184" s="7">
        <f t="shared" ref="I184:I197" si="68">SUM(B184:H184)</f>
        <v>36177.667200000004</v>
      </c>
      <c r="J184" s="70">
        <v>2.4</v>
      </c>
      <c r="K184" s="101"/>
      <c r="L184" s="7">
        <v>42309.475199999993</v>
      </c>
      <c r="M184" s="101"/>
      <c r="N184" s="64">
        <f t="shared" si="67"/>
        <v>-6131.80799999999</v>
      </c>
      <c r="O184" s="102"/>
    </row>
    <row r="185" spans="1:15" x14ac:dyDescent="0.25">
      <c r="A185" s="40" t="s">
        <v>175</v>
      </c>
      <c r="B185" s="7"/>
      <c r="C185" s="7"/>
      <c r="D185" s="14">
        <f>((B17*D23)*3.75*180)</f>
        <v>56527.605000000003</v>
      </c>
      <c r="E185" s="7"/>
      <c r="F185" s="7"/>
      <c r="G185" s="7"/>
      <c r="H185" s="7"/>
      <c r="I185" s="7">
        <f t="shared" si="68"/>
        <v>56527.605000000003</v>
      </c>
      <c r="J185" s="70">
        <v>3.75</v>
      </c>
      <c r="K185" s="101"/>
      <c r="L185" s="7">
        <v>66108.554999999993</v>
      </c>
      <c r="M185" s="101"/>
      <c r="N185" s="64">
        <f t="shared" si="67"/>
        <v>-9580.9499999999898</v>
      </c>
      <c r="O185" s="102"/>
    </row>
    <row r="186" spans="1:15" x14ac:dyDescent="0.25">
      <c r="A186" s="40" t="s">
        <v>176</v>
      </c>
      <c r="B186" s="7">
        <v>0</v>
      </c>
      <c r="C186" s="7"/>
      <c r="D186" s="7"/>
      <c r="E186" s="7">
        <v>5000</v>
      </c>
      <c r="F186" s="7"/>
      <c r="G186" s="7"/>
      <c r="H186" s="7"/>
      <c r="I186" s="7">
        <f t="shared" si="68"/>
        <v>5000</v>
      </c>
      <c r="J186" s="19"/>
      <c r="L186" s="7">
        <v>5000</v>
      </c>
      <c r="N186" s="64">
        <f>I186-L186</f>
        <v>0</v>
      </c>
    </row>
    <row r="187" spans="1:15" x14ac:dyDescent="0.25">
      <c r="A187" s="40" t="s">
        <v>177</v>
      </c>
      <c r="B187" s="7">
        <v>500</v>
      </c>
      <c r="C187" s="7"/>
      <c r="D187" s="7"/>
      <c r="E187" s="7"/>
      <c r="F187" s="7"/>
      <c r="G187" s="7"/>
      <c r="H187" s="7"/>
      <c r="I187" s="7">
        <f t="shared" si="68"/>
        <v>500</v>
      </c>
      <c r="J187" s="19"/>
      <c r="L187" s="7">
        <v>500</v>
      </c>
      <c r="N187" s="64">
        <f t="shared" si="67"/>
        <v>0</v>
      </c>
    </row>
    <row r="188" spans="1:15" x14ac:dyDescent="0.25">
      <c r="A188" s="40" t="s">
        <v>178</v>
      </c>
      <c r="B188" s="7">
        <f>60*15</f>
        <v>900</v>
      </c>
      <c r="C188" s="7">
        <v>0</v>
      </c>
      <c r="D188" s="7">
        <v>0</v>
      </c>
      <c r="E188" s="7"/>
      <c r="F188" s="7"/>
      <c r="G188" s="7"/>
      <c r="H188" s="7"/>
      <c r="I188" s="7">
        <f t="shared" si="68"/>
        <v>900</v>
      </c>
      <c r="J188" s="19"/>
      <c r="L188" s="7">
        <v>900</v>
      </c>
      <c r="N188" s="64">
        <f t="shared" si="67"/>
        <v>0</v>
      </c>
    </row>
    <row r="189" spans="1:15" x14ac:dyDescent="0.25">
      <c r="A189" s="40" t="s">
        <v>179</v>
      </c>
      <c r="B189" s="14">
        <v>5500</v>
      </c>
      <c r="C189" s="7"/>
      <c r="D189" s="7"/>
      <c r="E189" s="7"/>
      <c r="F189" s="7"/>
      <c r="G189" s="7"/>
      <c r="H189" s="7"/>
      <c r="I189" s="7">
        <f t="shared" si="68"/>
        <v>5500</v>
      </c>
      <c r="J189" s="19"/>
      <c r="L189" s="7">
        <v>5500</v>
      </c>
      <c r="N189" s="64">
        <f t="shared" si="67"/>
        <v>0</v>
      </c>
    </row>
    <row r="190" spans="1:15" x14ac:dyDescent="0.25">
      <c r="A190" s="40" t="s">
        <v>180</v>
      </c>
      <c r="B190" s="14">
        <v>0</v>
      </c>
      <c r="C190" s="7"/>
      <c r="D190" s="7"/>
      <c r="E190" s="7"/>
      <c r="F190" s="7"/>
      <c r="G190" s="7"/>
      <c r="H190" s="7"/>
      <c r="I190" s="7">
        <f t="shared" si="68"/>
        <v>0</v>
      </c>
      <c r="J190" s="19"/>
      <c r="L190" s="7">
        <v>0</v>
      </c>
      <c r="N190" s="64">
        <f t="shared" si="67"/>
        <v>0</v>
      </c>
    </row>
    <row r="191" spans="1:15" x14ac:dyDescent="0.25">
      <c r="A191" s="40" t="s">
        <v>181</v>
      </c>
      <c r="B191" s="14">
        <v>0</v>
      </c>
      <c r="C191" s="7"/>
      <c r="D191" s="7"/>
      <c r="E191" s="7"/>
      <c r="F191" s="7"/>
      <c r="G191" s="7"/>
      <c r="H191" s="7"/>
      <c r="I191" s="7">
        <f t="shared" si="68"/>
        <v>0</v>
      </c>
      <c r="J191" s="19"/>
      <c r="L191" s="7">
        <v>0</v>
      </c>
      <c r="N191" s="64">
        <f t="shared" si="67"/>
        <v>0</v>
      </c>
    </row>
    <row r="192" spans="1:15" x14ac:dyDescent="0.25">
      <c r="A192" s="40" t="s">
        <v>182</v>
      </c>
      <c r="B192" s="14">
        <v>0</v>
      </c>
      <c r="C192" s="7"/>
      <c r="D192" s="7"/>
      <c r="E192" s="7"/>
      <c r="F192" s="7"/>
      <c r="G192" s="7"/>
      <c r="H192" s="7"/>
      <c r="I192" s="7">
        <f t="shared" si="68"/>
        <v>0</v>
      </c>
      <c r="J192" s="19"/>
      <c r="L192" s="7">
        <v>0</v>
      </c>
      <c r="N192" s="64">
        <f t="shared" si="67"/>
        <v>0</v>
      </c>
    </row>
    <row r="193" spans="1:22" x14ac:dyDescent="0.25">
      <c r="A193" s="40" t="s">
        <v>183</v>
      </c>
      <c r="B193" s="14">
        <v>0</v>
      </c>
      <c r="C193" s="14"/>
      <c r="D193" s="14"/>
      <c r="E193" s="14"/>
      <c r="F193" s="14"/>
      <c r="G193" s="14"/>
      <c r="H193" s="14"/>
      <c r="I193" s="7">
        <f t="shared" si="68"/>
        <v>0</v>
      </c>
      <c r="J193" s="19"/>
      <c r="L193" s="7">
        <v>0</v>
      </c>
      <c r="N193" s="64">
        <f t="shared" si="67"/>
        <v>0</v>
      </c>
    </row>
    <row r="194" spans="1:22" x14ac:dyDescent="0.25">
      <c r="A194" s="40" t="s">
        <v>184</v>
      </c>
      <c r="B194" s="14"/>
      <c r="C194" s="14"/>
      <c r="D194" s="14"/>
      <c r="E194" s="14"/>
      <c r="F194" s="14"/>
      <c r="G194" s="14"/>
      <c r="H194" s="14"/>
      <c r="I194" s="7">
        <f t="shared" si="68"/>
        <v>0</v>
      </c>
      <c r="J194" s="19"/>
      <c r="L194" s="7">
        <v>0</v>
      </c>
      <c r="N194" s="64">
        <f t="shared" si="67"/>
        <v>0</v>
      </c>
    </row>
    <row r="195" spans="1:22" x14ac:dyDescent="0.25">
      <c r="A195" s="40" t="s">
        <v>185</v>
      </c>
      <c r="B195" s="14"/>
      <c r="C195" s="14"/>
      <c r="D195" s="14"/>
      <c r="E195" s="14"/>
      <c r="F195" s="14"/>
      <c r="G195" s="14"/>
      <c r="H195" s="14"/>
      <c r="I195" s="7">
        <f t="shared" si="68"/>
        <v>0</v>
      </c>
      <c r="J195" s="19"/>
      <c r="L195" s="7">
        <v>0</v>
      </c>
      <c r="N195" s="64">
        <f t="shared" si="67"/>
        <v>0</v>
      </c>
    </row>
    <row r="196" spans="1:22" x14ac:dyDescent="0.25">
      <c r="A196" s="40" t="s">
        <v>362</v>
      </c>
      <c r="B196" s="14"/>
      <c r="C196" s="14"/>
      <c r="D196" s="14"/>
      <c r="E196" s="14"/>
      <c r="F196" s="14"/>
      <c r="G196" s="14"/>
      <c r="H196" s="14"/>
      <c r="I196" s="7">
        <f t="shared" si="68"/>
        <v>0</v>
      </c>
      <c r="J196" s="19"/>
      <c r="L196" s="7">
        <v>7000</v>
      </c>
      <c r="N196" s="235">
        <f t="shared" si="67"/>
        <v>-7000</v>
      </c>
    </row>
    <row r="197" spans="1:22" x14ac:dyDescent="0.25">
      <c r="A197" s="40" t="s">
        <v>186</v>
      </c>
      <c r="B197" s="14">
        <f>7000</f>
        <v>7000</v>
      </c>
      <c r="C197" s="14"/>
      <c r="D197" s="14"/>
      <c r="E197" s="14"/>
      <c r="F197" s="14"/>
      <c r="G197" s="14"/>
      <c r="H197" s="14"/>
      <c r="I197" s="7">
        <f t="shared" si="68"/>
        <v>7000</v>
      </c>
      <c r="J197" s="19"/>
      <c r="K197" s="66"/>
      <c r="L197" s="7">
        <v>0</v>
      </c>
      <c r="M197" s="66"/>
      <c r="N197" s="231">
        <f t="shared" si="67"/>
        <v>7000</v>
      </c>
      <c r="O197" s="25"/>
    </row>
    <row r="198" spans="1:22" x14ac:dyDescent="0.25">
      <c r="A198" s="96" t="s">
        <v>187</v>
      </c>
      <c r="B198" s="7">
        <f>((B2*B3)*0)+0</f>
        <v>0</v>
      </c>
      <c r="C198" s="7"/>
      <c r="D198" s="7"/>
      <c r="E198" s="7"/>
      <c r="F198" s="7"/>
      <c r="G198" s="7"/>
      <c r="H198" s="7"/>
      <c r="I198" s="7">
        <f>SUM(B198:H198)</f>
        <v>0</v>
      </c>
      <c r="J198" s="103" t="s">
        <v>344</v>
      </c>
      <c r="K198" s="10"/>
      <c r="L198" s="84">
        <v>211949.23019999999</v>
      </c>
      <c r="M198" s="10"/>
      <c r="N198" s="84">
        <f>SUM(N174:N197)</f>
        <v>-15760.75799999998</v>
      </c>
    </row>
    <row r="199" spans="1:22" x14ac:dyDescent="0.25">
      <c r="A199" s="83" t="s">
        <v>188</v>
      </c>
      <c r="B199" s="84">
        <f>SUM(B174:B198)</f>
        <v>92983.2</v>
      </c>
      <c r="C199" s="84">
        <f t="shared" ref="C199:I199" si="69">SUM(C174:C198)</f>
        <v>0</v>
      </c>
      <c r="D199" s="84">
        <f t="shared" si="69"/>
        <v>92705.272200000007</v>
      </c>
      <c r="E199" s="84">
        <f t="shared" si="69"/>
        <v>10500</v>
      </c>
      <c r="F199" s="84">
        <f t="shared" si="69"/>
        <v>0</v>
      </c>
      <c r="G199" s="84">
        <f t="shared" si="69"/>
        <v>0</v>
      </c>
      <c r="H199" s="84">
        <f t="shared" si="69"/>
        <v>0</v>
      </c>
      <c r="I199" s="84">
        <f t="shared" si="69"/>
        <v>196188.47220000002</v>
      </c>
      <c r="J199" s="10"/>
      <c r="K199" s="10"/>
      <c r="L199" s="24" t="s">
        <v>6</v>
      </c>
      <c r="M199" s="10"/>
      <c r="N199" s="24" t="str">
        <f>N1</f>
        <v>Variance</v>
      </c>
    </row>
    <row r="200" spans="1:22" x14ac:dyDescent="0.25">
      <c r="A200" s="93" t="s">
        <v>189</v>
      </c>
      <c r="B200" s="24" t="str">
        <f t="shared" ref="B200:I200" si="70">B1</f>
        <v>Operating</v>
      </c>
      <c r="C200" s="24" t="str">
        <f t="shared" si="70"/>
        <v>SPED</v>
      </c>
      <c r="D200" s="24" t="str">
        <f t="shared" si="70"/>
        <v>NSLP</v>
      </c>
      <c r="E200" s="24" t="str">
        <f t="shared" si="70"/>
        <v>CSP</v>
      </c>
      <c r="F200" s="24" t="str">
        <f t="shared" si="70"/>
        <v>Title I</v>
      </c>
      <c r="G200" s="24" t="str">
        <f t="shared" si="70"/>
        <v>Title II</v>
      </c>
      <c r="H200" s="24" t="str">
        <f t="shared" si="70"/>
        <v>Title III</v>
      </c>
      <c r="I200" s="24" t="str">
        <f t="shared" si="70"/>
        <v>Total (23-24)</v>
      </c>
      <c r="J200" s="10"/>
      <c r="K200" s="9"/>
      <c r="L200" s="7">
        <v>30000</v>
      </c>
      <c r="M200" s="9"/>
      <c r="N200" s="64" t="e">
        <f t="shared" ref="N200:N209" si="71">I200-L200</f>
        <v>#VALUE!</v>
      </c>
      <c r="O200" s="65"/>
      <c r="P200" s="10">
        <v>4303.8599999999997</v>
      </c>
      <c r="Q200" s="10">
        <f>4883.42</f>
        <v>4883.42</v>
      </c>
      <c r="R200" s="10">
        <v>4749</v>
      </c>
      <c r="T200" s="10">
        <f>SUM(P200:S200)</f>
        <v>13936.279999999999</v>
      </c>
      <c r="U200" s="10">
        <f>T200/$T$205</f>
        <v>0.73297456730334309</v>
      </c>
      <c r="V200" s="10" t="s">
        <v>192</v>
      </c>
    </row>
    <row r="201" spans="1:22" x14ac:dyDescent="0.25">
      <c r="A201" s="100" t="s">
        <v>190</v>
      </c>
      <c r="B201" s="104">
        <f>2500*12</f>
        <v>30000</v>
      </c>
      <c r="C201" s="7"/>
      <c r="D201" s="7"/>
      <c r="E201" s="7"/>
      <c r="F201" s="7"/>
      <c r="G201" s="7"/>
      <c r="H201" s="7"/>
      <c r="I201" s="7">
        <f t="shared" ref="I201:I210" si="72">SUM(B201:H201)</f>
        <v>30000</v>
      </c>
      <c r="J201" s="8" t="s">
        <v>191</v>
      </c>
      <c r="L201" s="7">
        <v>720</v>
      </c>
      <c r="N201" s="64">
        <f t="shared" si="71"/>
        <v>29280</v>
      </c>
      <c r="P201" s="10">
        <v>30.57</v>
      </c>
      <c r="Q201" s="10">
        <v>30.57</v>
      </c>
      <c r="R201" s="10">
        <v>29.52</v>
      </c>
      <c r="T201" s="10">
        <f t="shared" ref="T201:T206" si="73">SUM(P201:S201)</f>
        <v>90.66</v>
      </c>
      <c r="U201" s="10">
        <f t="shared" ref="U201:U205" si="74">T201/$T$205</f>
        <v>4.7682361628584588E-3</v>
      </c>
      <c r="V201" s="10" t="s">
        <v>195</v>
      </c>
    </row>
    <row r="202" spans="1:22" x14ac:dyDescent="0.25">
      <c r="A202" s="40" t="s">
        <v>193</v>
      </c>
      <c r="B202" s="88">
        <f>60*12</f>
        <v>720</v>
      </c>
      <c r="C202" s="7"/>
      <c r="D202" s="7"/>
      <c r="E202" s="7"/>
      <c r="F202" s="7"/>
      <c r="G202" s="7"/>
      <c r="H202" s="7"/>
      <c r="I202" s="7">
        <f t="shared" si="72"/>
        <v>720</v>
      </c>
      <c r="J202" s="8" t="s">
        <v>194</v>
      </c>
      <c r="L202" s="7">
        <v>7200</v>
      </c>
      <c r="N202" s="64">
        <f t="shared" si="71"/>
        <v>-6480</v>
      </c>
      <c r="P202" s="10">
        <v>1348.87</v>
      </c>
      <c r="Q202" s="10">
        <v>1387</v>
      </c>
      <c r="R202" s="10">
        <v>938.96</v>
      </c>
      <c r="T202" s="10">
        <f t="shared" si="73"/>
        <v>3674.83</v>
      </c>
      <c r="U202" s="10">
        <f t="shared" si="74"/>
        <v>0.19327660818836478</v>
      </c>
      <c r="V202" s="10" t="s">
        <v>197</v>
      </c>
    </row>
    <row r="203" spans="1:22" x14ac:dyDescent="0.25">
      <c r="A203" s="40" t="s">
        <v>196</v>
      </c>
      <c r="B203" s="97">
        <f>600*12</f>
        <v>7200</v>
      </c>
      <c r="C203" s="7"/>
      <c r="D203" s="7"/>
      <c r="E203" s="7"/>
      <c r="F203" s="7"/>
      <c r="G203" s="7"/>
      <c r="H203" s="7"/>
      <c r="I203" s="7">
        <f t="shared" si="72"/>
        <v>7200</v>
      </c>
      <c r="J203" s="19"/>
      <c r="L203" s="7">
        <v>3000</v>
      </c>
      <c r="N203" s="64">
        <f t="shared" si="71"/>
        <v>4200</v>
      </c>
      <c r="P203" s="10">
        <v>27.09</v>
      </c>
      <c r="Q203" s="10">
        <v>27.09</v>
      </c>
      <c r="R203" s="10">
        <v>26.86</v>
      </c>
      <c r="T203" s="10">
        <f t="shared" si="73"/>
        <v>81.039999999999992</v>
      </c>
      <c r="U203" s="10">
        <f t="shared" si="74"/>
        <v>4.2622750787342763E-3</v>
      </c>
    </row>
    <row r="204" spans="1:22" x14ac:dyDescent="0.25">
      <c r="A204" s="40" t="s">
        <v>198</v>
      </c>
      <c r="B204" s="97">
        <f>250*12</f>
        <v>3000</v>
      </c>
      <c r="C204" s="7"/>
      <c r="D204" s="7"/>
      <c r="E204" s="7"/>
      <c r="F204" s="7"/>
      <c r="G204" s="7"/>
      <c r="H204" s="7"/>
      <c r="I204" s="7">
        <f t="shared" si="72"/>
        <v>3000</v>
      </c>
      <c r="J204" s="19"/>
      <c r="L204" s="7">
        <v>1000</v>
      </c>
      <c r="N204" s="64">
        <f t="shared" si="71"/>
        <v>2000</v>
      </c>
      <c r="P204" s="10">
        <v>0</v>
      </c>
      <c r="Q204" s="10">
        <v>165</v>
      </c>
      <c r="R204" s="10">
        <v>1065.51</v>
      </c>
      <c r="T204" s="10">
        <f t="shared" si="73"/>
        <v>1230.51</v>
      </c>
      <c r="U204" s="10">
        <f t="shared" si="74"/>
        <v>6.4718313266699343E-2</v>
      </c>
      <c r="V204" s="10" t="s">
        <v>200</v>
      </c>
    </row>
    <row r="205" spans="1:22" x14ac:dyDescent="0.25">
      <c r="A205" s="40" t="s">
        <v>199</v>
      </c>
      <c r="B205" s="97">
        <v>1000</v>
      </c>
      <c r="C205" s="7"/>
      <c r="D205" s="7"/>
      <c r="E205" s="7"/>
      <c r="F205" s="7"/>
      <c r="G205" s="7"/>
      <c r="H205" s="7"/>
      <c r="I205" s="7">
        <f t="shared" si="72"/>
        <v>1000</v>
      </c>
      <c r="J205" s="19"/>
      <c r="L205" s="7">
        <v>12000</v>
      </c>
      <c r="N205" s="64">
        <f t="shared" si="71"/>
        <v>-11000</v>
      </c>
      <c r="P205" s="10">
        <f>SUM(P200:P204)</f>
        <v>5710.3899999999994</v>
      </c>
      <c r="Q205" s="10">
        <f>SUM(Q200:Q204)</f>
        <v>6493.08</v>
      </c>
      <c r="R205" s="10">
        <f>SUM(R200:R204)</f>
        <v>6809.85</v>
      </c>
      <c r="T205" s="10">
        <f t="shared" si="73"/>
        <v>19013.32</v>
      </c>
      <c r="U205" s="10">
        <f t="shared" si="74"/>
        <v>1</v>
      </c>
    </row>
    <row r="206" spans="1:22" x14ac:dyDescent="0.25">
      <c r="A206" s="40" t="s">
        <v>201</v>
      </c>
      <c r="B206" s="243">
        <f>750*12+3000</f>
        <v>12000</v>
      </c>
      <c r="C206" s="7"/>
      <c r="D206" s="7"/>
      <c r="E206" s="7"/>
      <c r="F206" s="7"/>
      <c r="G206" s="7"/>
      <c r="H206" s="7"/>
      <c r="I206" s="7">
        <f t="shared" si="72"/>
        <v>12000</v>
      </c>
      <c r="J206" s="19" t="s">
        <v>202</v>
      </c>
      <c r="L206" s="7">
        <v>12500</v>
      </c>
      <c r="N206" s="235">
        <f t="shared" si="71"/>
        <v>-500</v>
      </c>
      <c r="P206" s="10">
        <f>P205-P155</f>
        <v>5710.3899999999994</v>
      </c>
      <c r="Q206" s="10">
        <f>Q205-Q155</f>
        <v>6493.08</v>
      </c>
      <c r="R206" s="10">
        <f>R205-R155</f>
        <v>6809.85</v>
      </c>
      <c r="T206" s="10">
        <f t="shared" si="73"/>
        <v>19013.32</v>
      </c>
    </row>
    <row r="207" spans="1:22" x14ac:dyDescent="0.25">
      <c r="A207" s="40" t="s">
        <v>203</v>
      </c>
      <c r="B207" s="7">
        <f>5000+7500</f>
        <v>12500</v>
      </c>
      <c r="C207" s="7"/>
      <c r="D207" s="7"/>
      <c r="E207" s="7"/>
      <c r="F207" s="7"/>
      <c r="G207" s="7"/>
      <c r="H207" s="7"/>
      <c r="I207" s="7">
        <f t="shared" si="72"/>
        <v>12500</v>
      </c>
      <c r="J207" s="19"/>
      <c r="L207" s="7">
        <v>0</v>
      </c>
      <c r="N207" s="64">
        <f t="shared" si="71"/>
        <v>12500</v>
      </c>
    </row>
    <row r="208" spans="1:22" x14ac:dyDescent="0.25">
      <c r="A208" s="40" t="s">
        <v>204</v>
      </c>
      <c r="B208" s="7">
        <v>0</v>
      </c>
      <c r="C208" s="7"/>
      <c r="D208" s="7"/>
      <c r="E208" s="7"/>
      <c r="F208" s="7"/>
      <c r="G208" s="7"/>
      <c r="H208" s="7"/>
      <c r="I208" s="7">
        <f t="shared" si="72"/>
        <v>0</v>
      </c>
      <c r="J208" s="19"/>
      <c r="L208" s="7">
        <v>0</v>
      </c>
      <c r="N208" s="231">
        <f>I208-L208</f>
        <v>0</v>
      </c>
    </row>
    <row r="209" spans="1:14" x14ac:dyDescent="0.25">
      <c r="A209" s="40" t="s">
        <v>205</v>
      </c>
      <c r="B209" s="7">
        <v>0</v>
      </c>
      <c r="C209" s="7"/>
      <c r="D209" s="7"/>
      <c r="E209" s="7"/>
      <c r="F209" s="7"/>
      <c r="G209" s="7"/>
      <c r="H209" s="7"/>
      <c r="I209" s="7">
        <f t="shared" si="72"/>
        <v>0</v>
      </c>
      <c r="J209" s="19"/>
      <c r="L209" s="7">
        <v>2500</v>
      </c>
      <c r="N209" s="64">
        <f t="shared" si="71"/>
        <v>-2500</v>
      </c>
    </row>
    <row r="210" spans="1:14" x14ac:dyDescent="0.25">
      <c r="A210" s="96" t="s">
        <v>206</v>
      </c>
      <c r="B210" s="7">
        <v>2500</v>
      </c>
      <c r="C210" s="7"/>
      <c r="D210" s="7"/>
      <c r="E210" s="7"/>
      <c r="F210" s="7"/>
      <c r="G210" s="7"/>
      <c r="H210" s="7"/>
      <c r="I210" s="7">
        <f t="shared" si="72"/>
        <v>2500</v>
      </c>
      <c r="J210" s="19"/>
      <c r="K210" s="10"/>
      <c r="L210" s="84">
        <v>68920</v>
      </c>
      <c r="M210" s="10"/>
      <c r="N210" s="84" t="e">
        <f>SUM(N200:N209)</f>
        <v>#VALUE!</v>
      </c>
    </row>
    <row r="211" spans="1:14" x14ac:dyDescent="0.25">
      <c r="A211" s="83" t="s">
        <v>207</v>
      </c>
      <c r="B211" s="84">
        <f t="shared" ref="B211:I211" si="75">SUM(B201:B210)</f>
        <v>68920</v>
      </c>
      <c r="C211" s="84">
        <f t="shared" si="75"/>
        <v>0</v>
      </c>
      <c r="D211" s="84">
        <f t="shared" si="75"/>
        <v>0</v>
      </c>
      <c r="E211" s="84">
        <f t="shared" si="75"/>
        <v>0</v>
      </c>
      <c r="F211" s="84">
        <f t="shared" si="75"/>
        <v>0</v>
      </c>
      <c r="G211" s="84">
        <f t="shared" si="75"/>
        <v>0</v>
      </c>
      <c r="H211" s="84">
        <f t="shared" si="75"/>
        <v>0</v>
      </c>
      <c r="I211" s="84">
        <f t="shared" si="75"/>
        <v>68920</v>
      </c>
      <c r="J211" s="10"/>
      <c r="K211" s="10"/>
      <c r="L211" s="7"/>
      <c r="M211" s="10"/>
      <c r="N211" s="7"/>
    </row>
    <row r="212" spans="1:14" x14ac:dyDescent="0.25">
      <c r="A212" s="105"/>
      <c r="B212" s="7"/>
      <c r="C212" s="7"/>
      <c r="D212" s="7"/>
      <c r="E212" s="7"/>
      <c r="F212" s="7"/>
      <c r="G212" s="7"/>
      <c r="H212" s="7"/>
      <c r="I212" s="7"/>
      <c r="J212" s="10"/>
      <c r="K212" s="10"/>
      <c r="L212" s="84">
        <v>1946825.8017000002</v>
      </c>
      <c r="M212" s="10"/>
      <c r="N212" s="84" t="e">
        <f t="shared" ref="N212" si="76">N144+N156+N172+N198+N210</f>
        <v>#VALUE!</v>
      </c>
    </row>
    <row r="213" spans="1:14" x14ac:dyDescent="0.25">
      <c r="A213" s="83" t="s">
        <v>208</v>
      </c>
      <c r="B213" s="84">
        <f>B144+B156+B172+B199+B211</f>
        <v>1300334.0514999998</v>
      </c>
      <c r="C213" s="84">
        <f t="shared" ref="C213:I213" si="77">C144+C156+C172+C199+C211</f>
        <v>139776.75</v>
      </c>
      <c r="D213" s="84">
        <f t="shared" si="77"/>
        <v>131154.16220000002</v>
      </c>
      <c r="E213" s="84">
        <f t="shared" si="77"/>
        <v>292311.25</v>
      </c>
      <c r="F213" s="84">
        <f t="shared" si="77"/>
        <v>33898.050000000003</v>
      </c>
      <c r="G213" s="84">
        <f t="shared" si="77"/>
        <v>7153.52</v>
      </c>
      <c r="H213" s="84">
        <f t="shared" si="77"/>
        <v>1239.1600000000001</v>
      </c>
      <c r="I213" s="84">
        <f t="shared" si="77"/>
        <v>1905866.9436999999</v>
      </c>
      <c r="J213" s="10"/>
      <c r="K213" s="10"/>
      <c r="L213" s="64"/>
      <c r="M213" s="10"/>
      <c r="N213" s="64"/>
    </row>
    <row r="214" spans="1:14" x14ac:dyDescent="0.25">
      <c r="A214" s="106"/>
      <c r="B214" s="64"/>
      <c r="C214" s="64"/>
      <c r="D214" s="64"/>
      <c r="E214" s="64"/>
      <c r="F214" s="64"/>
      <c r="G214" s="64"/>
      <c r="H214" s="64"/>
      <c r="I214" s="64"/>
      <c r="J214" s="10"/>
      <c r="L214" s="12">
        <v>69000</v>
      </c>
      <c r="N214" s="64">
        <f>I214-L214</f>
        <v>-69000</v>
      </c>
    </row>
    <row r="215" spans="1:14" x14ac:dyDescent="0.25">
      <c r="A215" s="55" t="s">
        <v>209</v>
      </c>
      <c r="B215" s="12">
        <f>500*B17</f>
        <v>59000</v>
      </c>
      <c r="C215" s="12"/>
      <c r="D215" s="12"/>
      <c r="E215" s="12"/>
      <c r="F215" s="12"/>
      <c r="G215" s="12"/>
      <c r="H215" s="12"/>
      <c r="I215" s="12">
        <f t="shared" ref="I215:I220" si="78">SUM(B215:H215)</f>
        <v>59000</v>
      </c>
      <c r="J215" s="19"/>
      <c r="L215" s="12">
        <v>0</v>
      </c>
      <c r="N215" s="64">
        <f t="shared" ref="N215:N217" si="79">I215-L215</f>
        <v>59000</v>
      </c>
    </row>
    <row r="216" spans="1:14" x14ac:dyDescent="0.25">
      <c r="A216" s="55" t="s">
        <v>210</v>
      </c>
      <c r="B216" s="12">
        <v>0</v>
      </c>
      <c r="C216" s="12"/>
      <c r="D216" s="12"/>
      <c r="E216" s="12"/>
      <c r="F216" s="12"/>
      <c r="G216" s="12"/>
      <c r="H216" s="12"/>
      <c r="I216" s="12">
        <f t="shared" si="78"/>
        <v>0</v>
      </c>
      <c r="J216" s="19"/>
      <c r="L216" s="12">
        <v>0</v>
      </c>
      <c r="N216" s="64">
        <f t="shared" si="79"/>
        <v>0</v>
      </c>
    </row>
    <row r="217" spans="1:14" x14ac:dyDescent="0.25">
      <c r="A217" s="55" t="s">
        <v>211</v>
      </c>
      <c r="B217" s="12">
        <v>0</v>
      </c>
      <c r="C217" s="12"/>
      <c r="D217" s="12"/>
      <c r="E217" s="12"/>
      <c r="F217" s="12"/>
      <c r="G217" s="12"/>
      <c r="H217" s="12"/>
      <c r="I217" s="12">
        <f t="shared" si="78"/>
        <v>0</v>
      </c>
      <c r="J217" s="19"/>
      <c r="L217" s="12">
        <v>0</v>
      </c>
      <c r="N217" s="64">
        <f t="shared" si="79"/>
        <v>0</v>
      </c>
    </row>
    <row r="218" spans="1:14" x14ac:dyDescent="0.25">
      <c r="A218" s="55" t="s">
        <v>212</v>
      </c>
      <c r="B218" s="12">
        <v>0</v>
      </c>
      <c r="C218" s="12"/>
      <c r="D218" s="12"/>
      <c r="E218" s="12"/>
      <c r="F218" s="12"/>
      <c r="G218" s="12"/>
      <c r="H218" s="12"/>
      <c r="I218" s="12">
        <f t="shared" si="78"/>
        <v>0</v>
      </c>
      <c r="J218" s="19"/>
      <c r="L218" s="12">
        <v>0</v>
      </c>
      <c r="N218" s="12">
        <f t="shared" ref="N218:N219" si="80">SUM(H218:M218)</f>
        <v>0</v>
      </c>
    </row>
    <row r="219" spans="1:14" ht="15.75" thickBot="1" x14ac:dyDescent="0.3">
      <c r="A219" s="55"/>
      <c r="B219" s="12">
        <v>0</v>
      </c>
      <c r="C219" s="12">
        <v>0</v>
      </c>
      <c r="D219" s="12">
        <v>0</v>
      </c>
      <c r="E219" s="12"/>
      <c r="F219" s="12"/>
      <c r="G219" s="12"/>
      <c r="H219" s="12">
        <v>0</v>
      </c>
      <c r="I219" s="12">
        <f t="shared" si="78"/>
        <v>0</v>
      </c>
      <c r="J219" s="19"/>
      <c r="K219" s="10"/>
      <c r="L219" s="7">
        <v>0</v>
      </c>
      <c r="M219" s="10"/>
      <c r="N219" s="7">
        <f t="shared" si="80"/>
        <v>0</v>
      </c>
    </row>
    <row r="220" spans="1:14" ht="15.75" thickBot="1" x14ac:dyDescent="0.3">
      <c r="A220" s="40"/>
      <c r="B220" s="47"/>
      <c r="C220" s="47"/>
      <c r="D220" s="47"/>
      <c r="E220" s="47"/>
      <c r="F220" s="47"/>
      <c r="G220" s="47"/>
      <c r="H220" s="47"/>
      <c r="I220" s="7">
        <f t="shared" si="78"/>
        <v>0</v>
      </c>
      <c r="J220" s="10"/>
      <c r="K220" s="10"/>
      <c r="L220" s="108">
        <v>-0.32646000012755394</v>
      </c>
      <c r="M220" s="10"/>
      <c r="N220" s="108" t="e">
        <f>N98-N212-N214-N215-N217-N216</f>
        <v>#VALUE!</v>
      </c>
    </row>
    <row r="221" spans="1:14" ht="15.75" thickBot="1" x14ac:dyDescent="0.3">
      <c r="A221" s="107" t="s">
        <v>213</v>
      </c>
      <c r="B221" s="108">
        <f t="shared" ref="B221:I221" si="81">B98-B213-B215-B216-B218-B217</f>
        <v>150236.94850000017</v>
      </c>
      <c r="C221" s="108">
        <f t="shared" si="81"/>
        <v>-103852.75</v>
      </c>
      <c r="D221" s="108">
        <f t="shared" si="81"/>
        <v>-31213.356560000015</v>
      </c>
      <c r="E221" s="108">
        <f t="shared" si="81"/>
        <v>-0.25</v>
      </c>
      <c r="F221" s="108">
        <f t="shared" si="81"/>
        <v>-15170.180000000004</v>
      </c>
      <c r="G221" s="108">
        <f t="shared" si="81"/>
        <v>0</v>
      </c>
      <c r="H221" s="108">
        <f t="shared" si="81"/>
        <v>0</v>
      </c>
      <c r="I221" s="108">
        <f t="shared" si="81"/>
        <v>0.41194000001996756</v>
      </c>
      <c r="J221" s="25"/>
      <c r="K221" s="10"/>
      <c r="L221" s="110">
        <v>-1.6194854372930588E-7</v>
      </c>
      <c r="M221" s="10"/>
      <c r="N221" s="110" t="e">
        <f>N220/(N98)</f>
        <v>#VALUE!</v>
      </c>
    </row>
    <row r="222" spans="1:14" x14ac:dyDescent="0.25">
      <c r="B222" s="111"/>
      <c r="C222" s="111"/>
      <c r="D222" s="111"/>
      <c r="E222" s="111"/>
      <c r="F222" s="111"/>
      <c r="G222" s="111"/>
      <c r="H222" s="111"/>
      <c r="I222" s="111"/>
      <c r="L222" s="111">
        <v>-1.6194854372930588E-7</v>
      </c>
      <c r="N222" s="111"/>
    </row>
    <row r="223" spans="1:14" x14ac:dyDescent="0.25">
      <c r="A223" s="1" t="str">
        <f t="shared" ref="A223:I223" si="82">A1</f>
        <v>Young Women's Leadership Academy (YWLA) - FY24</v>
      </c>
      <c r="B223" s="1" t="str">
        <f t="shared" si="82"/>
        <v>Operating</v>
      </c>
      <c r="C223" s="1" t="str">
        <f t="shared" si="82"/>
        <v>SPED</v>
      </c>
      <c r="D223" s="1" t="str">
        <f t="shared" si="82"/>
        <v>NSLP</v>
      </c>
      <c r="E223" s="1" t="str">
        <f t="shared" si="82"/>
        <v>CSP</v>
      </c>
      <c r="F223" s="1" t="str">
        <f t="shared" si="82"/>
        <v>Title I</v>
      </c>
      <c r="G223" s="1" t="str">
        <f t="shared" si="82"/>
        <v>Title II</v>
      </c>
      <c r="H223" s="1" t="str">
        <f t="shared" si="82"/>
        <v>Title III</v>
      </c>
      <c r="I223" s="1" t="str">
        <f t="shared" si="82"/>
        <v>Total (23-24)</v>
      </c>
      <c r="J223" s="2"/>
      <c r="K223" s="2"/>
      <c r="L223" s="1" t="str">
        <f>L1</f>
        <v>23-24 (BREAKEVEN)</v>
      </c>
      <c r="M223" s="2"/>
      <c r="N223" s="1" t="str">
        <f>N1</f>
        <v>Variance</v>
      </c>
    </row>
    <row r="225" spans="1:14" s="18" customFormat="1" x14ac:dyDescent="0.25">
      <c r="A225" s="10"/>
      <c r="B225" s="112"/>
      <c r="C225" s="112"/>
      <c r="D225" s="112"/>
      <c r="E225" s="112"/>
      <c r="F225" s="112"/>
      <c r="G225" s="112"/>
      <c r="H225" s="112"/>
      <c r="I225" s="112"/>
      <c r="L225" s="112"/>
      <c r="N225" s="112"/>
    </row>
    <row r="226" spans="1:14" s="18" customFormat="1" x14ac:dyDescent="0.25">
      <c r="A226" s="113" t="s">
        <v>214</v>
      </c>
      <c r="B226" s="114"/>
      <c r="C226" s="114"/>
      <c r="D226" s="114"/>
      <c r="E226" s="114"/>
      <c r="F226" s="114"/>
      <c r="G226" s="114"/>
      <c r="H226" s="114"/>
      <c r="I226" s="114">
        <f>I98-I212</f>
        <v>1964867.35564</v>
      </c>
      <c r="L226" s="114">
        <f>L98-L212</f>
        <v>68999.673539999872</v>
      </c>
      <c r="N226" s="114" t="e">
        <f>N98-N212</f>
        <v>#VALUE!</v>
      </c>
    </row>
    <row r="227" spans="1:14" x14ac:dyDescent="0.25">
      <c r="A227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x14ac:dyDescent="0.25">
      <c r="A228" s="115">
        <f>A214</f>
        <v>0</v>
      </c>
      <c r="B228" s="116"/>
      <c r="C228" s="116"/>
      <c r="D228" s="116"/>
      <c r="E228" s="116"/>
      <c r="F228" s="116"/>
      <c r="G228" s="116"/>
      <c r="H228" s="116"/>
      <c r="I228" s="116">
        <f>I214</f>
        <v>0</v>
      </c>
      <c r="J228" s="10"/>
      <c r="K228" s="10"/>
      <c r="L228" s="116">
        <f>L214</f>
        <v>69000</v>
      </c>
      <c r="M228" s="10"/>
      <c r="N228" s="116">
        <f>N214</f>
        <v>-69000</v>
      </c>
    </row>
    <row r="229" spans="1:14" x14ac:dyDescent="0.25">
      <c r="A229" s="115" t="str">
        <f>A215</f>
        <v>Scheduled Lease Payment</v>
      </c>
      <c r="B229" s="116"/>
      <c r="C229" s="116"/>
      <c r="D229" s="116"/>
      <c r="E229" s="116"/>
      <c r="F229" s="116"/>
      <c r="G229" s="116"/>
      <c r="H229" s="116"/>
      <c r="I229" s="116">
        <f t="shared" ref="I229:I230" si="83">I215</f>
        <v>59000</v>
      </c>
      <c r="J229" s="10"/>
      <c r="K229" s="10"/>
      <c r="L229" s="116">
        <f t="shared" ref="L229:L230" si="84">L215</f>
        <v>0</v>
      </c>
      <c r="M229" s="10"/>
      <c r="N229" s="116">
        <f t="shared" ref="N229:N230" si="85">N215</f>
        <v>59000</v>
      </c>
    </row>
    <row r="230" spans="1:14" x14ac:dyDescent="0.25">
      <c r="A230" s="115" t="str">
        <f>A216</f>
        <v>Scheduled Bond Payment - Principal</v>
      </c>
      <c r="B230" s="116"/>
      <c r="C230" s="116"/>
      <c r="D230" s="116"/>
      <c r="E230" s="116"/>
      <c r="F230" s="116"/>
      <c r="G230" s="116"/>
      <c r="H230" s="116"/>
      <c r="I230" s="116">
        <f t="shared" si="83"/>
        <v>0</v>
      </c>
      <c r="J230" s="10"/>
      <c r="K230" s="10"/>
      <c r="L230" s="116">
        <f t="shared" si="84"/>
        <v>0</v>
      </c>
      <c r="M230" s="10"/>
      <c r="N230" s="116">
        <f t="shared" si="85"/>
        <v>0</v>
      </c>
    </row>
    <row r="231" spans="1:14" x14ac:dyDescent="0.25">
      <c r="A231"/>
      <c r="B231" s="116"/>
      <c r="C231" s="116"/>
      <c r="D231" s="116"/>
      <c r="E231" s="116"/>
      <c r="F231" s="116"/>
      <c r="G231" s="116"/>
      <c r="H231" s="116"/>
      <c r="I231" s="116"/>
      <c r="J231" s="10"/>
      <c r="K231" s="10"/>
      <c r="L231" s="116"/>
      <c r="M231" s="10"/>
      <c r="N231" s="116"/>
    </row>
    <row r="232" spans="1:14" x14ac:dyDescent="0.25">
      <c r="A232" s="113" t="s">
        <v>215</v>
      </c>
      <c r="B232" s="117"/>
      <c r="C232" s="117"/>
      <c r="D232" s="117"/>
      <c r="E232" s="117"/>
      <c r="F232" s="117"/>
      <c r="G232" s="117"/>
      <c r="H232" s="117"/>
      <c r="I232" s="117">
        <f>SUM(I228:I230)</f>
        <v>59000</v>
      </c>
      <c r="J232" s="10"/>
      <c r="K232" s="10"/>
      <c r="L232" s="117">
        <f>SUM(L228:L230)</f>
        <v>69000</v>
      </c>
      <c r="M232" s="10"/>
      <c r="N232" s="117">
        <f>SUM(N228:N230)</f>
        <v>-10000</v>
      </c>
    </row>
    <row r="233" spans="1:14" x14ac:dyDescent="0.25">
      <c r="A233" s="118" t="s">
        <v>216</v>
      </c>
      <c r="B233" s="119"/>
      <c r="C233" s="119"/>
      <c r="D233" s="119"/>
      <c r="E233" s="119"/>
      <c r="F233" s="119"/>
      <c r="G233" s="119"/>
      <c r="H233" s="119"/>
      <c r="I233" s="119">
        <f>I226/I232</f>
        <v>33.302836536271187</v>
      </c>
      <c r="J233" s="120"/>
      <c r="K233" s="120"/>
      <c r="L233" s="119">
        <f>L226/L232</f>
        <v>0.99999526869565036</v>
      </c>
      <c r="M233" s="120"/>
      <c r="N233" s="119" t="e">
        <f>N226/N232</f>
        <v>#VALUE!</v>
      </c>
    </row>
    <row r="234" spans="1:14" x14ac:dyDescent="0.25">
      <c r="A234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 x14ac:dyDescent="0.25">
      <c r="A235" s="121" t="s">
        <v>217</v>
      </c>
      <c r="B235" s="122"/>
      <c r="C235" s="122"/>
      <c r="D235" s="122"/>
      <c r="E235" s="122"/>
      <c r="F235" s="122"/>
      <c r="G235" s="122"/>
      <c r="H235" s="122"/>
      <c r="I235" s="122"/>
      <c r="J235" s="10"/>
      <c r="K235" s="10"/>
      <c r="L235" s="122"/>
      <c r="M235" s="10"/>
      <c r="N235" s="122"/>
    </row>
    <row r="236" spans="1:14" x14ac:dyDescent="0.25">
      <c r="A236" t="s">
        <v>218</v>
      </c>
      <c r="B236" s="123"/>
      <c r="C236" s="123"/>
      <c r="D236" s="123"/>
      <c r="E236" s="123"/>
      <c r="F236" s="123"/>
      <c r="G236" s="123"/>
      <c r="H236" s="123"/>
      <c r="I236" s="124"/>
      <c r="J236" s="10"/>
      <c r="K236" s="10"/>
      <c r="L236" s="124"/>
      <c r="M236" s="10"/>
      <c r="N236" s="124"/>
    </row>
    <row r="237" spans="1:14" x14ac:dyDescent="0.25">
      <c r="A237" s="10" t="s">
        <v>219</v>
      </c>
      <c r="B237" s="123"/>
      <c r="C237" s="123"/>
      <c r="D237" s="123"/>
      <c r="E237" s="123"/>
      <c r="F237" s="123"/>
      <c r="G237" s="123"/>
      <c r="H237" s="123"/>
      <c r="I237" s="123"/>
      <c r="J237" s="10"/>
      <c r="K237" s="10"/>
      <c r="L237" s="123"/>
      <c r="M237" s="10"/>
      <c r="N237" s="123"/>
    </row>
    <row r="238" spans="1:14" x14ac:dyDescent="0.25">
      <c r="A238" s="10" t="s">
        <v>220</v>
      </c>
      <c r="B238" s="123"/>
      <c r="C238" s="123"/>
      <c r="D238" s="123"/>
      <c r="E238" s="123"/>
      <c r="F238" s="123"/>
      <c r="G238" s="123"/>
      <c r="H238" s="123"/>
      <c r="I238" s="123"/>
      <c r="J238" s="120"/>
      <c r="K238" s="120"/>
      <c r="L238" s="123"/>
      <c r="M238" s="120"/>
      <c r="N238" s="123"/>
    </row>
    <row r="239" spans="1:14" x14ac:dyDescent="0.25">
      <c r="A239" s="125" t="s">
        <v>221</v>
      </c>
      <c r="B239" s="126"/>
      <c r="C239" s="126"/>
      <c r="D239" s="126"/>
      <c r="E239" s="126"/>
      <c r="F239" s="126"/>
      <c r="G239" s="126"/>
      <c r="H239" s="126"/>
      <c r="I239" s="126">
        <f>SUM(I236:I238)</f>
        <v>0</v>
      </c>
      <c r="J239" s="10"/>
      <c r="K239" s="10"/>
      <c r="L239" s="126">
        <f>SUM(L236:L238)</f>
        <v>0</v>
      </c>
      <c r="M239" s="10"/>
      <c r="N239" s="126">
        <f>SUM(N236:N238)</f>
        <v>0</v>
      </c>
    </row>
    <row r="240" spans="1:14" x14ac:dyDescent="0.25">
      <c r="A240" s="127" t="s">
        <v>222</v>
      </c>
      <c r="B240" s="128"/>
      <c r="C240" s="128"/>
      <c r="D240" s="128"/>
      <c r="E240" s="128"/>
      <c r="F240" s="128"/>
      <c r="G240" s="128"/>
      <c r="H240" s="128"/>
      <c r="I240" s="128">
        <f>I239/((SUM(I212:I218))/365)</f>
        <v>0</v>
      </c>
      <c r="J240" s="10"/>
      <c r="K240" s="10"/>
      <c r="L240" s="128">
        <f>L239/((SUM(L212:L218))/365)</f>
        <v>0</v>
      </c>
      <c r="M240" s="10"/>
      <c r="N240" s="128" t="e">
        <f>N239/((SUM(N212:N218))/365)</f>
        <v>#VALUE!</v>
      </c>
    </row>
    <row r="241" spans="1:14" x14ac:dyDescent="0.25">
      <c r="A241"/>
      <c r="B241" s="129"/>
    </row>
    <row r="242" spans="1:14" x14ac:dyDescent="0.25">
      <c r="C242" s="130"/>
      <c r="D242" s="130"/>
      <c r="E242" s="130"/>
      <c r="F242" s="130"/>
      <c r="G242" s="130"/>
      <c r="H242" s="130"/>
      <c r="I242" s="130"/>
      <c r="L242" s="130"/>
      <c r="N242" s="130"/>
    </row>
  </sheetData>
  <pageMargins left="0.7" right="0.7" top="0.75" bottom="0.75" header="0.3" footer="0.3"/>
  <pageSetup scale="49" orientation="portrait" r:id="rId1"/>
  <headerFooter>
    <oddFooter>&amp;LPage &amp;P&amp;C
&amp;R
 &amp;G</oddFooter>
  </headerFooter>
  <rowBreaks count="2" manualBreakCount="2">
    <brk id="71" max="8" man="1"/>
    <brk id="156" max="8" man="1"/>
  </rowBreaks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80" zoomScaleNormal="80" workbookViewId="0">
      <selection activeCell="E6" sqref="E6:E8"/>
    </sheetView>
  </sheetViews>
  <sheetFormatPr defaultRowHeight="15" x14ac:dyDescent="0.25"/>
  <cols>
    <col min="1" max="1" width="19.42578125" customWidth="1"/>
    <col min="2" max="2" width="16.28515625" customWidth="1"/>
    <col min="3" max="8" width="15.7109375" customWidth="1"/>
    <col min="9" max="9" width="2.7109375" customWidth="1"/>
    <col min="10" max="16" width="15.7109375" customWidth="1"/>
  </cols>
  <sheetData>
    <row r="1" spans="1:15" ht="18.75" x14ac:dyDescent="0.3">
      <c r="A1" s="131" t="s">
        <v>225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3" spans="1:15" x14ac:dyDescent="0.25">
      <c r="A3" t="s">
        <v>226</v>
      </c>
      <c r="B3" s="132"/>
      <c r="C3" s="132"/>
      <c r="D3" s="132" t="s">
        <v>261</v>
      </c>
      <c r="E3" s="132" t="s">
        <v>261</v>
      </c>
      <c r="F3" s="132"/>
      <c r="G3" s="132"/>
      <c r="H3" s="132"/>
    </row>
    <row r="4" spans="1:15" x14ac:dyDescent="0.25">
      <c r="A4" t="s">
        <v>227</v>
      </c>
      <c r="B4" s="132"/>
      <c r="C4" s="132"/>
      <c r="D4" s="132" t="s">
        <v>261</v>
      </c>
      <c r="E4" s="132" t="s">
        <v>261</v>
      </c>
      <c r="F4" s="132"/>
      <c r="G4" s="132"/>
      <c r="H4" s="132"/>
      <c r="I4" s="132"/>
      <c r="J4" s="132"/>
      <c r="K4" s="132"/>
      <c r="L4" s="132"/>
    </row>
    <row r="5" spans="1:15" x14ac:dyDescent="0.25">
      <c r="A5" t="s">
        <v>228</v>
      </c>
      <c r="B5" s="133"/>
      <c r="C5" s="133"/>
      <c r="D5" s="133" t="s">
        <v>261</v>
      </c>
      <c r="E5" s="133" t="s">
        <v>261</v>
      </c>
      <c r="F5" s="133"/>
      <c r="G5" s="133"/>
      <c r="H5" s="133"/>
    </row>
    <row r="6" spans="1:15" x14ac:dyDescent="0.25">
      <c r="A6" t="s">
        <v>229</v>
      </c>
      <c r="B6" s="134"/>
      <c r="C6" s="134"/>
      <c r="D6" s="134"/>
      <c r="E6" s="134"/>
      <c r="F6" s="134"/>
      <c r="G6" s="134"/>
      <c r="H6" s="134"/>
    </row>
    <row r="7" spans="1:15" x14ac:dyDescent="0.25">
      <c r="A7" t="s">
        <v>230</v>
      </c>
      <c r="B7" s="134"/>
      <c r="C7" s="134"/>
      <c r="D7" s="134"/>
      <c r="E7" s="134"/>
      <c r="F7" s="134"/>
      <c r="G7" s="134"/>
      <c r="H7" s="134"/>
    </row>
    <row r="8" spans="1:15" x14ac:dyDescent="0.25">
      <c r="A8" t="s">
        <v>231</v>
      </c>
      <c r="B8" s="135"/>
      <c r="C8" s="135"/>
      <c r="D8" s="135"/>
      <c r="E8" s="135"/>
      <c r="F8" s="135"/>
      <c r="G8" s="135"/>
      <c r="H8" s="134"/>
      <c r="L8" s="136"/>
    </row>
    <row r="9" spans="1:15" x14ac:dyDescent="0.25">
      <c r="L9" s="134"/>
    </row>
    <row r="10" spans="1:15" x14ac:dyDescent="0.25">
      <c r="J10" s="137" t="s">
        <v>232</v>
      </c>
      <c r="K10" s="137" t="s">
        <v>233</v>
      </c>
    </row>
    <row r="11" spans="1:15" x14ac:dyDescent="0.25">
      <c r="A11" s="136">
        <v>2022</v>
      </c>
      <c r="B11" s="139"/>
      <c r="C11" s="139"/>
      <c r="D11" s="139"/>
      <c r="E11" s="139"/>
      <c r="F11" s="139"/>
      <c r="G11" s="139"/>
      <c r="J11" s="138">
        <f>SUM(B11:I11)</f>
        <v>0</v>
      </c>
      <c r="K11" s="136" t="s">
        <v>234</v>
      </c>
      <c r="L11" s="140"/>
    </row>
    <row r="12" spans="1:15" x14ac:dyDescent="0.25">
      <c r="A12" s="136">
        <v>2023</v>
      </c>
      <c r="B12" s="139"/>
      <c r="C12" s="139"/>
      <c r="D12" s="139"/>
      <c r="E12" s="139"/>
      <c r="F12" s="139"/>
      <c r="G12" s="139"/>
      <c r="J12" s="138">
        <f t="shared" ref="J12:J23" si="0">SUM(B12:I12)</f>
        <v>0</v>
      </c>
      <c r="K12" s="136" t="s">
        <v>235</v>
      </c>
      <c r="L12" s="140"/>
    </row>
    <row r="13" spans="1:15" x14ac:dyDescent="0.25">
      <c r="A13" s="136">
        <v>2024</v>
      </c>
      <c r="B13" s="139"/>
      <c r="C13" s="139"/>
      <c r="D13" s="139"/>
      <c r="E13" s="139"/>
      <c r="F13" s="139"/>
      <c r="G13" s="139"/>
      <c r="J13" s="138">
        <f t="shared" si="0"/>
        <v>0</v>
      </c>
      <c r="K13" s="136" t="s">
        <v>236</v>
      </c>
      <c r="L13" s="140"/>
    </row>
    <row r="14" spans="1:15" x14ac:dyDescent="0.25">
      <c r="A14" s="136">
        <v>2025</v>
      </c>
      <c r="B14" s="139"/>
      <c r="C14" s="139"/>
      <c r="D14" s="138">
        <f>D7*8</f>
        <v>0</v>
      </c>
      <c r="E14" s="139"/>
      <c r="F14" s="139"/>
      <c r="G14" s="139"/>
      <c r="J14" s="138">
        <f>SUM(B14:I14)</f>
        <v>0</v>
      </c>
      <c r="K14" s="136" t="s">
        <v>237</v>
      </c>
      <c r="L14" s="145">
        <f>'6-Year (auto-populated)'!C193</f>
        <v>0</v>
      </c>
      <c r="M14" s="136" t="str">
        <f>IF(L14&gt;J14,"OK","NO")</f>
        <v>NO</v>
      </c>
    </row>
    <row r="15" spans="1:15" x14ac:dyDescent="0.25">
      <c r="A15" s="136">
        <v>2026</v>
      </c>
      <c r="B15" s="139"/>
      <c r="C15" s="139"/>
      <c r="D15" s="138">
        <f>D7*12</f>
        <v>0</v>
      </c>
      <c r="E15" s="138">
        <f>E7*8</f>
        <v>0</v>
      </c>
      <c r="F15" s="139"/>
      <c r="G15" s="139"/>
      <c r="J15" s="138">
        <f>SUM(B15:I15)</f>
        <v>0</v>
      </c>
      <c r="K15" s="136" t="s">
        <v>238</v>
      </c>
      <c r="L15" s="145">
        <f>'6-Year (auto-populated)'!D193</f>
        <v>0</v>
      </c>
      <c r="M15" s="136" t="str">
        <f t="shared" ref="M15:M18" si="1">IF(L15&gt;J15,"OK","NO")</f>
        <v>NO</v>
      </c>
    </row>
    <row r="16" spans="1:15" x14ac:dyDescent="0.25">
      <c r="A16" s="136">
        <v>2027</v>
      </c>
      <c r="B16" s="139"/>
      <c r="C16" s="139"/>
      <c r="D16" s="138">
        <f>D7*12</f>
        <v>0</v>
      </c>
      <c r="E16" s="138">
        <f>E7*12</f>
        <v>0</v>
      </c>
      <c r="F16" s="138">
        <v>0</v>
      </c>
      <c r="G16" s="139"/>
      <c r="J16" s="138">
        <f>SUM(B16:I16)</f>
        <v>0</v>
      </c>
      <c r="K16" s="141" t="s">
        <v>239</v>
      </c>
      <c r="L16" s="145">
        <f>'6-Year (auto-populated)'!E193</f>
        <v>0</v>
      </c>
      <c r="M16" s="136" t="str">
        <f t="shared" si="1"/>
        <v>NO</v>
      </c>
      <c r="N16" s="134"/>
      <c r="O16" s="136"/>
    </row>
    <row r="17" spans="1:13" x14ac:dyDescent="0.25">
      <c r="A17" s="136">
        <v>2028</v>
      </c>
      <c r="B17" s="139"/>
      <c r="C17" s="139"/>
      <c r="D17" s="138">
        <f>D7*12</f>
        <v>0</v>
      </c>
      <c r="E17" s="138">
        <f>E7*12</f>
        <v>0</v>
      </c>
      <c r="F17" s="138">
        <v>0</v>
      </c>
      <c r="G17" s="138">
        <v>0</v>
      </c>
      <c r="J17" s="138">
        <f>SUM(B17:I17)</f>
        <v>0</v>
      </c>
      <c r="K17" s="141" t="s">
        <v>240</v>
      </c>
      <c r="L17" s="145">
        <f>'6-Year (auto-populated)'!F193</f>
        <v>0</v>
      </c>
      <c r="M17" s="136" t="str">
        <f t="shared" si="1"/>
        <v>NO</v>
      </c>
    </row>
    <row r="18" spans="1:13" x14ac:dyDescent="0.25">
      <c r="A18" s="136">
        <v>2029</v>
      </c>
      <c r="B18" s="139"/>
      <c r="C18" s="139"/>
      <c r="D18" s="138">
        <f>D7*4+(D6*0.05)</f>
        <v>0</v>
      </c>
      <c r="E18" s="138">
        <f>E7*12</f>
        <v>0</v>
      </c>
      <c r="F18" s="138">
        <v>0</v>
      </c>
      <c r="G18" s="138">
        <v>0</v>
      </c>
      <c r="J18" s="138">
        <f t="shared" si="0"/>
        <v>0</v>
      </c>
      <c r="K18" s="136" t="s">
        <v>241</v>
      </c>
      <c r="L18" s="145">
        <f>'6-Year (auto-populated)'!G193</f>
        <v>0</v>
      </c>
      <c r="M18" s="136" t="str">
        <f t="shared" si="1"/>
        <v>NO</v>
      </c>
    </row>
    <row r="19" spans="1:13" x14ac:dyDescent="0.25">
      <c r="A19" s="136">
        <v>2030</v>
      </c>
      <c r="B19" s="139"/>
      <c r="C19" s="139"/>
      <c r="D19" s="139"/>
      <c r="E19" s="138">
        <f>E7*4+(E6*0.05)</f>
        <v>0</v>
      </c>
      <c r="F19" s="138">
        <v>0</v>
      </c>
      <c r="G19" s="138">
        <v>0</v>
      </c>
      <c r="J19" s="138">
        <f t="shared" si="0"/>
        <v>0</v>
      </c>
      <c r="K19" s="136" t="s">
        <v>242</v>
      </c>
      <c r="L19" s="140"/>
    </row>
    <row r="20" spans="1:13" x14ac:dyDescent="0.25">
      <c r="A20" s="136">
        <v>2031</v>
      </c>
      <c r="B20" s="139"/>
      <c r="C20" s="139"/>
      <c r="D20" s="139"/>
      <c r="E20" s="139"/>
      <c r="F20" s="138">
        <v>0</v>
      </c>
      <c r="G20" s="138">
        <v>0</v>
      </c>
      <c r="J20" s="138">
        <f t="shared" si="0"/>
        <v>0</v>
      </c>
      <c r="K20" s="136" t="s">
        <v>239</v>
      </c>
      <c r="L20" s="140"/>
    </row>
    <row r="21" spans="1:13" x14ac:dyDescent="0.25">
      <c r="A21" s="136">
        <v>2032</v>
      </c>
      <c r="B21" s="139"/>
      <c r="C21" s="139"/>
      <c r="D21" s="139"/>
      <c r="E21" s="139"/>
      <c r="F21" s="139"/>
      <c r="G21" s="138">
        <v>0</v>
      </c>
      <c r="J21" s="138">
        <f t="shared" si="0"/>
        <v>0</v>
      </c>
      <c r="K21" s="136" t="s">
        <v>240</v>
      </c>
      <c r="L21" s="140"/>
    </row>
    <row r="22" spans="1:13" x14ac:dyDescent="0.25">
      <c r="A22" s="136">
        <v>2033</v>
      </c>
      <c r="B22" s="139"/>
      <c r="C22" s="139"/>
      <c r="D22" s="139"/>
      <c r="E22" s="139"/>
      <c r="F22" s="139"/>
      <c r="G22" s="139"/>
      <c r="J22" s="138">
        <f t="shared" si="0"/>
        <v>0</v>
      </c>
      <c r="K22" s="136" t="s">
        <v>241</v>
      </c>
      <c r="L22" s="140"/>
    </row>
    <row r="23" spans="1:13" x14ac:dyDescent="0.25">
      <c r="A23" s="136">
        <v>2034</v>
      </c>
      <c r="B23" s="139"/>
      <c r="C23" s="139"/>
      <c r="D23" s="139"/>
      <c r="E23" s="139"/>
      <c r="F23" s="139"/>
      <c r="G23" s="139"/>
      <c r="J23" s="138">
        <f t="shared" si="0"/>
        <v>0</v>
      </c>
      <c r="K23" s="136" t="s">
        <v>242</v>
      </c>
      <c r="L23" s="1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3"/>
  <sheetViews>
    <sheetView topLeftCell="A84" zoomScale="80" zoomScaleNormal="80" workbookViewId="0">
      <selection activeCell="B96" sqref="B96"/>
    </sheetView>
  </sheetViews>
  <sheetFormatPr defaultColWidth="8.7109375" defaultRowHeight="15" x14ac:dyDescent="0.25"/>
  <cols>
    <col min="1" max="1" width="56.5703125" style="10" customWidth="1"/>
    <col min="2" max="9" width="15.7109375" style="112" customWidth="1"/>
    <col min="10" max="10" width="44" style="18" customWidth="1"/>
    <col min="11" max="11" width="6.5703125" style="18" customWidth="1"/>
    <col min="12" max="16384" width="8.7109375" style="10"/>
  </cols>
  <sheetData>
    <row r="1" spans="1:11" s="5" customFormat="1" x14ac:dyDescent="0.25">
      <c r="A1" s="1" t="s">
        <v>244</v>
      </c>
      <c r="B1" s="1" t="s">
        <v>0</v>
      </c>
      <c r="C1" s="1" t="s">
        <v>1</v>
      </c>
      <c r="D1" s="1" t="s">
        <v>2</v>
      </c>
      <c r="E1" s="1" t="s">
        <v>223</v>
      </c>
      <c r="F1" s="1" t="s">
        <v>3</v>
      </c>
      <c r="G1" s="1" t="s">
        <v>4</v>
      </c>
      <c r="H1" s="1" t="s">
        <v>5</v>
      </c>
      <c r="I1" s="1" t="s">
        <v>6</v>
      </c>
      <c r="J1" s="2"/>
      <c r="K1" s="2"/>
    </row>
    <row r="2" spans="1:11" x14ac:dyDescent="0.25">
      <c r="A2" s="6" t="s">
        <v>11</v>
      </c>
      <c r="B2" s="7">
        <v>9414</v>
      </c>
      <c r="C2" s="7"/>
      <c r="D2" s="7"/>
      <c r="E2" s="7"/>
      <c r="F2" s="7"/>
      <c r="G2" s="7"/>
      <c r="H2" s="7"/>
      <c r="I2" s="7">
        <f>SUM(B2:H2)</f>
        <v>9414</v>
      </c>
      <c r="J2" s="8"/>
      <c r="K2" s="9"/>
    </row>
    <row r="3" spans="1:11" x14ac:dyDescent="0.25">
      <c r="A3" s="11" t="s">
        <v>12</v>
      </c>
      <c r="B3" s="12">
        <f t="shared" ref="B3" si="0">B4+B5+B6+B7+B8+B9+B10+B11+B12+B13+B14+B15+B16</f>
        <v>135</v>
      </c>
      <c r="C3" s="12"/>
      <c r="D3" s="12"/>
      <c r="E3" s="12"/>
      <c r="F3" s="12"/>
      <c r="G3" s="12"/>
      <c r="H3" s="12"/>
      <c r="I3" s="12">
        <f t="shared" ref="I3:I16" si="1">SUM(B3:H3)</f>
        <v>135</v>
      </c>
      <c r="J3" s="8"/>
      <c r="K3" s="9"/>
    </row>
    <row r="4" spans="1:11" x14ac:dyDescent="0.25">
      <c r="A4" s="13" t="s">
        <v>13</v>
      </c>
      <c r="B4" s="7">
        <v>0</v>
      </c>
      <c r="C4" s="14"/>
      <c r="D4" s="14"/>
      <c r="E4" s="14"/>
      <c r="F4" s="14"/>
      <c r="G4" s="14"/>
      <c r="H4" s="14"/>
      <c r="I4" s="14">
        <f t="shared" si="1"/>
        <v>0</v>
      </c>
      <c r="J4" s="15">
        <f>B4/25</f>
        <v>0</v>
      </c>
      <c r="K4" s="16"/>
    </row>
    <row r="5" spans="1:11" x14ac:dyDescent="0.25">
      <c r="A5" s="11" t="s">
        <v>14</v>
      </c>
      <c r="B5" s="7">
        <v>0</v>
      </c>
      <c r="C5" s="14"/>
      <c r="D5" s="14"/>
      <c r="E5" s="14"/>
      <c r="F5" s="14"/>
      <c r="G5" s="14"/>
      <c r="H5" s="14"/>
      <c r="I5" s="14">
        <f t="shared" si="1"/>
        <v>0</v>
      </c>
      <c r="J5" s="15">
        <f>B5/26</f>
        <v>0</v>
      </c>
      <c r="K5" s="16"/>
    </row>
    <row r="6" spans="1:11" x14ac:dyDescent="0.25">
      <c r="A6" s="11" t="s">
        <v>15</v>
      </c>
      <c r="B6" s="7">
        <v>0</v>
      </c>
      <c r="C6" s="14"/>
      <c r="D6" s="14"/>
      <c r="E6" s="14"/>
      <c r="F6" s="14"/>
      <c r="G6" s="14"/>
      <c r="H6" s="14"/>
      <c r="I6" s="14">
        <f t="shared" si="1"/>
        <v>0</v>
      </c>
      <c r="J6" s="15">
        <f>B6/26</f>
        <v>0</v>
      </c>
      <c r="K6" s="16"/>
    </row>
    <row r="7" spans="1:11" x14ac:dyDescent="0.25">
      <c r="A7" s="17" t="s">
        <v>16</v>
      </c>
      <c r="B7" s="7">
        <v>0</v>
      </c>
      <c r="C7" s="14"/>
      <c r="D7" s="14"/>
      <c r="E7" s="14"/>
      <c r="F7" s="14"/>
      <c r="G7" s="14"/>
      <c r="H7" s="14"/>
      <c r="I7" s="14">
        <f t="shared" si="1"/>
        <v>0</v>
      </c>
      <c r="J7" s="15">
        <f>B7/26</f>
        <v>0</v>
      </c>
      <c r="K7" s="16"/>
    </row>
    <row r="8" spans="1:11" x14ac:dyDescent="0.25">
      <c r="A8" s="17" t="s">
        <v>17</v>
      </c>
      <c r="B8" s="7">
        <v>0</v>
      </c>
      <c r="C8" s="14"/>
      <c r="D8" s="14"/>
      <c r="E8" s="14"/>
      <c r="F8" s="14"/>
      <c r="G8" s="14"/>
      <c r="H8" s="14"/>
      <c r="I8" s="14">
        <f>SUM(B8:H8)</f>
        <v>0</v>
      </c>
      <c r="J8" s="15">
        <f>B8/27</f>
        <v>0</v>
      </c>
      <c r="K8" s="16"/>
    </row>
    <row r="9" spans="1:11" x14ac:dyDescent="0.25">
      <c r="A9" s="17" t="s">
        <v>18</v>
      </c>
      <c r="B9" s="7">
        <v>0</v>
      </c>
      <c r="C9" s="14"/>
      <c r="D9" s="14"/>
      <c r="E9" s="14"/>
      <c r="F9" s="14"/>
      <c r="G9" s="14"/>
      <c r="H9" s="14"/>
      <c r="I9" s="14">
        <f t="shared" si="1"/>
        <v>0</v>
      </c>
      <c r="J9" s="15">
        <f>B9/27</f>
        <v>0</v>
      </c>
      <c r="K9" s="16"/>
    </row>
    <row r="10" spans="1:11" x14ac:dyDescent="0.25">
      <c r="A10" s="17" t="s">
        <v>19</v>
      </c>
      <c r="B10" s="7">
        <f>30</f>
        <v>30</v>
      </c>
      <c r="C10" s="7"/>
      <c r="D10" s="7"/>
      <c r="E10" s="7"/>
      <c r="F10" s="7"/>
      <c r="G10" s="7"/>
      <c r="H10" s="7"/>
      <c r="I10" s="14">
        <f t="shared" si="1"/>
        <v>30</v>
      </c>
      <c r="J10" s="15">
        <v>1</v>
      </c>
      <c r="K10" s="16"/>
    </row>
    <row r="11" spans="1:11" x14ac:dyDescent="0.25">
      <c r="A11" s="17" t="s">
        <v>20</v>
      </c>
      <c r="B11" s="7">
        <f>25</f>
        <v>25</v>
      </c>
      <c r="C11" s="7"/>
      <c r="D11" s="7"/>
      <c r="E11" s="7"/>
      <c r="F11" s="7"/>
      <c r="G11" s="7"/>
      <c r="H11" s="7"/>
      <c r="I11" s="14">
        <f t="shared" si="1"/>
        <v>25</v>
      </c>
      <c r="J11" s="15">
        <v>1</v>
      </c>
      <c r="K11" s="16"/>
    </row>
    <row r="12" spans="1:11" x14ac:dyDescent="0.25">
      <c r="A12" s="17" t="s">
        <v>21</v>
      </c>
      <c r="B12" s="7">
        <f>25</f>
        <v>25</v>
      </c>
      <c r="C12" s="7"/>
      <c r="D12" s="7"/>
      <c r="E12" s="7"/>
      <c r="F12" s="7"/>
      <c r="G12" s="7"/>
      <c r="H12" s="7"/>
      <c r="I12" s="14">
        <f t="shared" si="1"/>
        <v>25</v>
      </c>
      <c r="J12" s="15">
        <v>1</v>
      </c>
      <c r="K12" s="16"/>
    </row>
    <row r="13" spans="1:11" x14ac:dyDescent="0.25">
      <c r="A13" s="17" t="s">
        <v>22</v>
      </c>
      <c r="B13" s="7">
        <v>25</v>
      </c>
      <c r="C13" s="7"/>
      <c r="D13" s="7"/>
      <c r="E13" s="7"/>
      <c r="F13" s="7"/>
      <c r="G13" s="7"/>
      <c r="H13" s="7"/>
      <c r="I13" s="14">
        <f t="shared" si="1"/>
        <v>25</v>
      </c>
      <c r="J13" s="15">
        <v>1</v>
      </c>
    </row>
    <row r="14" spans="1:11" x14ac:dyDescent="0.25">
      <c r="A14" s="17" t="s">
        <v>23</v>
      </c>
      <c r="B14" s="7">
        <v>15</v>
      </c>
      <c r="C14" s="7"/>
      <c r="D14" s="7"/>
      <c r="E14" s="7"/>
      <c r="F14" s="7"/>
      <c r="G14" s="7"/>
      <c r="H14" s="7"/>
      <c r="I14" s="14">
        <f t="shared" si="1"/>
        <v>15</v>
      </c>
      <c r="J14" s="15">
        <v>1</v>
      </c>
    </row>
    <row r="15" spans="1:11" x14ac:dyDescent="0.25">
      <c r="A15" s="17" t="s">
        <v>24</v>
      </c>
      <c r="B15" s="7">
        <v>15</v>
      </c>
      <c r="C15" s="7"/>
      <c r="D15" s="7"/>
      <c r="E15" s="7"/>
      <c r="F15" s="7"/>
      <c r="G15" s="7"/>
      <c r="H15" s="7"/>
      <c r="I15" s="14">
        <f t="shared" si="1"/>
        <v>15</v>
      </c>
      <c r="J15" s="15">
        <v>1</v>
      </c>
    </row>
    <row r="16" spans="1:11" x14ac:dyDescent="0.25">
      <c r="A16" s="17" t="s">
        <v>25</v>
      </c>
      <c r="B16" s="7">
        <v>0</v>
      </c>
      <c r="C16" s="7"/>
      <c r="D16" s="7"/>
      <c r="E16" s="7"/>
      <c r="F16" s="7"/>
      <c r="G16" s="7"/>
      <c r="H16" s="7"/>
      <c r="I16" s="14">
        <f t="shared" si="1"/>
        <v>0</v>
      </c>
      <c r="J16" s="15">
        <f t="shared" ref="J16" si="2">I16/30</f>
        <v>0</v>
      </c>
    </row>
    <row r="17" spans="1:11" x14ac:dyDescent="0.25">
      <c r="A17" s="20" t="s">
        <v>12</v>
      </c>
      <c r="B17" s="12">
        <f t="shared" ref="B17:H17" si="3">SUM(B4:B16)</f>
        <v>135</v>
      </c>
      <c r="C17" s="12">
        <f t="shared" si="3"/>
        <v>0</v>
      </c>
      <c r="D17" s="12">
        <f t="shared" si="3"/>
        <v>0</v>
      </c>
      <c r="E17" s="12"/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>SUM(I4:I16)</f>
        <v>135</v>
      </c>
      <c r="J17" s="15">
        <f>SUM(J4:J16)</f>
        <v>6</v>
      </c>
      <c r="K17" s="21"/>
    </row>
    <row r="18" spans="1:11" x14ac:dyDescent="0.25">
      <c r="A18" s="17"/>
      <c r="B18" s="7"/>
      <c r="C18" s="22"/>
      <c r="D18" s="22"/>
      <c r="E18" s="22"/>
      <c r="F18" s="22"/>
      <c r="G18" s="22"/>
      <c r="H18" s="22"/>
      <c r="I18" s="22"/>
      <c r="J18" s="10"/>
      <c r="K18" s="10"/>
    </row>
    <row r="19" spans="1:11" x14ac:dyDescent="0.25">
      <c r="A19" s="23" t="s">
        <v>26</v>
      </c>
      <c r="B19" s="24" t="str">
        <f>B1</f>
        <v>Operating</v>
      </c>
      <c r="C19" s="24" t="str">
        <f>C1</f>
        <v>SPED</v>
      </c>
      <c r="D19" s="24" t="str">
        <f>D1</f>
        <v>NSLP</v>
      </c>
      <c r="E19" s="24" t="str">
        <f>E1</f>
        <v>Other</v>
      </c>
      <c r="F19" s="24" t="str">
        <f t="shared" ref="F19:G19" si="4">F1</f>
        <v>Title I</v>
      </c>
      <c r="G19" s="24" t="str">
        <f t="shared" si="4"/>
        <v>Title II</v>
      </c>
      <c r="H19" s="24" t="str">
        <f>H1</f>
        <v>Title III</v>
      </c>
      <c r="I19" s="24" t="str">
        <f>I1</f>
        <v>Total (23-24)</v>
      </c>
      <c r="J19" s="25"/>
      <c r="K19" s="25"/>
    </row>
    <row r="20" spans="1:11" x14ac:dyDescent="0.25">
      <c r="A20" s="17" t="s">
        <v>27</v>
      </c>
      <c r="B20" s="7"/>
      <c r="C20" s="7">
        <v>17</v>
      </c>
      <c r="D20" s="7"/>
      <c r="E20" s="7"/>
      <c r="F20" s="7"/>
      <c r="G20" s="7"/>
      <c r="H20" s="7"/>
      <c r="I20" s="7">
        <f>SUM(B20:H20)</f>
        <v>17</v>
      </c>
      <c r="J20" s="26" t="s">
        <v>28</v>
      </c>
      <c r="K20" s="27"/>
    </row>
    <row r="21" spans="1:11" x14ac:dyDescent="0.25">
      <c r="A21" s="17" t="s">
        <v>29</v>
      </c>
      <c r="B21" s="7">
        <v>23</v>
      </c>
      <c r="C21" s="7"/>
      <c r="D21" s="7"/>
      <c r="E21" s="7"/>
      <c r="F21" s="7"/>
      <c r="G21" s="7"/>
      <c r="H21" s="7"/>
      <c r="I21" s="7">
        <f>SUM(B21:H21)</f>
        <v>23</v>
      </c>
      <c r="J21" s="26"/>
      <c r="K21" s="27"/>
    </row>
    <row r="22" spans="1:11" x14ac:dyDescent="0.25">
      <c r="A22" s="17" t="s">
        <v>30</v>
      </c>
      <c r="B22" s="14">
        <v>0</v>
      </c>
      <c r="C22" s="14"/>
      <c r="D22" s="14"/>
      <c r="E22" s="14"/>
      <c r="F22" s="14"/>
      <c r="G22" s="14"/>
      <c r="H22" s="14"/>
      <c r="I22" s="7">
        <f>SUM(B22:H22)</f>
        <v>0</v>
      </c>
      <c r="J22" s="19"/>
    </row>
    <row r="23" spans="1:11" x14ac:dyDescent="0.25">
      <c r="A23" s="17" t="s">
        <v>31</v>
      </c>
      <c r="B23" s="14">
        <v>101</v>
      </c>
      <c r="C23" s="29"/>
      <c r="D23" s="29">
        <v>1</v>
      </c>
      <c r="E23" s="29"/>
      <c r="F23" s="29"/>
      <c r="G23" s="29"/>
      <c r="H23" s="29"/>
      <c r="I23" s="29">
        <f>SUM(D23:H23)</f>
        <v>1</v>
      </c>
      <c r="J23" s="30"/>
      <c r="K23" s="31"/>
    </row>
    <row r="24" spans="1:11" x14ac:dyDescent="0.25">
      <c r="A24" s="17" t="s">
        <v>351</v>
      </c>
      <c r="B24" s="7">
        <v>2</v>
      </c>
      <c r="C24" s="7"/>
      <c r="D24" s="7"/>
      <c r="E24" s="7"/>
      <c r="F24" s="7"/>
      <c r="G24" s="7"/>
      <c r="H24" s="7"/>
      <c r="I24" s="7">
        <f>SUM(B24:H24)</f>
        <v>2</v>
      </c>
      <c r="J24" s="30"/>
      <c r="K24" s="31"/>
    </row>
    <row r="25" spans="1:11" x14ac:dyDescent="0.25">
      <c r="A25" s="17"/>
      <c r="B25" s="7"/>
      <c r="C25" s="7"/>
      <c r="D25" s="7"/>
      <c r="E25" s="7"/>
      <c r="F25" s="7"/>
      <c r="G25" s="7"/>
      <c r="H25" s="7"/>
      <c r="I25" s="7"/>
      <c r="J25" s="25"/>
      <c r="K25" s="10"/>
    </row>
    <row r="26" spans="1:11" x14ac:dyDescent="0.25">
      <c r="A26" s="33" t="s">
        <v>32</v>
      </c>
      <c r="B26" s="24" t="str">
        <f>B1</f>
        <v>Operating</v>
      </c>
      <c r="C26" s="24" t="str">
        <f>C1</f>
        <v>SPED</v>
      </c>
      <c r="D26" s="24" t="str">
        <f>D1</f>
        <v>NSLP</v>
      </c>
      <c r="E26" s="24" t="str">
        <f>E1</f>
        <v>Other</v>
      </c>
      <c r="F26" s="24" t="str">
        <f t="shared" ref="F26:G26" si="5">F1</f>
        <v>Title I</v>
      </c>
      <c r="G26" s="24" t="str">
        <f t="shared" si="5"/>
        <v>Title II</v>
      </c>
      <c r="H26" s="24" t="str">
        <f>H1</f>
        <v>Title III</v>
      </c>
      <c r="I26" s="24" t="str">
        <f>I1</f>
        <v>Total (23-24)</v>
      </c>
      <c r="J26" s="25"/>
      <c r="K26" s="25"/>
    </row>
    <row r="27" spans="1:11" x14ac:dyDescent="0.25">
      <c r="A27" s="34" t="s">
        <v>33</v>
      </c>
      <c r="B27" s="35">
        <v>6</v>
      </c>
      <c r="C27" s="35"/>
      <c r="D27" s="35"/>
      <c r="E27" s="35"/>
      <c r="F27" s="35"/>
      <c r="G27" s="35"/>
      <c r="H27" s="35"/>
      <c r="I27" s="35">
        <f>SUM(B27:H27)</f>
        <v>6</v>
      </c>
      <c r="J27" s="15">
        <f>I27/6</f>
        <v>1</v>
      </c>
      <c r="K27" s="16"/>
    </row>
    <row r="28" spans="1:11" x14ac:dyDescent="0.25">
      <c r="A28" s="34" t="s">
        <v>34</v>
      </c>
      <c r="B28" s="37">
        <v>0</v>
      </c>
      <c r="C28" s="37">
        <v>1</v>
      </c>
      <c r="D28" s="37"/>
      <c r="E28" s="37"/>
      <c r="F28" s="37"/>
      <c r="G28" s="37"/>
      <c r="H28" s="37"/>
      <c r="I28" s="35">
        <f>SUM(B28:H28)</f>
        <v>1</v>
      </c>
      <c r="J28" s="15">
        <f>I20/21</f>
        <v>0.80952380952380953</v>
      </c>
      <c r="K28" s="16"/>
    </row>
    <row r="29" spans="1:11" x14ac:dyDescent="0.25">
      <c r="A29" s="34" t="s">
        <v>35</v>
      </c>
      <c r="B29" s="35">
        <v>0</v>
      </c>
      <c r="C29" s="35"/>
      <c r="D29" s="35"/>
      <c r="E29" s="35"/>
      <c r="F29" s="35"/>
      <c r="G29" s="35"/>
      <c r="H29" s="35"/>
      <c r="I29" s="35">
        <f t="shared" ref="I29:I35" si="6">SUM(B29:H29)</f>
        <v>0</v>
      </c>
      <c r="J29" s="19"/>
    </row>
    <row r="30" spans="1:11" x14ac:dyDescent="0.25">
      <c r="A30" s="34" t="s">
        <v>36</v>
      </c>
      <c r="B30" s="35">
        <v>0</v>
      </c>
      <c r="C30" s="35"/>
      <c r="D30" s="35"/>
      <c r="E30" s="35"/>
      <c r="F30" s="35"/>
      <c r="G30" s="35"/>
      <c r="H30" s="35"/>
      <c r="I30" s="35">
        <f t="shared" si="6"/>
        <v>0</v>
      </c>
      <c r="J30" s="19"/>
    </row>
    <row r="31" spans="1:11" x14ac:dyDescent="0.25">
      <c r="A31" s="34" t="s">
        <v>37</v>
      </c>
      <c r="B31" s="35">
        <v>0</v>
      </c>
      <c r="C31" s="35"/>
      <c r="D31" s="35"/>
      <c r="E31" s="35"/>
      <c r="F31" s="35"/>
      <c r="G31" s="35"/>
      <c r="H31" s="35"/>
      <c r="I31" s="35">
        <f t="shared" si="6"/>
        <v>0</v>
      </c>
      <c r="J31" s="19"/>
    </row>
    <row r="32" spans="1:11" x14ac:dyDescent="0.25">
      <c r="A32" s="39" t="s">
        <v>38</v>
      </c>
      <c r="B32" s="35">
        <v>0</v>
      </c>
      <c r="C32" s="35"/>
      <c r="D32" s="35"/>
      <c r="E32" s="35"/>
      <c r="F32" s="35"/>
      <c r="G32" s="35"/>
      <c r="H32" s="35"/>
      <c r="I32" s="35">
        <f t="shared" si="6"/>
        <v>0</v>
      </c>
      <c r="J32" s="19"/>
    </row>
    <row r="33" spans="1:11" x14ac:dyDescent="0.25">
      <c r="A33" s="39" t="s">
        <v>39</v>
      </c>
      <c r="B33" s="35">
        <v>0</v>
      </c>
      <c r="C33" s="35"/>
      <c r="D33" s="35"/>
      <c r="E33" s="35"/>
      <c r="F33" s="35"/>
      <c r="G33" s="35"/>
      <c r="H33" s="35"/>
      <c r="I33" s="35">
        <f t="shared" si="6"/>
        <v>0</v>
      </c>
      <c r="J33" s="19"/>
    </row>
    <row r="34" spans="1:11" x14ac:dyDescent="0.25">
      <c r="A34" s="39" t="s">
        <v>40</v>
      </c>
      <c r="B34" s="35">
        <v>1</v>
      </c>
      <c r="C34" s="35"/>
      <c r="D34" s="35"/>
      <c r="E34" s="35"/>
      <c r="F34" s="35"/>
      <c r="G34" s="35"/>
      <c r="H34" s="35"/>
      <c r="I34" s="35">
        <f t="shared" si="6"/>
        <v>1</v>
      </c>
      <c r="J34" s="19"/>
    </row>
    <row r="35" spans="1:11" x14ac:dyDescent="0.25">
      <c r="A35" s="40" t="s">
        <v>41</v>
      </c>
      <c r="B35" s="35">
        <v>0</v>
      </c>
      <c r="C35" s="35"/>
      <c r="D35" s="35"/>
      <c r="E35" s="35"/>
      <c r="F35" s="35"/>
      <c r="G35" s="35"/>
      <c r="H35" s="35"/>
      <c r="I35" s="35">
        <f t="shared" si="6"/>
        <v>0</v>
      </c>
      <c r="J35" s="19"/>
    </row>
    <row r="36" spans="1:11" x14ac:dyDescent="0.25">
      <c r="A36" s="33" t="s">
        <v>42</v>
      </c>
      <c r="B36" s="41">
        <f>SUM(B27:B35)</f>
        <v>7</v>
      </c>
      <c r="C36" s="41">
        <f t="shared" ref="C36:H36" si="7">SUM(C27:C35)</f>
        <v>1</v>
      </c>
      <c r="D36" s="41">
        <f t="shared" si="7"/>
        <v>0</v>
      </c>
      <c r="E36" s="41">
        <f t="shared" si="7"/>
        <v>0</v>
      </c>
      <c r="F36" s="41">
        <f t="shared" si="7"/>
        <v>0</v>
      </c>
      <c r="G36" s="41">
        <f t="shared" si="7"/>
        <v>0</v>
      </c>
      <c r="H36" s="41">
        <f t="shared" si="7"/>
        <v>0</v>
      </c>
      <c r="I36" s="41">
        <f>SUM(I27:I35)</f>
        <v>8</v>
      </c>
      <c r="J36" s="10"/>
      <c r="K36" s="10"/>
    </row>
    <row r="37" spans="1:11" x14ac:dyDescent="0.25">
      <c r="A37" s="42"/>
      <c r="B37" s="7"/>
      <c r="C37" s="7"/>
      <c r="D37" s="7"/>
      <c r="E37" s="7"/>
      <c r="F37" s="7"/>
      <c r="G37" s="7"/>
      <c r="H37" s="7"/>
      <c r="I37" s="7"/>
      <c r="J37" s="10"/>
      <c r="K37" s="10"/>
    </row>
    <row r="38" spans="1:11" x14ac:dyDescent="0.25">
      <c r="A38" s="33" t="s">
        <v>43</v>
      </c>
      <c r="B38" s="24" t="str">
        <f>B1</f>
        <v>Operating</v>
      </c>
      <c r="C38" s="24" t="str">
        <f>C1</f>
        <v>SPED</v>
      </c>
      <c r="D38" s="24" t="str">
        <f>D1</f>
        <v>NSLP</v>
      </c>
      <c r="E38" s="24" t="str">
        <f>E1</f>
        <v>Other</v>
      </c>
      <c r="F38" s="24" t="str">
        <f t="shared" ref="F38:G38" si="8">F1</f>
        <v>Title I</v>
      </c>
      <c r="G38" s="24" t="str">
        <f t="shared" si="8"/>
        <v>Title II</v>
      </c>
      <c r="H38" s="24" t="str">
        <f>H1</f>
        <v>Title III</v>
      </c>
      <c r="I38" s="24" t="str">
        <f>I1</f>
        <v>Total (23-24)</v>
      </c>
      <c r="J38" s="25"/>
      <c r="K38" s="25"/>
    </row>
    <row r="39" spans="1:11" x14ac:dyDescent="0.25">
      <c r="A39" s="34" t="s">
        <v>349</v>
      </c>
      <c r="B39" s="37">
        <v>0</v>
      </c>
      <c r="C39" s="37"/>
      <c r="D39" s="37"/>
      <c r="E39" s="37"/>
      <c r="F39" s="37"/>
      <c r="G39" s="37"/>
      <c r="H39" s="37"/>
      <c r="I39" s="35">
        <f t="shared" ref="I39:I45" si="9">SUM(B39:H39)</f>
        <v>0</v>
      </c>
      <c r="J39" s="19"/>
    </row>
    <row r="40" spans="1:11" x14ac:dyDescent="0.25">
      <c r="A40" s="34" t="s">
        <v>348</v>
      </c>
      <c r="B40" s="37">
        <v>1</v>
      </c>
      <c r="C40" s="37"/>
      <c r="D40" s="37"/>
      <c r="E40" s="37"/>
      <c r="F40" s="37"/>
      <c r="G40" s="37"/>
      <c r="H40" s="37"/>
      <c r="I40" s="35">
        <f t="shared" si="9"/>
        <v>1</v>
      </c>
      <c r="J40" s="19"/>
    </row>
    <row r="41" spans="1:11" x14ac:dyDescent="0.25">
      <c r="A41" s="34" t="s">
        <v>44</v>
      </c>
      <c r="B41" s="37">
        <v>0</v>
      </c>
      <c r="C41" s="37"/>
      <c r="D41" s="37"/>
      <c r="E41" s="37"/>
      <c r="F41" s="37"/>
      <c r="G41" s="37"/>
      <c r="H41" s="37"/>
      <c r="I41" s="35">
        <f t="shared" si="9"/>
        <v>0</v>
      </c>
      <c r="J41" s="19"/>
    </row>
    <row r="42" spans="1:11" x14ac:dyDescent="0.25">
      <c r="A42" s="40" t="s">
        <v>45</v>
      </c>
      <c r="B42" s="37">
        <v>0</v>
      </c>
      <c r="C42" s="37"/>
      <c r="D42" s="37"/>
      <c r="E42" s="37">
        <v>0</v>
      </c>
      <c r="F42" s="37"/>
      <c r="G42" s="37"/>
      <c r="H42" s="37"/>
      <c r="I42" s="35">
        <f t="shared" si="9"/>
        <v>0</v>
      </c>
      <c r="J42" s="19"/>
    </row>
    <row r="43" spans="1:11" x14ac:dyDescent="0.25">
      <c r="A43" s="43" t="s">
        <v>46</v>
      </c>
      <c r="B43" s="37">
        <v>0</v>
      </c>
      <c r="C43" s="37"/>
      <c r="D43" s="37"/>
      <c r="E43" s="37"/>
      <c r="F43" s="37"/>
      <c r="G43" s="37"/>
      <c r="H43" s="37"/>
      <c r="I43" s="35">
        <f t="shared" si="9"/>
        <v>0</v>
      </c>
      <c r="J43" s="19"/>
    </row>
    <row r="44" spans="1:11" x14ac:dyDescent="0.25">
      <c r="A44" s="43" t="s">
        <v>47</v>
      </c>
      <c r="B44" s="37">
        <v>0</v>
      </c>
      <c r="C44" s="37"/>
      <c r="D44" s="37"/>
      <c r="E44" s="37"/>
      <c r="F44" s="37"/>
      <c r="G44" s="37"/>
      <c r="H44" s="37"/>
      <c r="I44" s="35">
        <f t="shared" si="9"/>
        <v>0</v>
      </c>
      <c r="J44" s="19"/>
    </row>
    <row r="45" spans="1:11" x14ac:dyDescent="0.25">
      <c r="A45" s="43" t="s">
        <v>354</v>
      </c>
      <c r="B45" s="37">
        <v>1</v>
      </c>
      <c r="C45" s="37"/>
      <c r="D45" s="37"/>
      <c r="E45" s="37">
        <v>0</v>
      </c>
      <c r="F45" s="37"/>
      <c r="G45" s="37"/>
      <c r="H45" s="37"/>
      <c r="I45" s="35">
        <f t="shared" si="9"/>
        <v>1</v>
      </c>
      <c r="J45" s="19"/>
    </row>
    <row r="46" spans="1:11" x14ac:dyDescent="0.25">
      <c r="A46" s="43" t="s">
        <v>48</v>
      </c>
      <c r="B46" s="37">
        <v>0</v>
      </c>
      <c r="C46" s="37"/>
      <c r="D46" s="37"/>
      <c r="E46" s="37"/>
      <c r="F46" s="37"/>
      <c r="G46" s="37"/>
      <c r="H46" s="37"/>
      <c r="I46" s="35"/>
      <c r="J46" s="19"/>
    </row>
    <row r="47" spans="1:11" x14ac:dyDescent="0.25">
      <c r="A47" s="34" t="s">
        <v>49</v>
      </c>
      <c r="B47" s="37">
        <v>1</v>
      </c>
      <c r="C47" s="37"/>
      <c r="D47" s="37"/>
      <c r="E47" s="37"/>
      <c r="F47" s="37"/>
      <c r="G47" s="37"/>
      <c r="H47" s="37"/>
      <c r="I47" s="35">
        <f t="shared" ref="I47:I61" si="10">SUM(B47:H47)</f>
        <v>1</v>
      </c>
      <c r="J47" s="19"/>
    </row>
    <row r="48" spans="1:11" x14ac:dyDescent="0.25">
      <c r="A48" s="34" t="s">
        <v>50</v>
      </c>
      <c r="B48" s="37">
        <v>1</v>
      </c>
      <c r="C48" s="37"/>
      <c r="D48" s="37"/>
      <c r="E48" s="37"/>
      <c r="F48" s="37"/>
      <c r="G48" s="37"/>
      <c r="H48" s="37"/>
      <c r="I48" s="35">
        <f t="shared" si="10"/>
        <v>1</v>
      </c>
      <c r="J48" s="19"/>
    </row>
    <row r="49" spans="1:11" x14ac:dyDescent="0.25">
      <c r="A49" s="34" t="s">
        <v>51</v>
      </c>
      <c r="B49" s="37">
        <v>0</v>
      </c>
      <c r="C49" s="37"/>
      <c r="D49" s="37"/>
      <c r="E49" s="37"/>
      <c r="F49" s="37"/>
      <c r="G49" s="37"/>
      <c r="H49" s="37"/>
      <c r="I49" s="35">
        <f t="shared" si="10"/>
        <v>0</v>
      </c>
      <c r="J49" s="19"/>
    </row>
    <row r="50" spans="1:11" x14ac:dyDescent="0.25">
      <c r="A50" s="34" t="s">
        <v>52</v>
      </c>
      <c r="B50" s="37">
        <v>0</v>
      </c>
      <c r="C50" s="37"/>
      <c r="D50" s="37"/>
      <c r="E50" s="37"/>
      <c r="F50" s="37"/>
      <c r="G50" s="37"/>
      <c r="H50" s="37"/>
      <c r="I50" s="35">
        <f t="shared" si="10"/>
        <v>0</v>
      </c>
      <c r="J50" s="19"/>
    </row>
    <row r="51" spans="1:11" x14ac:dyDescent="0.25">
      <c r="A51" s="34" t="s">
        <v>53</v>
      </c>
      <c r="B51" s="37">
        <v>0</v>
      </c>
      <c r="C51" s="37"/>
      <c r="D51" s="37"/>
      <c r="E51" s="37"/>
      <c r="F51" s="37">
        <v>1</v>
      </c>
      <c r="G51" s="37"/>
      <c r="H51" s="37"/>
      <c r="I51" s="35">
        <f t="shared" si="10"/>
        <v>1</v>
      </c>
      <c r="J51" s="19"/>
    </row>
    <row r="52" spans="1:11" x14ac:dyDescent="0.25">
      <c r="A52" s="34" t="s">
        <v>54</v>
      </c>
      <c r="B52" s="37">
        <v>0</v>
      </c>
      <c r="C52" s="37"/>
      <c r="D52" s="37"/>
      <c r="E52" s="37"/>
      <c r="F52" s="37"/>
      <c r="G52" s="37"/>
      <c r="H52" s="37"/>
      <c r="I52" s="35">
        <f t="shared" si="10"/>
        <v>0</v>
      </c>
      <c r="J52" s="19"/>
    </row>
    <row r="53" spans="1:11" x14ac:dyDescent="0.25">
      <c r="A53" s="34" t="s">
        <v>55</v>
      </c>
      <c r="B53" s="37"/>
      <c r="C53" s="37"/>
      <c r="D53" s="37">
        <v>1</v>
      </c>
      <c r="E53" s="37"/>
      <c r="F53" s="37"/>
      <c r="G53" s="37"/>
      <c r="H53" s="37"/>
      <c r="I53" s="35">
        <f t="shared" si="10"/>
        <v>1</v>
      </c>
      <c r="J53" s="19"/>
    </row>
    <row r="54" spans="1:11" x14ac:dyDescent="0.25">
      <c r="A54" s="34" t="s">
        <v>56</v>
      </c>
      <c r="B54" s="37"/>
      <c r="C54" s="37"/>
      <c r="D54" s="37"/>
      <c r="E54" s="37"/>
      <c r="F54" s="37"/>
      <c r="G54" s="37"/>
      <c r="H54" s="37"/>
      <c r="I54" s="35">
        <f t="shared" si="10"/>
        <v>0</v>
      </c>
      <c r="J54" s="8"/>
      <c r="K54" s="9"/>
    </row>
    <row r="55" spans="1:11" x14ac:dyDescent="0.25">
      <c r="A55" s="40" t="s">
        <v>57</v>
      </c>
      <c r="B55" s="37"/>
      <c r="C55" s="37"/>
      <c r="D55" s="37"/>
      <c r="E55" s="37"/>
      <c r="F55" s="37"/>
      <c r="G55" s="37"/>
      <c r="H55" s="37"/>
      <c r="I55" s="35">
        <f t="shared" si="10"/>
        <v>0</v>
      </c>
      <c r="J55" s="8"/>
      <c r="K55" s="9"/>
    </row>
    <row r="56" spans="1:11" x14ac:dyDescent="0.25">
      <c r="A56" s="40" t="s">
        <v>58</v>
      </c>
      <c r="B56" s="37"/>
      <c r="C56" s="37"/>
      <c r="D56" s="37"/>
      <c r="E56" s="37"/>
      <c r="F56" s="37"/>
      <c r="G56" s="37"/>
      <c r="H56" s="37"/>
      <c r="I56" s="35">
        <f t="shared" si="10"/>
        <v>0</v>
      </c>
      <c r="J56" s="8"/>
      <c r="K56" s="9"/>
    </row>
    <row r="57" spans="1:11" x14ac:dyDescent="0.25">
      <c r="A57" s="40" t="s">
        <v>59</v>
      </c>
      <c r="B57" s="37"/>
      <c r="C57" s="37"/>
      <c r="D57" s="37"/>
      <c r="E57" s="37"/>
      <c r="F57" s="37"/>
      <c r="G57" s="37"/>
      <c r="H57" s="37"/>
      <c r="I57" s="35">
        <f t="shared" si="10"/>
        <v>0</v>
      </c>
      <c r="J57" s="8"/>
      <c r="K57" s="9"/>
    </row>
    <row r="58" spans="1:11" x14ac:dyDescent="0.25">
      <c r="A58" s="40" t="s">
        <v>60</v>
      </c>
      <c r="B58" s="37"/>
      <c r="C58" s="37"/>
      <c r="D58" s="37"/>
      <c r="E58" s="37"/>
      <c r="F58" s="37"/>
      <c r="G58" s="37"/>
      <c r="H58" s="37"/>
      <c r="I58" s="35">
        <f t="shared" si="10"/>
        <v>0</v>
      </c>
      <c r="J58" s="8"/>
      <c r="K58" s="9"/>
    </row>
    <row r="59" spans="1:11" x14ac:dyDescent="0.25">
      <c r="A59" s="40" t="s">
        <v>61</v>
      </c>
      <c r="B59" s="37"/>
      <c r="C59" s="37"/>
      <c r="D59" s="37"/>
      <c r="E59" s="37"/>
      <c r="F59" s="37"/>
      <c r="G59" s="37"/>
      <c r="H59" s="37"/>
      <c r="I59" s="35">
        <f t="shared" si="10"/>
        <v>0</v>
      </c>
      <c r="J59" s="8"/>
      <c r="K59" s="9"/>
    </row>
    <row r="60" spans="1:11" x14ac:dyDescent="0.25">
      <c r="A60" s="40" t="s">
        <v>341</v>
      </c>
      <c r="B60" s="37"/>
      <c r="C60" s="37"/>
      <c r="D60" s="37"/>
      <c r="E60" s="37">
        <v>0</v>
      </c>
      <c r="F60" s="37"/>
      <c r="G60" s="37"/>
      <c r="H60" s="37"/>
      <c r="I60" s="35">
        <f t="shared" si="10"/>
        <v>0</v>
      </c>
      <c r="J60" s="8"/>
      <c r="K60" s="9"/>
    </row>
    <row r="61" spans="1:11" x14ac:dyDescent="0.25">
      <c r="A61" s="34" t="s">
        <v>63</v>
      </c>
      <c r="B61" s="35"/>
      <c r="C61" s="35"/>
      <c r="D61" s="35"/>
      <c r="E61" s="35"/>
      <c r="F61" s="35"/>
      <c r="G61" s="35"/>
      <c r="H61" s="35"/>
      <c r="I61" s="35">
        <f t="shared" si="10"/>
        <v>0</v>
      </c>
      <c r="J61" s="8"/>
      <c r="K61" s="9"/>
    </row>
    <row r="62" spans="1:11" x14ac:dyDescent="0.25">
      <c r="A62" s="33" t="s">
        <v>64</v>
      </c>
      <c r="B62" s="45">
        <f>SUM(B39:B61)</f>
        <v>4</v>
      </c>
      <c r="C62" s="45">
        <f>SUM(C39:C61)</f>
        <v>0</v>
      </c>
      <c r="D62" s="45">
        <f>SUM(D39:D61)</f>
        <v>1</v>
      </c>
      <c r="E62" s="45">
        <f>SUM(E39:E61)</f>
        <v>0</v>
      </c>
      <c r="F62" s="45">
        <f t="shared" ref="F62:H62" si="11">SUM(F39:F61)</f>
        <v>1</v>
      </c>
      <c r="G62" s="45">
        <f t="shared" si="11"/>
        <v>0</v>
      </c>
      <c r="H62" s="45">
        <f t="shared" si="11"/>
        <v>0</v>
      </c>
      <c r="I62" s="45">
        <f>SUM(I39:I61)</f>
        <v>6</v>
      </c>
      <c r="J62" s="10"/>
      <c r="K62" s="10"/>
    </row>
    <row r="63" spans="1:11" ht="15.75" thickBot="1" x14ac:dyDescent="0.3">
      <c r="A63" s="46"/>
      <c r="B63" s="47"/>
      <c r="C63" s="47"/>
      <c r="D63" s="47"/>
      <c r="E63" s="47"/>
      <c r="F63" s="47"/>
      <c r="G63" s="47"/>
      <c r="H63" s="47"/>
      <c r="I63" s="47"/>
      <c r="J63" s="10"/>
      <c r="K63" s="10"/>
    </row>
    <row r="64" spans="1:11" x14ac:dyDescent="0.25">
      <c r="A64" s="48" t="s">
        <v>65</v>
      </c>
      <c r="B64" s="49">
        <f>B36</f>
        <v>7</v>
      </c>
      <c r="C64" s="49">
        <f>C36</f>
        <v>1</v>
      </c>
      <c r="D64" s="49">
        <f>D36</f>
        <v>0</v>
      </c>
      <c r="E64" s="49">
        <f>E36</f>
        <v>0</v>
      </c>
      <c r="F64" s="49">
        <f t="shared" ref="F64:H64" si="12">F36</f>
        <v>0</v>
      </c>
      <c r="G64" s="49">
        <f t="shared" si="12"/>
        <v>0</v>
      </c>
      <c r="H64" s="49">
        <f t="shared" si="12"/>
        <v>0</v>
      </c>
      <c r="I64" s="49">
        <f>I36</f>
        <v>8</v>
      </c>
      <c r="J64" s="10"/>
      <c r="K64" s="10"/>
    </row>
    <row r="65" spans="1:11" x14ac:dyDescent="0.25">
      <c r="A65" s="50" t="s">
        <v>66</v>
      </c>
      <c r="B65" s="51">
        <f>B62</f>
        <v>4</v>
      </c>
      <c r="C65" s="51">
        <f t="shared" ref="C65:I65" si="13">C62</f>
        <v>0</v>
      </c>
      <c r="D65" s="51">
        <f t="shared" si="13"/>
        <v>1</v>
      </c>
      <c r="E65" s="51">
        <f t="shared" si="13"/>
        <v>0</v>
      </c>
      <c r="F65" s="51">
        <f t="shared" si="13"/>
        <v>1</v>
      </c>
      <c r="G65" s="51">
        <f t="shared" si="13"/>
        <v>0</v>
      </c>
      <c r="H65" s="51">
        <f t="shared" si="13"/>
        <v>0</v>
      </c>
      <c r="I65" s="51">
        <f t="shared" si="13"/>
        <v>6</v>
      </c>
      <c r="J65" s="10"/>
      <c r="K65" s="10"/>
    </row>
    <row r="66" spans="1:11" ht="15.75" thickBot="1" x14ac:dyDescent="0.3">
      <c r="A66" s="52" t="s">
        <v>67</v>
      </c>
      <c r="B66" s="53">
        <f>SUM(B64:B65)</f>
        <v>11</v>
      </c>
      <c r="C66" s="53">
        <f t="shared" ref="C66:I66" si="14">SUM(C64:C65)</f>
        <v>1</v>
      </c>
      <c r="D66" s="53">
        <f t="shared" si="14"/>
        <v>1</v>
      </c>
      <c r="E66" s="53">
        <f t="shared" si="14"/>
        <v>0</v>
      </c>
      <c r="F66" s="53">
        <f t="shared" si="14"/>
        <v>1</v>
      </c>
      <c r="G66" s="53">
        <f t="shared" si="14"/>
        <v>0</v>
      </c>
      <c r="H66" s="53">
        <f t="shared" si="14"/>
        <v>0</v>
      </c>
      <c r="I66" s="53">
        <f t="shared" si="14"/>
        <v>14</v>
      </c>
      <c r="J66" s="10"/>
      <c r="K66" s="10"/>
    </row>
    <row r="67" spans="1:11" x14ac:dyDescent="0.25">
      <c r="A67" s="40"/>
      <c r="B67" s="54"/>
      <c r="C67" s="54"/>
      <c r="D67" s="54"/>
      <c r="E67" s="54"/>
      <c r="F67" s="54"/>
      <c r="G67" s="54"/>
      <c r="H67" s="54"/>
      <c r="I67" s="54"/>
      <c r="J67" s="10"/>
      <c r="K67" s="10"/>
    </row>
    <row r="68" spans="1:11" x14ac:dyDescent="0.25">
      <c r="A68" s="55" t="s">
        <v>68</v>
      </c>
      <c r="B68" s="56"/>
      <c r="C68" s="56"/>
      <c r="D68" s="56"/>
      <c r="E68" s="56"/>
      <c r="F68" s="56"/>
      <c r="G68" s="56"/>
      <c r="H68" s="56"/>
      <c r="I68" s="57">
        <f>I144/(I213+I215+I216+I217+I218+I219)</f>
        <v>0.58345490926708554</v>
      </c>
      <c r="J68" s="10"/>
      <c r="K68" s="10"/>
    </row>
    <row r="69" spans="1:11" x14ac:dyDescent="0.25">
      <c r="A69" s="55" t="s">
        <v>69</v>
      </c>
      <c r="B69" s="56"/>
      <c r="C69" s="56"/>
      <c r="D69" s="56"/>
      <c r="E69" s="56"/>
      <c r="F69" s="56"/>
      <c r="G69" s="56"/>
      <c r="H69" s="56"/>
      <c r="I69" s="57">
        <f>(I116+I117+I120+I130)/I134</f>
        <v>0.63765830992211059</v>
      </c>
      <c r="J69" s="10"/>
      <c r="K69" s="10"/>
    </row>
    <row r="70" spans="1:11" x14ac:dyDescent="0.25">
      <c r="A70" s="55" t="s">
        <v>70</v>
      </c>
      <c r="B70" s="56"/>
      <c r="C70" s="56"/>
      <c r="D70" s="56"/>
      <c r="E70" s="56"/>
      <c r="F70" s="56"/>
      <c r="G70" s="56"/>
      <c r="H70" s="56"/>
      <c r="I70" s="57">
        <f>(I108+I110+I111+I114+I118+I119+I121+I122++I125+I126+I127+I128+I129+I131+I132)/I134</f>
        <v>0.21118534537503744</v>
      </c>
      <c r="J70" s="10"/>
      <c r="K70" s="10"/>
    </row>
    <row r="71" spans="1:11" x14ac:dyDescent="0.25">
      <c r="A71" s="55" t="s">
        <v>71</v>
      </c>
      <c r="B71" s="56"/>
      <c r="C71" s="56"/>
      <c r="D71" s="56"/>
      <c r="E71" s="56"/>
      <c r="F71" s="56"/>
      <c r="G71" s="56"/>
      <c r="H71" s="56"/>
      <c r="I71" s="57">
        <f>(I215+I216+I217+I218)/(I98)</f>
        <v>3.4510543354445262E-2</v>
      </c>
      <c r="J71" s="10"/>
      <c r="K71" s="10"/>
    </row>
    <row r="72" spans="1:11" ht="15.75" thickBot="1" x14ac:dyDescent="0.3">
      <c r="B72" s="54"/>
      <c r="C72" s="54"/>
      <c r="D72" s="54"/>
      <c r="E72" s="54"/>
      <c r="F72" s="54"/>
      <c r="G72" s="54"/>
      <c r="H72" s="54"/>
      <c r="I72" s="54"/>
      <c r="J72" s="10"/>
      <c r="K72" s="10"/>
    </row>
    <row r="73" spans="1:11" ht="15.75" thickBot="1" x14ac:dyDescent="0.3">
      <c r="A73" s="58" t="s">
        <v>72</v>
      </c>
      <c r="B73" s="59" t="str">
        <f>B1</f>
        <v>Operating</v>
      </c>
      <c r="C73" s="59" t="str">
        <f>C1</f>
        <v>SPED</v>
      </c>
      <c r="D73" s="59" t="str">
        <f>D1</f>
        <v>NSLP</v>
      </c>
      <c r="E73" s="59" t="str">
        <f>E1</f>
        <v>Other</v>
      </c>
      <c r="F73" s="59" t="str">
        <f t="shared" ref="F73:G73" si="15">F1</f>
        <v>Title I</v>
      </c>
      <c r="G73" s="59" t="str">
        <f t="shared" si="15"/>
        <v>Title II</v>
      </c>
      <c r="H73" s="59" t="str">
        <f>H1</f>
        <v>Title III</v>
      </c>
      <c r="I73" s="59" t="str">
        <f>I1</f>
        <v>Total (23-24)</v>
      </c>
      <c r="J73" s="10"/>
      <c r="K73" s="10"/>
    </row>
    <row r="74" spans="1:11" x14ac:dyDescent="0.25">
      <c r="A74" s="60" t="s">
        <v>73</v>
      </c>
      <c r="B74" s="61"/>
      <c r="C74" s="61"/>
      <c r="D74" s="61"/>
      <c r="E74" s="61"/>
      <c r="F74" s="61"/>
      <c r="G74" s="61"/>
      <c r="H74" s="61"/>
      <c r="I74" s="62"/>
      <c r="J74" s="10"/>
      <c r="K74" s="10"/>
    </row>
    <row r="75" spans="1:11" x14ac:dyDescent="0.25">
      <c r="A75" s="40" t="s">
        <v>74</v>
      </c>
      <c r="B75" s="63">
        <f>(B2*B3)</f>
        <v>1270890</v>
      </c>
      <c r="C75" s="63"/>
      <c r="D75" s="63"/>
      <c r="E75" s="63"/>
      <c r="F75" s="63"/>
      <c r="G75" s="63"/>
      <c r="H75" s="63"/>
      <c r="I75" s="64">
        <f t="shared" ref="I75:I96" si="16">SUM(B75:H75)</f>
        <v>1270890</v>
      </c>
      <c r="J75" s="19"/>
    </row>
    <row r="76" spans="1:11" x14ac:dyDescent="0.25">
      <c r="A76" s="40" t="s">
        <v>75</v>
      </c>
      <c r="B76" s="47">
        <f>4236*B21</f>
        <v>97428</v>
      </c>
      <c r="C76" s="47"/>
      <c r="D76" s="47"/>
      <c r="E76" s="47"/>
      <c r="F76" s="47"/>
      <c r="G76" s="47"/>
      <c r="H76" s="47"/>
      <c r="I76" s="7">
        <f>SUM(B76:H76)</f>
        <v>97428</v>
      </c>
      <c r="J76" s="142">
        <f>0.45*9414</f>
        <v>4236.3</v>
      </c>
      <c r="K76" s="9"/>
    </row>
    <row r="77" spans="1:11" x14ac:dyDescent="0.25">
      <c r="A77" s="40" t="s">
        <v>76</v>
      </c>
      <c r="B77" s="7">
        <f>1075*B22</f>
        <v>0</v>
      </c>
      <c r="C77" s="7"/>
      <c r="D77" s="7"/>
      <c r="E77" s="7"/>
      <c r="F77" s="7"/>
      <c r="G77" s="7"/>
      <c r="H77" s="7"/>
      <c r="I77" s="7">
        <f>SUM(B77:H77)</f>
        <v>0</v>
      </c>
      <c r="J77" s="142">
        <f>0.12*9414</f>
        <v>1129.68</v>
      </c>
      <c r="K77" s="9"/>
    </row>
    <row r="78" spans="1:11" x14ac:dyDescent="0.25">
      <c r="A78" s="40" t="s">
        <v>77</v>
      </c>
      <c r="B78" s="7">
        <f>3294*2</f>
        <v>6588</v>
      </c>
      <c r="C78" s="7"/>
      <c r="D78" s="7"/>
      <c r="E78" s="7"/>
      <c r="F78" s="7"/>
      <c r="G78" s="7"/>
      <c r="H78" s="7"/>
      <c r="I78" s="7">
        <f>SUM(B78:H78)</f>
        <v>6588</v>
      </c>
      <c r="J78" s="142">
        <f>0.35*9414</f>
        <v>3294.8999999999996</v>
      </c>
    </row>
    <row r="79" spans="1:11" x14ac:dyDescent="0.25">
      <c r="A79" s="40" t="s">
        <v>78</v>
      </c>
      <c r="B79" s="47"/>
      <c r="C79" s="47">
        <v>0</v>
      </c>
      <c r="D79" s="47"/>
      <c r="E79" s="47"/>
      <c r="F79" s="47"/>
      <c r="G79" s="47"/>
      <c r="H79" s="47"/>
      <c r="I79" s="47">
        <f>SUM(B79:H79)</f>
        <v>0</v>
      </c>
      <c r="J79" s="8"/>
      <c r="K79" s="66"/>
    </row>
    <row r="80" spans="1:11" x14ac:dyDescent="0.25">
      <c r="A80" s="40" t="s">
        <v>79</v>
      </c>
      <c r="B80" s="47">
        <v>0</v>
      </c>
      <c r="C80" s="47">
        <f>3840*C20</f>
        <v>65280</v>
      </c>
      <c r="D80" s="47"/>
      <c r="E80" s="47"/>
      <c r="F80" s="47"/>
      <c r="G80" s="47"/>
      <c r="H80" s="47"/>
      <c r="I80" s="47">
        <f>SUM(B80:H80)</f>
        <v>65280</v>
      </c>
      <c r="J80" s="8">
        <v>3840</v>
      </c>
      <c r="K80" s="66"/>
    </row>
    <row r="81" spans="1:11" x14ac:dyDescent="0.25">
      <c r="A81" s="67" t="s">
        <v>80</v>
      </c>
      <c r="B81" s="68">
        <f>SUM(B75:B80)</f>
        <v>1374906</v>
      </c>
      <c r="C81" s="68">
        <f>SUM(C75:C80)</f>
        <v>65280</v>
      </c>
      <c r="D81" s="68">
        <f>SUM(D75:D80)</f>
        <v>0</v>
      </c>
      <c r="E81" s="68">
        <f t="shared" ref="E81:G81" si="17">SUM(E75:E80)</f>
        <v>0</v>
      </c>
      <c r="F81" s="68">
        <f t="shared" si="17"/>
        <v>0</v>
      </c>
      <c r="G81" s="68">
        <f t="shared" si="17"/>
        <v>0</v>
      </c>
      <c r="H81" s="68">
        <f>SUM(H75:H80)</f>
        <v>0</v>
      </c>
      <c r="I81" s="68">
        <f>SUM(I75:I80)</f>
        <v>1440186</v>
      </c>
      <c r="J81" s="10"/>
      <c r="K81" s="10"/>
    </row>
    <row r="82" spans="1:11" x14ac:dyDescent="0.25">
      <c r="A82" s="69" t="s">
        <v>81</v>
      </c>
      <c r="B82" s="61"/>
      <c r="C82" s="61"/>
      <c r="D82" s="61"/>
      <c r="E82" s="61"/>
      <c r="F82" s="61"/>
      <c r="G82" s="61"/>
      <c r="H82" s="61"/>
      <c r="I82" s="62"/>
      <c r="J82" s="10"/>
      <c r="K82" s="10"/>
    </row>
    <row r="83" spans="1:11" x14ac:dyDescent="0.25">
      <c r="A83" s="40" t="s">
        <v>82</v>
      </c>
      <c r="B83" s="7"/>
      <c r="C83" s="7">
        <f>1287*C20</f>
        <v>21879</v>
      </c>
      <c r="D83" s="7"/>
      <c r="E83" s="7"/>
      <c r="F83" s="7"/>
      <c r="G83" s="7"/>
      <c r="H83" s="7"/>
      <c r="I83" s="7">
        <f>SUM(B83:H83)</f>
        <v>21879</v>
      </c>
      <c r="J83" s="8">
        <v>1287</v>
      </c>
      <c r="K83" s="9"/>
    </row>
    <row r="84" spans="1:11" x14ac:dyDescent="0.25">
      <c r="A84" s="40" t="s">
        <v>83</v>
      </c>
      <c r="B84" s="7"/>
      <c r="C84" s="7"/>
      <c r="D84" s="14">
        <f>((B17*D23)*2.26*180)</f>
        <v>54917.999999999993</v>
      </c>
      <c r="E84" s="14"/>
      <c r="F84" s="7"/>
      <c r="G84" s="7"/>
      <c r="H84" s="14"/>
      <c r="I84" s="7">
        <f t="shared" si="16"/>
        <v>54917.999999999993</v>
      </c>
      <c r="J84" s="70">
        <v>2.2599999999999998</v>
      </c>
      <c r="K84" s="71"/>
    </row>
    <row r="85" spans="1:11" x14ac:dyDescent="0.25">
      <c r="A85" s="40" t="s">
        <v>84</v>
      </c>
      <c r="B85" s="47"/>
      <c r="C85" s="47"/>
      <c r="D85" s="14">
        <f>((B17*D23)*4.37*180)</f>
        <v>106191.00000000001</v>
      </c>
      <c r="E85" s="73"/>
      <c r="F85" s="47"/>
      <c r="G85" s="47"/>
      <c r="H85" s="14"/>
      <c r="I85" s="7">
        <f t="shared" si="16"/>
        <v>106191.00000000001</v>
      </c>
      <c r="J85" s="70">
        <v>4.37</v>
      </c>
      <c r="K85" s="71"/>
    </row>
    <row r="86" spans="1:11" x14ac:dyDescent="0.25">
      <c r="A86" s="40" t="s">
        <v>3</v>
      </c>
      <c r="B86" s="47"/>
      <c r="C86" s="47"/>
      <c r="D86" s="47"/>
      <c r="E86" s="47"/>
      <c r="F86" s="47">
        <f>150*B17</f>
        <v>20250</v>
      </c>
      <c r="G86" s="47"/>
      <c r="H86" s="47"/>
      <c r="I86" s="7">
        <f t="shared" si="16"/>
        <v>20250</v>
      </c>
      <c r="J86" s="8"/>
      <c r="K86" s="9"/>
    </row>
    <row r="87" spans="1:11" x14ac:dyDescent="0.25">
      <c r="A87" s="40" t="s">
        <v>4</v>
      </c>
      <c r="B87" s="47"/>
      <c r="C87" s="47"/>
      <c r="D87" s="47"/>
      <c r="E87" s="47"/>
      <c r="F87" s="47"/>
      <c r="G87" s="47">
        <v>8000</v>
      </c>
      <c r="H87" s="47"/>
      <c r="I87" s="7">
        <f t="shared" si="16"/>
        <v>8000</v>
      </c>
      <c r="J87" s="8"/>
      <c r="K87" s="9"/>
    </row>
    <row r="88" spans="1:11" x14ac:dyDescent="0.25">
      <c r="A88" s="40" t="s">
        <v>5</v>
      </c>
      <c r="B88" s="47"/>
      <c r="C88" s="47"/>
      <c r="D88" s="47"/>
      <c r="E88" s="47"/>
      <c r="F88" s="47"/>
      <c r="G88" s="47"/>
      <c r="H88" s="47">
        <v>1500</v>
      </c>
      <c r="I88" s="7">
        <f t="shared" si="16"/>
        <v>1500</v>
      </c>
      <c r="J88" s="8"/>
      <c r="K88" s="9"/>
    </row>
    <row r="89" spans="1:11" x14ac:dyDescent="0.25">
      <c r="A89" s="40" t="s">
        <v>85</v>
      </c>
      <c r="B89" s="47"/>
      <c r="C89" s="47"/>
      <c r="D89" s="47"/>
      <c r="E89" s="47"/>
      <c r="F89" s="47"/>
      <c r="G89" s="47"/>
      <c r="H89" s="47"/>
      <c r="I89" s="7">
        <f t="shared" si="16"/>
        <v>0</v>
      </c>
      <c r="J89" s="8"/>
      <c r="K89" s="9"/>
    </row>
    <row r="90" spans="1:11" x14ac:dyDescent="0.25">
      <c r="A90" s="40" t="s">
        <v>350</v>
      </c>
      <c r="B90" s="47">
        <f>B160*0.7</f>
        <v>44100</v>
      </c>
      <c r="C90" s="47"/>
      <c r="D90" s="47"/>
      <c r="E90" s="47"/>
      <c r="F90" s="47"/>
      <c r="G90" s="47"/>
      <c r="H90" s="47"/>
      <c r="I90" s="7">
        <f t="shared" si="16"/>
        <v>44100</v>
      </c>
      <c r="J90" s="8"/>
      <c r="K90" s="9"/>
    </row>
    <row r="91" spans="1:11" x14ac:dyDescent="0.25">
      <c r="A91" s="67" t="s">
        <v>86</v>
      </c>
      <c r="B91" s="68">
        <f t="shared" ref="B91" si="18">SUM(B83:B90)</f>
        <v>44100</v>
      </c>
      <c r="C91" s="68">
        <f t="shared" ref="C91:H91" si="19">SUM(C83:C90)</f>
        <v>21879</v>
      </c>
      <c r="D91" s="68">
        <f t="shared" si="19"/>
        <v>161109</v>
      </c>
      <c r="E91" s="68">
        <f t="shared" si="19"/>
        <v>0</v>
      </c>
      <c r="F91" s="68">
        <f t="shared" si="19"/>
        <v>20250</v>
      </c>
      <c r="G91" s="68">
        <f t="shared" si="19"/>
        <v>8000</v>
      </c>
      <c r="H91" s="68">
        <f t="shared" si="19"/>
        <v>1500</v>
      </c>
      <c r="I91" s="68">
        <f>SUM(I83:I90)</f>
        <v>256838</v>
      </c>
      <c r="J91" s="10"/>
      <c r="K91" s="10"/>
    </row>
    <row r="92" spans="1:11" x14ac:dyDescent="0.25">
      <c r="A92" s="69" t="s">
        <v>87</v>
      </c>
      <c r="B92" s="61"/>
      <c r="C92" s="61"/>
      <c r="D92" s="61"/>
      <c r="E92" s="61"/>
      <c r="F92" s="61"/>
      <c r="G92" s="61"/>
      <c r="H92" s="61"/>
      <c r="I92" s="62"/>
      <c r="J92" s="10"/>
      <c r="K92" s="10"/>
    </row>
    <row r="93" spans="1:11" x14ac:dyDescent="0.25">
      <c r="A93" s="40" t="s">
        <v>88</v>
      </c>
      <c r="B93" s="7"/>
      <c r="C93" s="7"/>
      <c r="D93" s="7"/>
      <c r="E93" s="7"/>
      <c r="F93" s="7"/>
      <c r="G93" s="7"/>
      <c r="H93" s="7"/>
      <c r="I93" s="7">
        <f t="shared" si="16"/>
        <v>0</v>
      </c>
      <c r="J93" s="19"/>
    </row>
    <row r="94" spans="1:11" x14ac:dyDescent="0.25">
      <c r="A94" s="40" t="s">
        <v>89</v>
      </c>
      <c r="B94" s="14"/>
      <c r="C94" s="14"/>
      <c r="D94" s="14"/>
      <c r="E94" s="14"/>
      <c r="F94" s="14"/>
      <c r="G94" s="14"/>
      <c r="H94" s="14"/>
      <c r="I94" s="7">
        <f t="shared" si="16"/>
        <v>0</v>
      </c>
      <c r="J94" s="19"/>
    </row>
    <row r="95" spans="1:11" x14ac:dyDescent="0.25">
      <c r="A95" s="40" t="s">
        <v>90</v>
      </c>
      <c r="B95" s="47">
        <v>258900</v>
      </c>
      <c r="C95" s="47"/>
      <c r="D95" s="47"/>
      <c r="E95" s="47"/>
      <c r="F95" s="47"/>
      <c r="G95" s="47"/>
      <c r="H95" s="47"/>
      <c r="I95" s="47">
        <f t="shared" si="16"/>
        <v>258900</v>
      </c>
      <c r="J95" s="19"/>
    </row>
    <row r="96" spans="1:11" x14ac:dyDescent="0.25">
      <c r="A96" s="40" t="s">
        <v>91</v>
      </c>
      <c r="B96" s="47"/>
      <c r="C96" s="47"/>
      <c r="D96" s="47"/>
      <c r="E96" s="47"/>
      <c r="F96" s="47"/>
      <c r="G96" s="47"/>
      <c r="H96" s="47"/>
      <c r="I96" s="47">
        <f t="shared" si="16"/>
        <v>0</v>
      </c>
      <c r="J96" s="19"/>
    </row>
    <row r="97" spans="1:11" x14ac:dyDescent="0.25">
      <c r="A97" s="67" t="s">
        <v>92</v>
      </c>
      <c r="B97" s="68">
        <f>SUM(B93:B96)</f>
        <v>258900</v>
      </c>
      <c r="C97" s="68">
        <f t="shared" ref="C97:H97" si="20">SUM(C93:C96)</f>
        <v>0</v>
      </c>
      <c r="D97" s="68">
        <f t="shared" si="20"/>
        <v>0</v>
      </c>
      <c r="E97" s="68"/>
      <c r="F97" s="68"/>
      <c r="G97" s="68"/>
      <c r="H97" s="68">
        <f t="shared" si="20"/>
        <v>0</v>
      </c>
      <c r="I97" s="68">
        <f>SUM(I93:I96)</f>
        <v>258900</v>
      </c>
      <c r="J97" s="10"/>
      <c r="K97" s="10"/>
    </row>
    <row r="98" spans="1:11" x14ac:dyDescent="0.25">
      <c r="A98" s="74" t="s">
        <v>93</v>
      </c>
      <c r="B98" s="75">
        <f>B81+B91+B97</f>
        <v>1677906</v>
      </c>
      <c r="C98" s="75">
        <f t="shared" ref="C98:I98" si="21">C81+C91+C97</f>
        <v>87159</v>
      </c>
      <c r="D98" s="75">
        <f t="shared" si="21"/>
        <v>161109</v>
      </c>
      <c r="E98" s="75">
        <f t="shared" si="21"/>
        <v>0</v>
      </c>
      <c r="F98" s="75">
        <f t="shared" si="21"/>
        <v>20250</v>
      </c>
      <c r="G98" s="75">
        <f t="shared" si="21"/>
        <v>8000</v>
      </c>
      <c r="H98" s="75">
        <f t="shared" si="21"/>
        <v>1500</v>
      </c>
      <c r="I98" s="75">
        <f t="shared" si="21"/>
        <v>1955924</v>
      </c>
      <c r="J98" s="10"/>
      <c r="K98" s="10"/>
    </row>
    <row r="99" spans="1:11" x14ac:dyDescent="0.25">
      <c r="A99" s="69" t="s">
        <v>94</v>
      </c>
      <c r="B99" s="61"/>
      <c r="C99" s="61"/>
      <c r="D99" s="61"/>
      <c r="E99" s="61"/>
      <c r="F99" s="61"/>
      <c r="G99" s="61"/>
      <c r="H99" s="61"/>
      <c r="I99" s="62"/>
      <c r="J99" s="10"/>
      <c r="K99" s="10"/>
    </row>
    <row r="100" spans="1:11" x14ac:dyDescent="0.25">
      <c r="A100" s="40" t="s">
        <v>95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f>SUM(B100:H100)</f>
        <v>0</v>
      </c>
      <c r="J100" s="19"/>
      <c r="K100" s="10"/>
    </row>
    <row r="101" spans="1:11" x14ac:dyDescent="0.25">
      <c r="A101" s="40" t="s">
        <v>96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7">
        <f t="shared" ref="I101:I103" si="22">SUM(B101:H101)</f>
        <v>0</v>
      </c>
      <c r="J101" s="19"/>
      <c r="K101" s="10"/>
    </row>
    <row r="102" spans="1:11" x14ac:dyDescent="0.25">
      <c r="A102" s="40"/>
      <c r="B102" s="47"/>
      <c r="C102" s="47"/>
      <c r="D102" s="47"/>
      <c r="E102" s="47"/>
      <c r="F102" s="47"/>
      <c r="G102" s="47"/>
      <c r="H102" s="47"/>
      <c r="I102" s="7">
        <f t="shared" si="22"/>
        <v>0</v>
      </c>
      <c r="J102" s="19"/>
      <c r="K102" s="10"/>
    </row>
    <row r="103" spans="1:11" x14ac:dyDescent="0.25">
      <c r="A103" s="40"/>
      <c r="B103" s="47"/>
      <c r="C103" s="47"/>
      <c r="D103" s="47"/>
      <c r="E103" s="47"/>
      <c r="F103" s="47"/>
      <c r="G103" s="47"/>
      <c r="H103" s="47"/>
      <c r="I103" s="7">
        <f t="shared" si="22"/>
        <v>0</v>
      </c>
      <c r="J103" s="19"/>
      <c r="K103" s="10"/>
    </row>
    <row r="104" spans="1:11" x14ac:dyDescent="0.25">
      <c r="A104" s="67" t="s">
        <v>97</v>
      </c>
      <c r="B104" s="68">
        <f>SUM(B100:B103)</f>
        <v>0</v>
      </c>
      <c r="C104" s="68">
        <f t="shared" ref="C104:I104" si="23">SUM(C100:C103)</f>
        <v>0</v>
      </c>
      <c r="D104" s="68">
        <f t="shared" si="23"/>
        <v>0</v>
      </c>
      <c r="E104" s="68">
        <f t="shared" si="23"/>
        <v>0</v>
      </c>
      <c r="F104" s="68">
        <f t="shared" si="23"/>
        <v>0</v>
      </c>
      <c r="G104" s="68">
        <f t="shared" si="23"/>
        <v>0</v>
      </c>
      <c r="H104" s="68">
        <f t="shared" si="23"/>
        <v>0</v>
      </c>
      <c r="I104" s="68">
        <f t="shared" si="23"/>
        <v>0</v>
      </c>
      <c r="J104" s="10"/>
      <c r="K104" s="10"/>
    </row>
    <row r="105" spans="1:11" ht="15.75" thickBot="1" x14ac:dyDescent="0.3">
      <c r="A105" s="40"/>
      <c r="B105" s="54"/>
      <c r="C105" s="54"/>
      <c r="D105" s="54"/>
      <c r="E105" s="54"/>
      <c r="F105" s="54"/>
      <c r="G105" s="54"/>
      <c r="H105" s="54"/>
      <c r="I105" s="54"/>
      <c r="J105" s="10"/>
      <c r="K105" s="10"/>
    </row>
    <row r="106" spans="1:11" ht="15.75" thickBot="1" x14ac:dyDescent="0.3">
      <c r="A106" s="76" t="s">
        <v>98</v>
      </c>
      <c r="B106" s="77" t="str">
        <f>B1</f>
        <v>Operating</v>
      </c>
      <c r="C106" s="77" t="str">
        <f>C1</f>
        <v>SPED</v>
      </c>
      <c r="D106" s="77" t="str">
        <f>D1</f>
        <v>NSLP</v>
      </c>
      <c r="E106" s="77" t="str">
        <f>E1</f>
        <v>Other</v>
      </c>
      <c r="F106" s="77" t="str">
        <f t="shared" ref="F106:G106" si="24">F1</f>
        <v>Title I</v>
      </c>
      <c r="G106" s="77" t="str">
        <f t="shared" si="24"/>
        <v>Title II</v>
      </c>
      <c r="H106" s="77" t="str">
        <f>H1</f>
        <v>Title III</v>
      </c>
      <c r="I106" s="77" t="str">
        <f>I1</f>
        <v>Total (23-24)</v>
      </c>
      <c r="J106" s="10"/>
      <c r="K106" s="10"/>
    </row>
    <row r="107" spans="1:11" x14ac:dyDescent="0.25">
      <c r="A107" s="60" t="s">
        <v>99</v>
      </c>
      <c r="B107" s="61"/>
      <c r="C107" s="61"/>
      <c r="D107" s="61"/>
      <c r="E107" s="61"/>
      <c r="F107" s="61"/>
      <c r="G107" s="61"/>
      <c r="H107" s="61"/>
      <c r="I107" s="62"/>
      <c r="J107" s="10"/>
      <c r="K107" s="10"/>
    </row>
    <row r="108" spans="1:11" x14ac:dyDescent="0.25">
      <c r="A108" s="34" t="s">
        <v>349</v>
      </c>
      <c r="B108" s="14">
        <v>0</v>
      </c>
      <c r="C108" s="7"/>
      <c r="D108" s="7"/>
      <c r="E108" s="7"/>
      <c r="F108" s="7"/>
      <c r="G108" s="7"/>
      <c r="H108" s="7"/>
      <c r="I108" s="7">
        <f t="shared" ref="I108:I122" si="25">SUM(B108:H108)</f>
        <v>0</v>
      </c>
      <c r="J108" s="19"/>
    </row>
    <row r="109" spans="1:11" x14ac:dyDescent="0.25">
      <c r="A109" s="34" t="s">
        <v>348</v>
      </c>
      <c r="B109" s="14">
        <f>'23-24'!B109*1.03</f>
        <v>113300.00000000001</v>
      </c>
      <c r="C109" s="7"/>
      <c r="D109" s="7"/>
      <c r="E109" s="7"/>
      <c r="F109" s="7"/>
      <c r="G109" s="7"/>
      <c r="H109" s="7"/>
      <c r="I109" s="7">
        <f t="shared" si="25"/>
        <v>113300.00000000001</v>
      </c>
      <c r="J109" s="19"/>
    </row>
    <row r="110" spans="1:11" x14ac:dyDescent="0.25">
      <c r="A110" s="40" t="s">
        <v>100</v>
      </c>
      <c r="B110" s="14">
        <f>'23-24'!B110*1.02</f>
        <v>0</v>
      </c>
      <c r="C110" s="7"/>
      <c r="D110" s="7"/>
      <c r="E110" s="7"/>
      <c r="F110" s="7"/>
      <c r="G110" s="7"/>
      <c r="H110" s="7"/>
      <c r="I110" s="7">
        <f t="shared" si="25"/>
        <v>0</v>
      </c>
      <c r="J110" s="19"/>
    </row>
    <row r="111" spans="1:11" x14ac:dyDescent="0.25">
      <c r="A111" s="40" t="s">
        <v>45</v>
      </c>
      <c r="B111" s="14">
        <f>'23-24'!B111*1.02</f>
        <v>0</v>
      </c>
      <c r="C111" s="7"/>
      <c r="D111" s="7"/>
      <c r="E111" s="7">
        <v>0</v>
      </c>
      <c r="F111" s="7"/>
      <c r="G111" s="7"/>
      <c r="H111" s="7"/>
      <c r="I111" s="7">
        <f t="shared" si="25"/>
        <v>0</v>
      </c>
      <c r="J111" s="19"/>
    </row>
    <row r="112" spans="1:11" x14ac:dyDescent="0.25">
      <c r="A112" s="43" t="s">
        <v>46</v>
      </c>
      <c r="B112" s="14">
        <f>'23-24'!B112*1.02</f>
        <v>0</v>
      </c>
      <c r="C112" s="7"/>
      <c r="D112" s="7"/>
      <c r="E112" s="7"/>
      <c r="F112" s="7"/>
      <c r="G112" s="7"/>
      <c r="H112" s="7"/>
      <c r="I112" s="7">
        <f>SUM(B112:H112)</f>
        <v>0</v>
      </c>
      <c r="J112" s="19"/>
    </row>
    <row r="113" spans="1:11" x14ac:dyDescent="0.25">
      <c r="A113" s="43" t="s">
        <v>47</v>
      </c>
      <c r="B113" s="14">
        <f>'23-24'!B113*1.02</f>
        <v>0</v>
      </c>
      <c r="C113" s="7"/>
      <c r="D113" s="7"/>
      <c r="E113" s="7"/>
      <c r="F113" s="7"/>
      <c r="G113" s="7"/>
      <c r="H113" s="7"/>
      <c r="I113" s="7">
        <f>SUM(B113:H113)</f>
        <v>0</v>
      </c>
      <c r="J113" s="19"/>
    </row>
    <row r="114" spans="1:11" x14ac:dyDescent="0.25">
      <c r="A114" s="40" t="s">
        <v>345</v>
      </c>
      <c r="B114" s="14">
        <f>50000*1.03</f>
        <v>51500</v>
      </c>
      <c r="C114" s="7">
        <v>0</v>
      </c>
      <c r="D114" s="7"/>
      <c r="E114" s="7"/>
      <c r="F114" s="7"/>
      <c r="G114" s="7"/>
      <c r="H114" s="7"/>
      <c r="I114" s="7">
        <f>SUM(B114:H114)</f>
        <v>51500</v>
      </c>
      <c r="J114" s="19"/>
    </row>
    <row r="115" spans="1:11" x14ac:dyDescent="0.25">
      <c r="A115" s="40" t="s">
        <v>101</v>
      </c>
      <c r="B115" s="14">
        <f>'23-24'!B115*1.02</f>
        <v>0</v>
      </c>
      <c r="C115" s="7"/>
      <c r="D115" s="7"/>
      <c r="E115" s="7"/>
      <c r="F115" s="7"/>
      <c r="G115" s="7"/>
      <c r="H115" s="7"/>
      <c r="I115" s="7">
        <f t="shared" si="25"/>
        <v>0</v>
      </c>
      <c r="J115" s="19"/>
    </row>
    <row r="116" spans="1:11" x14ac:dyDescent="0.25">
      <c r="A116" s="40" t="s">
        <v>102</v>
      </c>
      <c r="B116" s="14">
        <f>57000*(B36)</f>
        <v>399000</v>
      </c>
      <c r="C116" s="7"/>
      <c r="D116" s="7"/>
      <c r="E116" s="7"/>
      <c r="F116" s="7"/>
      <c r="G116" s="7"/>
      <c r="H116" s="7"/>
      <c r="I116" s="7">
        <f t="shared" si="25"/>
        <v>399000</v>
      </c>
      <c r="J116" s="19">
        <f>I116/B36</f>
        <v>57000</v>
      </c>
    </row>
    <row r="117" spans="1:11" x14ac:dyDescent="0.25">
      <c r="A117" s="40" t="s">
        <v>34</v>
      </c>
      <c r="B117" s="7"/>
      <c r="C117" s="7">
        <f>57000*I28</f>
        <v>57000</v>
      </c>
      <c r="D117" s="7"/>
      <c r="E117" s="7"/>
      <c r="F117" s="7"/>
      <c r="G117" s="7"/>
      <c r="H117" s="7"/>
      <c r="I117" s="7">
        <f t="shared" si="25"/>
        <v>57000</v>
      </c>
      <c r="J117" s="19"/>
    </row>
    <row r="118" spans="1:11" x14ac:dyDescent="0.25">
      <c r="A118" s="40" t="s">
        <v>103</v>
      </c>
      <c r="B118" s="14">
        <f>'23-24'!B118*1.03</f>
        <v>81955.040000000008</v>
      </c>
      <c r="C118" s="7"/>
      <c r="D118" s="7"/>
      <c r="E118" s="7"/>
      <c r="F118" s="7"/>
      <c r="G118" s="7"/>
      <c r="H118" s="7"/>
      <c r="I118" s="7">
        <f t="shared" si="25"/>
        <v>81955.040000000008</v>
      </c>
      <c r="J118" s="19"/>
    </row>
    <row r="119" spans="1:11" x14ac:dyDescent="0.25">
      <c r="A119" s="40" t="s">
        <v>104</v>
      </c>
      <c r="B119" s="14">
        <f>(15.5*8*190)*(B50+B49)</f>
        <v>0</v>
      </c>
      <c r="C119" s="7"/>
      <c r="D119" s="7"/>
      <c r="E119" s="7"/>
      <c r="F119" s="7"/>
      <c r="G119" s="7"/>
      <c r="H119" s="7"/>
      <c r="I119" s="7">
        <f t="shared" si="25"/>
        <v>0</v>
      </c>
      <c r="J119" s="19"/>
    </row>
    <row r="120" spans="1:11" x14ac:dyDescent="0.25">
      <c r="A120" s="40" t="s">
        <v>105</v>
      </c>
      <c r="B120" s="14">
        <f t="shared" ref="B120:E120" si="26">(15.5*8*180)*B51</f>
        <v>0</v>
      </c>
      <c r="C120" s="14">
        <f t="shared" si="26"/>
        <v>0</v>
      </c>
      <c r="D120" s="14">
        <f t="shared" si="26"/>
        <v>0</v>
      </c>
      <c r="E120" s="14">
        <f t="shared" si="26"/>
        <v>0</v>
      </c>
      <c r="F120" s="14">
        <f>(15.25*8*180)*F51</f>
        <v>21960</v>
      </c>
      <c r="G120" s="7"/>
      <c r="H120" s="7"/>
      <c r="I120" s="7">
        <f t="shared" si="25"/>
        <v>21960</v>
      </c>
      <c r="J120" s="19"/>
    </row>
    <row r="121" spans="1:11" x14ac:dyDescent="0.25">
      <c r="A121" s="40" t="s">
        <v>106</v>
      </c>
      <c r="B121" s="14">
        <f>(17*8*210)*B52</f>
        <v>0</v>
      </c>
      <c r="C121" s="7"/>
      <c r="D121" s="7"/>
      <c r="E121" s="7"/>
      <c r="F121" s="7"/>
      <c r="G121" s="7"/>
      <c r="H121" s="7"/>
      <c r="I121" s="7">
        <f t="shared" si="25"/>
        <v>0</v>
      </c>
      <c r="J121" s="19"/>
    </row>
    <row r="122" spans="1:11" x14ac:dyDescent="0.25">
      <c r="A122" s="40" t="s">
        <v>55</v>
      </c>
      <c r="B122" s="7"/>
      <c r="C122" s="7"/>
      <c r="D122" s="7"/>
      <c r="E122" s="7"/>
      <c r="F122" s="7"/>
      <c r="G122" s="7"/>
      <c r="H122" s="7"/>
      <c r="I122" s="7">
        <f t="shared" si="25"/>
        <v>0</v>
      </c>
      <c r="J122" s="19"/>
    </row>
    <row r="123" spans="1:11" x14ac:dyDescent="0.25">
      <c r="A123" s="78" t="s">
        <v>107</v>
      </c>
      <c r="B123" s="79">
        <f>SUM(B108:B122)</f>
        <v>645755.04</v>
      </c>
      <c r="C123" s="79">
        <f t="shared" ref="C123:H123" si="27">SUM(C108:C122)</f>
        <v>57000</v>
      </c>
      <c r="D123" s="79">
        <f t="shared" si="27"/>
        <v>0</v>
      </c>
      <c r="E123" s="79">
        <f t="shared" si="27"/>
        <v>0</v>
      </c>
      <c r="F123" s="79">
        <f t="shared" si="27"/>
        <v>21960</v>
      </c>
      <c r="G123" s="79">
        <f t="shared" si="27"/>
        <v>0</v>
      </c>
      <c r="H123" s="79">
        <f t="shared" si="27"/>
        <v>0</v>
      </c>
      <c r="I123" s="79">
        <f>SUM(I108:I122)</f>
        <v>724715.04</v>
      </c>
      <c r="J123" s="10"/>
      <c r="K123" s="10"/>
    </row>
    <row r="124" spans="1:11" x14ac:dyDescent="0.25">
      <c r="A124" s="80" t="s">
        <v>108</v>
      </c>
      <c r="B124" s="61"/>
      <c r="C124" s="61"/>
      <c r="D124" s="61"/>
      <c r="E124" s="61"/>
      <c r="F124" s="61"/>
      <c r="G124" s="61"/>
      <c r="H124" s="61"/>
      <c r="I124" s="62"/>
      <c r="J124" s="10"/>
      <c r="K124" s="10"/>
    </row>
    <row r="125" spans="1:11" x14ac:dyDescent="0.25">
      <c r="A125" s="40" t="s">
        <v>57</v>
      </c>
      <c r="B125" s="7">
        <v>0</v>
      </c>
      <c r="C125" s="7"/>
      <c r="D125" s="7"/>
      <c r="E125" s="7"/>
      <c r="F125" s="7"/>
      <c r="G125" s="7"/>
      <c r="H125" s="7"/>
      <c r="I125" s="35">
        <f t="shared" ref="I125:I132" si="28">SUM(B125:H125)</f>
        <v>0</v>
      </c>
      <c r="J125" s="19"/>
    </row>
    <row r="126" spans="1:11" x14ac:dyDescent="0.25">
      <c r="A126" s="40" t="s">
        <v>58</v>
      </c>
      <c r="B126" s="7">
        <v>0</v>
      </c>
      <c r="C126" s="7"/>
      <c r="D126" s="7"/>
      <c r="E126" s="7"/>
      <c r="F126" s="7"/>
      <c r="G126" s="7"/>
      <c r="H126" s="7"/>
      <c r="I126" s="35">
        <f t="shared" si="28"/>
        <v>0</v>
      </c>
      <c r="J126" s="19"/>
    </row>
    <row r="127" spans="1:11" x14ac:dyDescent="0.25">
      <c r="A127" s="40" t="s">
        <v>59</v>
      </c>
      <c r="B127" s="7">
        <v>0</v>
      </c>
      <c r="C127" s="7"/>
      <c r="D127" s="7"/>
      <c r="E127" s="7"/>
      <c r="F127" s="7"/>
      <c r="G127" s="7"/>
      <c r="H127" s="7"/>
      <c r="I127" s="7">
        <f t="shared" si="28"/>
        <v>0</v>
      </c>
      <c r="J127" s="19"/>
    </row>
    <row r="128" spans="1:11" x14ac:dyDescent="0.25">
      <c r="A128" s="40" t="s">
        <v>109</v>
      </c>
      <c r="B128" s="7">
        <v>0</v>
      </c>
      <c r="C128" s="7"/>
      <c r="D128" s="7"/>
      <c r="E128" s="7"/>
      <c r="F128" s="7"/>
      <c r="G128" s="7"/>
      <c r="H128" s="7"/>
      <c r="I128" s="35">
        <f t="shared" si="28"/>
        <v>0</v>
      </c>
      <c r="J128" s="19"/>
    </row>
    <row r="129" spans="1:11" x14ac:dyDescent="0.25">
      <c r="A129" s="40" t="s">
        <v>61</v>
      </c>
      <c r="B129" s="7">
        <v>0</v>
      </c>
      <c r="C129" s="7"/>
      <c r="D129" s="7"/>
      <c r="E129" s="7"/>
      <c r="F129" s="7"/>
      <c r="G129" s="7"/>
      <c r="H129" s="7"/>
      <c r="I129" s="35">
        <f t="shared" si="28"/>
        <v>0</v>
      </c>
      <c r="J129" s="19"/>
    </row>
    <row r="130" spans="1:11" x14ac:dyDescent="0.25">
      <c r="A130" s="40" t="s">
        <v>256</v>
      </c>
      <c r="B130" s="7">
        <v>0</v>
      </c>
      <c r="C130" s="7"/>
      <c r="D130" s="7"/>
      <c r="E130" s="7"/>
      <c r="F130" s="7"/>
      <c r="G130" s="7"/>
      <c r="H130" s="7"/>
      <c r="I130" s="35">
        <f t="shared" si="28"/>
        <v>0</v>
      </c>
      <c r="J130" s="19"/>
    </row>
    <row r="131" spans="1:11" x14ac:dyDescent="0.25">
      <c r="A131" s="40" t="s">
        <v>110</v>
      </c>
      <c r="B131" s="7">
        <f>(12.5*6*185)*B53</f>
        <v>0</v>
      </c>
      <c r="C131" s="7">
        <f>(12.5*6*185)*C53</f>
        <v>0</v>
      </c>
      <c r="D131" s="7">
        <f>(17.25*8*180)*D53</f>
        <v>24840</v>
      </c>
      <c r="E131" s="7"/>
      <c r="F131" s="7"/>
      <c r="G131" s="7"/>
      <c r="H131" s="7">
        <f>(13.75*8*180)*H53</f>
        <v>0</v>
      </c>
      <c r="I131" s="7">
        <f>SUM(B131:H131)</f>
        <v>24840</v>
      </c>
      <c r="J131" s="19"/>
    </row>
    <row r="132" spans="1:11" x14ac:dyDescent="0.25">
      <c r="A132" s="40" t="s">
        <v>62</v>
      </c>
      <c r="B132" s="47">
        <v>0</v>
      </c>
      <c r="C132" s="7"/>
      <c r="D132" s="7"/>
      <c r="E132" s="7"/>
      <c r="F132" s="7"/>
      <c r="G132" s="7">
        <v>0</v>
      </c>
      <c r="H132" s="7"/>
      <c r="I132" s="35">
        <f t="shared" si="28"/>
        <v>0</v>
      </c>
      <c r="J132" s="19"/>
    </row>
    <row r="133" spans="1:11" x14ac:dyDescent="0.25">
      <c r="A133" s="81" t="s">
        <v>111</v>
      </c>
      <c r="B133" s="82">
        <f>SUM(B125:B132)</f>
        <v>0</v>
      </c>
      <c r="C133" s="82">
        <f>SUM(C125:C132)</f>
        <v>0</v>
      </c>
      <c r="D133" s="82">
        <f>SUM(D125:D132)</f>
        <v>24840</v>
      </c>
      <c r="E133" s="82">
        <f>SUM(E125:E132)</f>
        <v>0</v>
      </c>
      <c r="F133" s="82">
        <f t="shared" ref="F133" si="29">SUM(F125:F132)</f>
        <v>0</v>
      </c>
      <c r="G133" s="82"/>
      <c r="H133" s="82">
        <f>SUM(H125:H132)</f>
        <v>0</v>
      </c>
      <c r="I133" s="82">
        <f>SUM(I125:I132)</f>
        <v>24840</v>
      </c>
      <c r="J133" s="25"/>
      <c r="K133" s="28"/>
    </row>
    <row r="134" spans="1:11" x14ac:dyDescent="0.25">
      <c r="A134" s="83" t="s">
        <v>112</v>
      </c>
      <c r="B134" s="84">
        <f>B123+B133</f>
        <v>645755.04</v>
      </c>
      <c r="C134" s="84">
        <f>C123+C133</f>
        <v>57000</v>
      </c>
      <c r="D134" s="84">
        <f>D123+D133</f>
        <v>24840</v>
      </c>
      <c r="E134" s="84">
        <f>E123+E133</f>
        <v>0</v>
      </c>
      <c r="F134" s="84">
        <f t="shared" ref="F134:H134" si="30">F123+F133</f>
        <v>21960</v>
      </c>
      <c r="G134" s="84">
        <f t="shared" si="30"/>
        <v>0</v>
      </c>
      <c r="H134" s="84">
        <f t="shared" si="30"/>
        <v>0</v>
      </c>
      <c r="I134" s="84">
        <f>I123+I133</f>
        <v>749555.04</v>
      </c>
      <c r="J134" s="28"/>
      <c r="K134" s="10"/>
    </row>
    <row r="135" spans="1:11" x14ac:dyDescent="0.25">
      <c r="A135" s="40" t="s">
        <v>113</v>
      </c>
      <c r="B135" s="64">
        <f>B134*0.335</f>
        <v>216327.93840000001</v>
      </c>
      <c r="C135" s="64">
        <f t="shared" ref="C135:F135" si="31">C134*0.335</f>
        <v>19095</v>
      </c>
      <c r="D135" s="64">
        <f t="shared" si="31"/>
        <v>8321.4</v>
      </c>
      <c r="E135" s="64">
        <f t="shared" si="31"/>
        <v>0</v>
      </c>
      <c r="F135" s="64">
        <f t="shared" si="31"/>
        <v>7356.6</v>
      </c>
      <c r="G135" s="64">
        <f t="shared" ref="G135:H135" si="32">G134*0.2975</f>
        <v>0</v>
      </c>
      <c r="H135" s="64">
        <f t="shared" si="32"/>
        <v>0</v>
      </c>
      <c r="I135" s="7">
        <f>SUM(B135:H135)</f>
        <v>251100.93840000001</v>
      </c>
      <c r="J135" s="85">
        <f>I135/I134</f>
        <v>0.33500000000000002</v>
      </c>
      <c r="K135" s="86"/>
    </row>
    <row r="136" spans="1:11" x14ac:dyDescent="0.25">
      <c r="A136" s="87" t="s">
        <v>114</v>
      </c>
      <c r="B136" s="14">
        <f>B134*0.14</f>
        <v>90405.705600000016</v>
      </c>
      <c r="C136" s="14">
        <f t="shared" ref="C136:F136" si="33">C134*0.14</f>
        <v>7980.0000000000009</v>
      </c>
      <c r="D136" s="14">
        <f t="shared" si="33"/>
        <v>3477.6000000000004</v>
      </c>
      <c r="E136" s="14">
        <f t="shared" si="33"/>
        <v>0</v>
      </c>
      <c r="F136" s="14">
        <f t="shared" si="33"/>
        <v>3074.4</v>
      </c>
      <c r="G136" s="14">
        <f t="shared" ref="G136:H136" si="34">(((6400*(G66*0.8))+((275*(G66*0.8)))+((60*(G66*0.8)))))+(G134*0.0145)+(G134*0.031)</f>
        <v>0</v>
      </c>
      <c r="H136" s="14">
        <f t="shared" si="34"/>
        <v>0</v>
      </c>
      <c r="I136" s="7">
        <f>SUM(B136:H136)</f>
        <v>104937.70560000002</v>
      </c>
      <c r="J136" s="85">
        <f>I136/I134</f>
        <v>0.14000000000000001</v>
      </c>
      <c r="K136" s="86"/>
    </row>
    <row r="137" spans="1:11" x14ac:dyDescent="0.25">
      <c r="A137" s="40" t="s">
        <v>115</v>
      </c>
      <c r="B137" s="7">
        <f>((1100*B36)+(2750*B39)+(2200*B41)+(1650*B42)+(1650*B43)+(1650*B44)+(1650*B45)+(1650*B46)+(1100*B47)+(1100*B48)+(500*B49)+(500*B50)+(500*B51)+(500*B52)+(500*B53)+(500*B54)+(1100*B55)+(1100*B56)+(1100*B57)+(1100*B58)+(1100*B59)+(1100*B60))*0.9</f>
        <v>10395</v>
      </c>
      <c r="C137" s="7">
        <f>((1100*C36)+(2750*C39)+(2200*C41)+(1650*C42)+(1650*C43)+(1650*C44)+(1650*C45)+(1650*C46)+(1100*C47)+(1100*C48)+(500*C49)+(500*C50)+(500*C51)+(500*C52)+(500*C53)+(500*C54)+(1100*C55)+(1100*C56)+(1100*C57)+(1100*C58)+(1100*C59)+(1100*C60))</f>
        <v>1100</v>
      </c>
      <c r="D137" s="7">
        <f t="shared" ref="D137" si="35">((1100*D36)+(2750*D39)+(2200*D41)+(1650*D42)+(1650*D43)+(1650*D44)+(1650*D45)+(1650*D46)+(1100*D47)+(1100*D48)+(500*D49)+(500*D50)+(500*D51)+(500*D52)+(500*D53)+(500*D54)+(1100*D55)+(1100*D56)+(1100*D57)+(1100*D58)+(1100*D59)+(1100*D60))*0.9</f>
        <v>450</v>
      </c>
      <c r="E137" s="7"/>
      <c r="F137" s="7"/>
      <c r="G137" s="7">
        <f t="shared" ref="G137:H137" si="36">((1000*G36)+(2000*G39)+(1750*G41)+(1500*G42)+(1500*G43)+(1500*G44)+(1000*G47)+(1000*G48)+(500*G49)+(500*G50)+(500*G51)+(500*G52)+(500*G53)+(500*G54)+(1000*G55)+(1000*G56)+(1000*G57)+(1000*G58)+(1000*G59)+(1000*G60))*0.7</f>
        <v>0</v>
      </c>
      <c r="H137" s="7">
        <f t="shared" si="36"/>
        <v>0</v>
      </c>
      <c r="I137" s="7">
        <f t="shared" ref="I137:I142" si="37">SUM(B137:H137)</f>
        <v>11945</v>
      </c>
      <c r="J137" s="19"/>
    </row>
    <row r="138" spans="1:11" x14ac:dyDescent="0.25">
      <c r="A138" s="87" t="s">
        <v>116</v>
      </c>
      <c r="B138" s="88">
        <f>125*B66+125*6</f>
        <v>2125</v>
      </c>
      <c r="C138" s="89">
        <f>125*C66</f>
        <v>125</v>
      </c>
      <c r="D138" s="89">
        <f t="shared" ref="D138:H138" si="38">125*D66</f>
        <v>125</v>
      </c>
      <c r="E138" s="89"/>
      <c r="F138" s="89"/>
      <c r="G138" s="89">
        <f t="shared" si="38"/>
        <v>0</v>
      </c>
      <c r="H138" s="89">
        <f t="shared" si="38"/>
        <v>0</v>
      </c>
      <c r="I138" s="7">
        <f t="shared" si="37"/>
        <v>2375</v>
      </c>
      <c r="J138" s="19"/>
    </row>
    <row r="139" spans="1:11" x14ac:dyDescent="0.25">
      <c r="A139" s="40" t="s">
        <v>117</v>
      </c>
      <c r="B139" s="7">
        <v>0</v>
      </c>
      <c r="C139" s="14"/>
      <c r="D139" s="14"/>
      <c r="E139" s="14"/>
      <c r="F139" s="14"/>
      <c r="G139" s="14"/>
      <c r="H139" s="14"/>
      <c r="I139" s="7">
        <f t="shared" si="37"/>
        <v>0</v>
      </c>
      <c r="J139" s="19"/>
    </row>
    <row r="140" spans="1:11" x14ac:dyDescent="0.25">
      <c r="A140" s="40" t="s">
        <v>118</v>
      </c>
      <c r="B140" s="7"/>
      <c r="C140" s="14"/>
      <c r="D140" s="14"/>
      <c r="E140" s="14"/>
      <c r="F140" s="14"/>
      <c r="G140" s="14"/>
      <c r="H140" s="14"/>
      <c r="I140" s="7">
        <f t="shared" si="37"/>
        <v>0</v>
      </c>
      <c r="J140" s="19"/>
    </row>
    <row r="141" spans="1:11" x14ac:dyDescent="0.25">
      <c r="A141" s="40" t="s">
        <v>119</v>
      </c>
      <c r="B141" s="14">
        <v>5000</v>
      </c>
      <c r="C141" s="14"/>
      <c r="D141" s="14"/>
      <c r="E141" s="14"/>
      <c r="F141" s="14"/>
      <c r="G141" s="14"/>
      <c r="H141" s="14"/>
      <c r="I141" s="7">
        <f t="shared" si="37"/>
        <v>5000</v>
      </c>
      <c r="J141" s="19"/>
    </row>
    <row r="142" spans="1:11" x14ac:dyDescent="0.25">
      <c r="A142" s="40" t="s">
        <v>120</v>
      </c>
      <c r="B142" s="47">
        <f>(185*11*B36)-B132</f>
        <v>14245</v>
      </c>
      <c r="C142" s="47">
        <f t="shared" ref="C142:G142" si="39">(185*11*C36)-C132</f>
        <v>2035</v>
      </c>
      <c r="D142" s="47">
        <f t="shared" si="39"/>
        <v>0</v>
      </c>
      <c r="E142" s="47">
        <f t="shared" si="39"/>
        <v>0</v>
      </c>
      <c r="F142" s="47">
        <f t="shared" si="39"/>
        <v>0</v>
      </c>
      <c r="G142" s="47">
        <f t="shared" si="39"/>
        <v>0</v>
      </c>
      <c r="H142" s="47">
        <f t="shared" ref="H142" si="40">(175*11*H36)-H132</f>
        <v>0</v>
      </c>
      <c r="I142" s="7">
        <f t="shared" si="37"/>
        <v>16280</v>
      </c>
      <c r="J142" s="19" t="s">
        <v>121</v>
      </c>
    </row>
    <row r="143" spans="1:11" x14ac:dyDescent="0.25">
      <c r="A143" s="91" t="s">
        <v>122</v>
      </c>
      <c r="B143" s="92">
        <f>SUM(B135:B142)</f>
        <v>338498.64400000003</v>
      </c>
      <c r="C143" s="92">
        <f t="shared" ref="C143:H143" si="41">SUM(C135:C142)</f>
        <v>30335</v>
      </c>
      <c r="D143" s="92">
        <f t="shared" si="41"/>
        <v>12374</v>
      </c>
      <c r="E143" s="92">
        <f t="shared" si="41"/>
        <v>0</v>
      </c>
      <c r="F143" s="92">
        <f t="shared" si="41"/>
        <v>10431</v>
      </c>
      <c r="G143" s="92">
        <f t="shared" si="41"/>
        <v>0</v>
      </c>
      <c r="H143" s="92">
        <f t="shared" si="41"/>
        <v>0</v>
      </c>
      <c r="I143" s="92">
        <f>SUM(I135:I142)</f>
        <v>391638.64400000003</v>
      </c>
      <c r="J143" s="10"/>
      <c r="K143" s="10"/>
    </row>
    <row r="144" spans="1:11" x14ac:dyDescent="0.25">
      <c r="A144" s="83" t="s">
        <v>123</v>
      </c>
      <c r="B144" s="84">
        <f>B134+B143</f>
        <v>984253.68400000012</v>
      </c>
      <c r="C144" s="84">
        <f>C134+C143</f>
        <v>87335</v>
      </c>
      <c r="D144" s="84">
        <f>D134+D143</f>
        <v>37214</v>
      </c>
      <c r="E144" s="84">
        <f>E134+E143</f>
        <v>0</v>
      </c>
      <c r="F144" s="84">
        <f t="shared" ref="F144:G144" si="42">F134+F143</f>
        <v>32391</v>
      </c>
      <c r="G144" s="84">
        <f t="shared" si="42"/>
        <v>0</v>
      </c>
      <c r="H144" s="84">
        <f>H134+H143</f>
        <v>0</v>
      </c>
      <c r="I144" s="84">
        <f>I134+I143</f>
        <v>1141193.6840000001</v>
      </c>
      <c r="J144" s="10"/>
      <c r="K144" s="10"/>
    </row>
    <row r="145" spans="1:11" x14ac:dyDescent="0.25">
      <c r="A145" s="93" t="s">
        <v>124</v>
      </c>
      <c r="B145" s="24" t="str">
        <f>B1</f>
        <v>Operating</v>
      </c>
      <c r="C145" s="24" t="str">
        <f>C1</f>
        <v>SPED</v>
      </c>
      <c r="D145" s="24" t="str">
        <f>D1</f>
        <v>NSLP</v>
      </c>
      <c r="E145" s="24" t="str">
        <f>E1</f>
        <v>Other</v>
      </c>
      <c r="F145" s="24" t="str">
        <f t="shared" ref="F145:G145" si="43">F1</f>
        <v>Title I</v>
      </c>
      <c r="G145" s="24" t="str">
        <f t="shared" si="43"/>
        <v>Title II</v>
      </c>
      <c r="H145" s="24" t="str">
        <f>H1</f>
        <v>Title III</v>
      </c>
      <c r="I145" s="24" t="str">
        <f>I1</f>
        <v>Total (23-24)</v>
      </c>
      <c r="J145" s="10"/>
      <c r="K145" s="10"/>
    </row>
    <row r="146" spans="1:11" x14ac:dyDescent="0.25">
      <c r="A146" s="94" t="s">
        <v>125</v>
      </c>
      <c r="B146" s="7">
        <f>205*B17</f>
        <v>27675</v>
      </c>
      <c r="C146" s="14"/>
      <c r="D146" s="14"/>
      <c r="E146" s="14"/>
      <c r="F146" s="14"/>
      <c r="G146" s="14"/>
      <c r="H146" s="14"/>
      <c r="I146" s="7">
        <f t="shared" ref="I146:I154" si="44">SUM(B146:H146)</f>
        <v>27675</v>
      </c>
      <c r="J146" s="8" t="s">
        <v>126</v>
      </c>
    </row>
    <row r="147" spans="1:11" x14ac:dyDescent="0.25">
      <c r="A147" s="95" t="s">
        <v>127</v>
      </c>
      <c r="B147" s="7">
        <v>5000</v>
      </c>
      <c r="C147" s="14"/>
      <c r="D147" s="14"/>
      <c r="E147" s="14"/>
      <c r="F147" s="14"/>
      <c r="G147" s="14"/>
      <c r="H147" s="14"/>
      <c r="I147" s="7">
        <f t="shared" si="44"/>
        <v>5000</v>
      </c>
      <c r="J147" s="19"/>
    </row>
    <row r="148" spans="1:11" x14ac:dyDescent="0.25">
      <c r="A148" s="40" t="s">
        <v>128</v>
      </c>
      <c r="B148" s="14">
        <v>0</v>
      </c>
      <c r="C148" s="14"/>
      <c r="D148" s="14"/>
      <c r="E148" s="14"/>
      <c r="F148" s="14"/>
      <c r="G148" s="14"/>
      <c r="H148" s="14"/>
      <c r="I148" s="7">
        <f t="shared" si="44"/>
        <v>0</v>
      </c>
      <c r="J148" s="19"/>
    </row>
    <row r="149" spans="1:11" x14ac:dyDescent="0.25">
      <c r="A149" s="40" t="s">
        <v>129</v>
      </c>
      <c r="B149" s="7">
        <f>30*B17</f>
        <v>4050</v>
      </c>
      <c r="C149" s="14"/>
      <c r="D149" s="14"/>
      <c r="E149" s="14"/>
      <c r="F149" s="14"/>
      <c r="G149" s="14"/>
      <c r="H149" s="14"/>
      <c r="I149" s="7">
        <f t="shared" si="44"/>
        <v>4050</v>
      </c>
      <c r="J149" s="8" t="s">
        <v>130</v>
      </c>
    </row>
    <row r="150" spans="1:11" x14ac:dyDescent="0.25">
      <c r="A150" s="40" t="s">
        <v>131</v>
      </c>
      <c r="B150" s="7">
        <f>40*B17</f>
        <v>5400</v>
      </c>
      <c r="C150" s="14"/>
      <c r="D150" s="14"/>
      <c r="E150" s="14"/>
      <c r="F150" s="14"/>
      <c r="G150" s="14"/>
      <c r="H150" s="14"/>
      <c r="I150" s="7">
        <f t="shared" si="44"/>
        <v>5400</v>
      </c>
      <c r="J150" s="8" t="s">
        <v>132</v>
      </c>
    </row>
    <row r="151" spans="1:11" x14ac:dyDescent="0.25">
      <c r="A151" s="40" t="s">
        <v>133</v>
      </c>
      <c r="B151" s="7">
        <f>10*B17</f>
        <v>1350</v>
      </c>
      <c r="C151" s="14"/>
      <c r="D151" s="14"/>
      <c r="E151" s="14"/>
      <c r="F151" s="14"/>
      <c r="G151" s="14"/>
      <c r="H151" s="14"/>
      <c r="I151" s="7">
        <f t="shared" si="44"/>
        <v>1350</v>
      </c>
      <c r="J151" s="8" t="s">
        <v>134</v>
      </c>
    </row>
    <row r="152" spans="1:11" x14ac:dyDescent="0.25">
      <c r="A152" s="40" t="s">
        <v>135</v>
      </c>
      <c r="B152" s="7">
        <f>8*B17</f>
        <v>1080</v>
      </c>
      <c r="C152" s="14"/>
      <c r="D152" s="14"/>
      <c r="E152" s="14"/>
      <c r="F152" s="14"/>
      <c r="G152" s="14"/>
      <c r="H152" s="14"/>
      <c r="I152" s="7">
        <f t="shared" si="44"/>
        <v>1080</v>
      </c>
      <c r="J152" s="8" t="s">
        <v>136</v>
      </c>
    </row>
    <row r="153" spans="1:11" x14ac:dyDescent="0.25">
      <c r="A153" s="40" t="s">
        <v>137</v>
      </c>
      <c r="B153" s="7">
        <f>129*B20</f>
        <v>0</v>
      </c>
      <c r="C153" s="14">
        <f>150*(C20)</f>
        <v>2550</v>
      </c>
      <c r="D153" s="14"/>
      <c r="E153" s="14"/>
      <c r="F153" s="14"/>
      <c r="G153" s="14"/>
      <c r="H153" s="14"/>
      <c r="I153" s="7">
        <f t="shared" si="44"/>
        <v>2550</v>
      </c>
      <c r="J153" s="8" t="s">
        <v>138</v>
      </c>
    </row>
    <row r="154" spans="1:11" x14ac:dyDescent="0.25">
      <c r="A154" s="40" t="s">
        <v>139</v>
      </c>
      <c r="B154" s="7">
        <v>7500</v>
      </c>
      <c r="C154" s="7"/>
      <c r="D154" s="7"/>
      <c r="E154" s="7"/>
      <c r="F154" s="7"/>
      <c r="G154" s="7"/>
      <c r="H154" s="7"/>
      <c r="I154" s="7">
        <f t="shared" si="44"/>
        <v>7500</v>
      </c>
      <c r="J154" s="19"/>
    </row>
    <row r="155" spans="1:11" x14ac:dyDescent="0.25">
      <c r="A155" s="96" t="s">
        <v>140</v>
      </c>
      <c r="B155" s="97">
        <f>B17*45</f>
        <v>6075</v>
      </c>
      <c r="C155" s="7"/>
      <c r="D155" s="7"/>
      <c r="E155" s="7"/>
      <c r="F155" s="7"/>
      <c r="G155" s="7"/>
      <c r="H155" s="7"/>
      <c r="I155" s="7">
        <f>SUM(B155:H155)</f>
        <v>6075</v>
      </c>
      <c r="J155" s="19" t="s">
        <v>141</v>
      </c>
    </row>
    <row r="156" spans="1:11" x14ac:dyDescent="0.25">
      <c r="A156" s="83" t="s">
        <v>142</v>
      </c>
      <c r="B156" s="84">
        <f>SUM(B146:B155)</f>
        <v>58130</v>
      </c>
      <c r="C156" s="84">
        <f t="shared" ref="C156:H156" si="45">SUM(C146:C155)</f>
        <v>2550</v>
      </c>
      <c r="D156" s="84">
        <f t="shared" si="45"/>
        <v>0</v>
      </c>
      <c r="E156" s="84">
        <f t="shared" si="45"/>
        <v>0</v>
      </c>
      <c r="F156" s="84">
        <f t="shared" si="45"/>
        <v>0</v>
      </c>
      <c r="G156" s="84">
        <f t="shared" si="45"/>
        <v>0</v>
      </c>
      <c r="H156" s="84">
        <f t="shared" si="45"/>
        <v>0</v>
      </c>
      <c r="I156" s="84">
        <f>SUM(I146:I155)</f>
        <v>60680</v>
      </c>
      <c r="J156" s="10"/>
      <c r="K156" s="10"/>
    </row>
    <row r="157" spans="1:11" x14ac:dyDescent="0.25">
      <c r="A157" s="93" t="s">
        <v>143</v>
      </c>
      <c r="B157" s="24" t="str">
        <f t="shared" ref="B157:I157" si="46">B1</f>
        <v>Operating</v>
      </c>
      <c r="C157" s="24" t="str">
        <f t="shared" si="46"/>
        <v>SPED</v>
      </c>
      <c r="D157" s="24" t="str">
        <f t="shared" si="46"/>
        <v>NSLP</v>
      </c>
      <c r="E157" s="24" t="str">
        <f t="shared" si="46"/>
        <v>Other</v>
      </c>
      <c r="F157" s="24" t="str">
        <f t="shared" si="46"/>
        <v>Title I</v>
      </c>
      <c r="G157" s="24" t="str">
        <f t="shared" si="46"/>
        <v>Title II</v>
      </c>
      <c r="H157" s="24" t="str">
        <f t="shared" si="46"/>
        <v>Title III</v>
      </c>
      <c r="I157" s="24" t="str">
        <f t="shared" si="46"/>
        <v>Total (23-24)</v>
      </c>
      <c r="J157" s="10"/>
      <c r="K157" s="10"/>
    </row>
    <row r="158" spans="1:11" x14ac:dyDescent="0.25">
      <c r="A158" s="40" t="s">
        <v>144</v>
      </c>
      <c r="B158" s="14">
        <f>8000</f>
        <v>8000</v>
      </c>
      <c r="C158" s="14"/>
      <c r="D158" s="14"/>
      <c r="E158" s="14"/>
      <c r="F158" s="14"/>
      <c r="G158" s="14"/>
      <c r="H158" s="14"/>
      <c r="I158" s="7">
        <f>SUM(B158:H158)</f>
        <v>8000</v>
      </c>
      <c r="J158" s="19"/>
    </row>
    <row r="159" spans="1:11" x14ac:dyDescent="0.25">
      <c r="A159" s="40" t="s">
        <v>145</v>
      </c>
      <c r="B159" s="14">
        <v>0</v>
      </c>
      <c r="C159" s="14">
        <f>475*B17</f>
        <v>64125</v>
      </c>
      <c r="D159" s="7"/>
      <c r="E159" s="7"/>
      <c r="F159" s="7"/>
      <c r="G159" s="7"/>
      <c r="H159" s="7"/>
      <c r="I159" s="7">
        <f t="shared" ref="I159:I171" si="47">SUM(B159:H159)</f>
        <v>64125</v>
      </c>
      <c r="J159" s="19" t="s">
        <v>257</v>
      </c>
    </row>
    <row r="160" spans="1:11" x14ac:dyDescent="0.25">
      <c r="A160" s="40" t="s">
        <v>343</v>
      </c>
      <c r="B160" s="14">
        <f>'23-24'!B160*1.05</f>
        <v>63000</v>
      </c>
      <c r="C160" s="7"/>
      <c r="D160" s="7"/>
      <c r="E160" s="7"/>
      <c r="F160" s="7"/>
      <c r="G160" s="7"/>
      <c r="H160" s="7"/>
      <c r="I160" s="7">
        <f t="shared" si="47"/>
        <v>63000</v>
      </c>
      <c r="J160" s="19"/>
    </row>
    <row r="161" spans="1:11" x14ac:dyDescent="0.25">
      <c r="A161" s="40" t="s">
        <v>147</v>
      </c>
      <c r="B161" s="14"/>
      <c r="C161" s="7"/>
      <c r="D161" s="7"/>
      <c r="E161" s="7"/>
      <c r="F161" s="7"/>
      <c r="G161" s="7"/>
      <c r="H161" s="7"/>
      <c r="I161" s="7">
        <f t="shared" si="47"/>
        <v>0</v>
      </c>
      <c r="J161" s="19"/>
    </row>
    <row r="162" spans="1:11" x14ac:dyDescent="0.25">
      <c r="A162" s="40" t="s">
        <v>148</v>
      </c>
      <c r="B162" s="14">
        <f>495*B17</f>
        <v>66825</v>
      </c>
      <c r="C162" s="7"/>
      <c r="D162" s="7"/>
      <c r="E162" s="7"/>
      <c r="F162" s="7"/>
      <c r="G162" s="7"/>
      <c r="H162" s="7"/>
      <c r="I162" s="7">
        <f t="shared" si="47"/>
        <v>66825</v>
      </c>
      <c r="J162" s="19" t="s">
        <v>149</v>
      </c>
    </row>
    <row r="163" spans="1:11" x14ac:dyDescent="0.25">
      <c r="A163" s="40" t="s">
        <v>150</v>
      </c>
      <c r="B163" s="14">
        <f>'23-24'!B163*1.05</f>
        <v>8161.6500000000005</v>
      </c>
      <c r="C163" s="14"/>
      <c r="D163" s="14"/>
      <c r="E163" s="14"/>
      <c r="F163" s="14"/>
      <c r="G163" s="14"/>
      <c r="H163" s="14">
        <f>(240*H66)</f>
        <v>0</v>
      </c>
      <c r="I163" s="7">
        <f t="shared" si="47"/>
        <v>8161.6500000000005</v>
      </c>
      <c r="J163" s="19" t="s">
        <v>224</v>
      </c>
    </row>
    <row r="164" spans="1:11" x14ac:dyDescent="0.25">
      <c r="A164" s="40" t="s">
        <v>151</v>
      </c>
      <c r="B164" s="14">
        <f>'23-24'!B164*1.05</f>
        <v>59325</v>
      </c>
      <c r="C164" s="7"/>
      <c r="D164" s="7"/>
      <c r="E164" s="7"/>
      <c r="F164" s="7"/>
      <c r="G164" s="7"/>
      <c r="H164" s="7"/>
      <c r="I164" s="7">
        <f t="shared" si="47"/>
        <v>59325</v>
      </c>
      <c r="J164" s="19"/>
    </row>
    <row r="165" spans="1:11" x14ac:dyDescent="0.25">
      <c r="A165" s="40" t="s">
        <v>152</v>
      </c>
      <c r="B165" s="7">
        <f>5500</f>
        <v>5500</v>
      </c>
      <c r="C165" s="7"/>
      <c r="D165" s="7"/>
      <c r="E165" s="7"/>
      <c r="F165" s="7"/>
      <c r="G165" s="7"/>
      <c r="H165" s="7"/>
      <c r="I165" s="7">
        <f t="shared" si="47"/>
        <v>5500</v>
      </c>
      <c r="J165" s="19"/>
    </row>
    <row r="166" spans="1:11" x14ac:dyDescent="0.25">
      <c r="A166" s="40" t="s">
        <v>153</v>
      </c>
      <c r="B166" s="14">
        <f>50*B17+(60*12)</f>
        <v>7470</v>
      </c>
      <c r="C166" s="7"/>
      <c r="D166" s="7"/>
      <c r="E166" s="7"/>
      <c r="F166" s="7"/>
      <c r="G166" s="7"/>
      <c r="H166" s="7"/>
      <c r="I166" s="7">
        <f t="shared" si="47"/>
        <v>7470</v>
      </c>
      <c r="J166" s="19" t="s">
        <v>154</v>
      </c>
    </row>
    <row r="167" spans="1:11" x14ac:dyDescent="0.25">
      <c r="A167" s="40" t="s">
        <v>155</v>
      </c>
      <c r="B167" s="14">
        <f>15000</f>
        <v>15000</v>
      </c>
      <c r="C167" s="7"/>
      <c r="D167" s="7"/>
      <c r="E167" s="7"/>
      <c r="F167" s="7"/>
      <c r="G167" s="7"/>
      <c r="H167" s="7"/>
      <c r="I167" s="7">
        <f t="shared" si="47"/>
        <v>15000</v>
      </c>
      <c r="J167" s="19"/>
    </row>
    <row r="168" spans="1:11" x14ac:dyDescent="0.25">
      <c r="A168" s="40" t="s">
        <v>156</v>
      </c>
      <c r="B168" s="14">
        <f>(B75+B76+B77+B78)*0.0125</f>
        <v>17186.325000000001</v>
      </c>
      <c r="C168" s="7"/>
      <c r="D168" s="7"/>
      <c r="E168" s="7"/>
      <c r="F168" s="7"/>
      <c r="G168" s="7"/>
      <c r="H168" s="7"/>
      <c r="I168" s="7">
        <f t="shared" si="47"/>
        <v>17186.325000000001</v>
      </c>
      <c r="J168" s="98">
        <v>1.2500000000000001E-2</v>
      </c>
      <c r="K168" s="99"/>
    </row>
    <row r="169" spans="1:11" x14ac:dyDescent="0.25">
      <c r="A169" s="40" t="s">
        <v>157</v>
      </c>
      <c r="B169" s="14">
        <f>'23-24'!B169+500</f>
        <v>10500</v>
      </c>
      <c r="C169" s="7"/>
      <c r="D169" s="7"/>
      <c r="E169" s="7"/>
      <c r="F169" s="7"/>
      <c r="G169" s="7"/>
      <c r="H169" s="7"/>
      <c r="I169" s="7">
        <f t="shared" si="47"/>
        <v>10500</v>
      </c>
      <c r="J169" s="98" t="s">
        <v>158</v>
      </c>
      <c r="K169" s="99"/>
    </row>
    <row r="170" spans="1:11" x14ac:dyDescent="0.25">
      <c r="A170" s="40" t="s">
        <v>159</v>
      </c>
      <c r="B170" s="14">
        <v>0</v>
      </c>
      <c r="C170" s="7"/>
      <c r="D170" s="7"/>
      <c r="E170" s="7"/>
      <c r="F170" s="7"/>
      <c r="G170" s="7"/>
      <c r="H170" s="7"/>
      <c r="I170" s="7">
        <f t="shared" si="47"/>
        <v>0</v>
      </c>
      <c r="J170" s="98"/>
      <c r="K170" s="99"/>
    </row>
    <row r="171" spans="1:11" x14ac:dyDescent="0.25">
      <c r="A171" s="96" t="s">
        <v>161</v>
      </c>
      <c r="B171" s="14">
        <f>B75*0.0025</f>
        <v>3177.2249999999999</v>
      </c>
      <c r="C171" s="7"/>
      <c r="D171" s="7"/>
      <c r="E171" s="7"/>
      <c r="F171" s="7"/>
      <c r="G171" s="7">
        <f>G87</f>
        <v>8000</v>
      </c>
      <c r="H171" s="7">
        <f>H88</f>
        <v>1500</v>
      </c>
      <c r="I171" s="7">
        <f t="shared" si="47"/>
        <v>12677.225</v>
      </c>
      <c r="J171" s="98" t="s">
        <v>160</v>
      </c>
      <c r="K171" s="99"/>
    </row>
    <row r="172" spans="1:11" x14ac:dyDescent="0.25">
      <c r="A172" s="83" t="s">
        <v>162</v>
      </c>
      <c r="B172" s="84">
        <f>SUM(B158:B171)</f>
        <v>264145.2</v>
      </c>
      <c r="C172" s="84">
        <f t="shared" ref="C172:H172" si="48">SUM(C158:C171)</f>
        <v>64125</v>
      </c>
      <c r="D172" s="84">
        <f t="shared" si="48"/>
        <v>0</v>
      </c>
      <c r="E172" s="84">
        <f t="shared" si="48"/>
        <v>0</v>
      </c>
      <c r="F172" s="84">
        <f t="shared" si="48"/>
        <v>0</v>
      </c>
      <c r="G172" s="84">
        <f t="shared" si="48"/>
        <v>8000</v>
      </c>
      <c r="H172" s="84">
        <f t="shared" si="48"/>
        <v>1500</v>
      </c>
      <c r="I172" s="84">
        <f>SUM(I158:I171)</f>
        <v>337770.2</v>
      </c>
      <c r="J172" s="10"/>
      <c r="K172" s="10"/>
    </row>
    <row r="173" spans="1:11" x14ac:dyDescent="0.25">
      <c r="A173" s="93" t="s">
        <v>163</v>
      </c>
      <c r="B173" s="24" t="str">
        <f t="shared" ref="B173:I173" si="49">B1</f>
        <v>Operating</v>
      </c>
      <c r="C173" s="24" t="str">
        <f t="shared" si="49"/>
        <v>SPED</v>
      </c>
      <c r="D173" s="24" t="str">
        <f t="shared" si="49"/>
        <v>NSLP</v>
      </c>
      <c r="E173" s="24" t="str">
        <f t="shared" si="49"/>
        <v>Other</v>
      </c>
      <c r="F173" s="24" t="str">
        <f t="shared" si="49"/>
        <v>Title I</v>
      </c>
      <c r="G173" s="24" t="str">
        <f t="shared" si="49"/>
        <v>Title II</v>
      </c>
      <c r="H173" s="24" t="str">
        <f t="shared" si="49"/>
        <v>Title III</v>
      </c>
      <c r="I173" s="24" t="str">
        <f t="shared" si="49"/>
        <v>Total (23-24)</v>
      </c>
      <c r="J173" s="10"/>
      <c r="K173" s="10"/>
    </row>
    <row r="174" spans="1:11" x14ac:dyDescent="0.25">
      <c r="A174" s="100" t="s">
        <v>164</v>
      </c>
      <c r="B174" s="14">
        <f>'23-24'!B174*1.03</f>
        <v>6180</v>
      </c>
      <c r="C174" s="7"/>
      <c r="D174" s="7"/>
      <c r="E174" s="7"/>
      <c r="F174" s="7"/>
      <c r="G174" s="7"/>
      <c r="H174" s="7"/>
      <c r="I174" s="7">
        <f t="shared" ref="I174:I180" si="50">SUM(B174:H174)</f>
        <v>6180</v>
      </c>
      <c r="J174" s="19"/>
    </row>
    <row r="175" spans="1:11" x14ac:dyDescent="0.25">
      <c r="A175" s="40" t="s">
        <v>165</v>
      </c>
      <c r="B175" s="14">
        <f>'23-24'!B175*1.03</f>
        <v>7210</v>
      </c>
      <c r="C175" s="7"/>
      <c r="D175" s="7"/>
      <c r="E175" s="7"/>
      <c r="F175" s="7"/>
      <c r="G175" s="7"/>
      <c r="H175" s="7"/>
      <c r="I175" s="7">
        <f t="shared" si="50"/>
        <v>7210</v>
      </c>
      <c r="J175" s="19"/>
    </row>
    <row r="176" spans="1:11" x14ac:dyDescent="0.25">
      <c r="A176" s="40" t="s">
        <v>166</v>
      </c>
      <c r="B176" s="97"/>
      <c r="C176" s="7"/>
      <c r="D176" s="7"/>
      <c r="E176" s="7"/>
      <c r="F176" s="7"/>
      <c r="G176" s="7"/>
      <c r="H176" s="7"/>
      <c r="I176" s="7">
        <f t="shared" si="50"/>
        <v>0</v>
      </c>
      <c r="J176" s="19"/>
    </row>
    <row r="177" spans="1:11" x14ac:dyDescent="0.25">
      <c r="A177" s="40" t="s">
        <v>167</v>
      </c>
      <c r="B177" s="97">
        <f>1000</f>
        <v>1000</v>
      </c>
      <c r="C177" s="7"/>
      <c r="D177" s="7"/>
      <c r="E177" s="7"/>
      <c r="F177" s="7"/>
      <c r="G177" s="7"/>
      <c r="H177" s="7"/>
      <c r="I177" s="7">
        <f t="shared" si="50"/>
        <v>1000</v>
      </c>
      <c r="J177" s="19"/>
    </row>
    <row r="178" spans="1:11" x14ac:dyDescent="0.25">
      <c r="A178" s="40" t="s">
        <v>168</v>
      </c>
      <c r="B178" s="14">
        <f>5500*1.03</f>
        <v>5665</v>
      </c>
      <c r="C178" s="7"/>
      <c r="D178" s="7"/>
      <c r="E178" s="7"/>
      <c r="F178" s="7"/>
      <c r="G178" s="7"/>
      <c r="H178" s="7"/>
      <c r="I178" s="7">
        <f t="shared" si="50"/>
        <v>5665</v>
      </c>
      <c r="J178" s="19"/>
    </row>
    <row r="179" spans="1:11" x14ac:dyDescent="0.25">
      <c r="A179" s="40" t="s">
        <v>169</v>
      </c>
      <c r="B179" s="14">
        <f>'23-24'!B179*1.06</f>
        <v>25440</v>
      </c>
      <c r="C179" s="7"/>
      <c r="D179" s="7"/>
      <c r="E179" s="7"/>
      <c r="F179" s="7"/>
      <c r="G179" s="7"/>
      <c r="H179" s="7"/>
      <c r="I179" s="7">
        <f t="shared" si="50"/>
        <v>25440</v>
      </c>
      <c r="J179" s="19"/>
    </row>
    <row r="180" spans="1:11" x14ac:dyDescent="0.25">
      <c r="A180" s="40" t="s">
        <v>170</v>
      </c>
      <c r="B180" s="88">
        <f>8500+(B17*2.5)</f>
        <v>8837.5</v>
      </c>
      <c r="C180" s="7"/>
      <c r="D180" s="7"/>
      <c r="E180" s="7"/>
      <c r="F180" s="7"/>
      <c r="G180" s="7"/>
      <c r="H180" s="7"/>
      <c r="I180" s="7">
        <f t="shared" si="50"/>
        <v>8837.5</v>
      </c>
      <c r="J180" s="19"/>
    </row>
    <row r="181" spans="1:11" x14ac:dyDescent="0.25">
      <c r="A181" s="40" t="s">
        <v>171</v>
      </c>
      <c r="B181" s="14">
        <f>'23-24'!B181*1.06</f>
        <v>11040.960000000001</v>
      </c>
      <c r="C181" s="7"/>
      <c r="D181" s="7"/>
      <c r="E181" s="7"/>
      <c r="F181" s="7"/>
      <c r="G181" s="7"/>
      <c r="H181" s="7"/>
      <c r="I181" s="7">
        <f>SUM(B181:H181)</f>
        <v>11040.960000000001</v>
      </c>
      <c r="J181" s="19"/>
    </row>
    <row r="182" spans="1:11" x14ac:dyDescent="0.25">
      <c r="A182" s="40" t="s">
        <v>172</v>
      </c>
      <c r="B182" s="14">
        <f>'23-24'!B182*1.06</f>
        <v>9660.84</v>
      </c>
      <c r="C182" s="7"/>
      <c r="D182" s="7"/>
      <c r="E182" s="7"/>
      <c r="F182" s="7"/>
      <c r="G182" s="7"/>
      <c r="H182" s="7"/>
      <c r="I182" s="7">
        <f>SUM(B182:H182)</f>
        <v>9660.84</v>
      </c>
      <c r="J182" s="19"/>
    </row>
    <row r="183" spans="1:11" x14ac:dyDescent="0.25">
      <c r="A183" s="40" t="s">
        <v>173</v>
      </c>
      <c r="B183" s="14">
        <f>'23-24'!B183*1.06</f>
        <v>13801.2</v>
      </c>
      <c r="C183" s="7"/>
      <c r="D183" s="7"/>
      <c r="E183" s="7"/>
      <c r="F183" s="7"/>
      <c r="G183" s="7"/>
      <c r="H183" s="7"/>
      <c r="I183" s="7">
        <f>SUM(B183:H183)</f>
        <v>13801.2</v>
      </c>
      <c r="J183" s="19"/>
    </row>
    <row r="184" spans="1:11" x14ac:dyDescent="0.25">
      <c r="A184" s="40" t="s">
        <v>174</v>
      </c>
      <c r="B184" s="7"/>
      <c r="C184" s="7"/>
      <c r="D184" s="14">
        <f>((B17*D23)*2.4*180)</f>
        <v>58320</v>
      </c>
      <c r="E184" s="7"/>
      <c r="F184" s="7"/>
      <c r="G184" s="7"/>
      <c r="H184" s="7"/>
      <c r="I184" s="7">
        <f t="shared" ref="I184:I197" si="51">SUM(B184:H184)</f>
        <v>58320</v>
      </c>
      <c r="J184" s="70">
        <v>2.4</v>
      </c>
      <c r="K184" s="101"/>
    </row>
    <row r="185" spans="1:11" x14ac:dyDescent="0.25">
      <c r="A185" s="40" t="s">
        <v>175</v>
      </c>
      <c r="B185" s="7"/>
      <c r="C185" s="7"/>
      <c r="D185" s="14">
        <f>((B17*D23)*3.75*180)</f>
        <v>91125</v>
      </c>
      <c r="E185" s="7"/>
      <c r="F185" s="7"/>
      <c r="G185" s="7"/>
      <c r="H185" s="7"/>
      <c r="I185" s="7">
        <f t="shared" si="51"/>
        <v>91125</v>
      </c>
      <c r="J185" s="70">
        <v>3.75</v>
      </c>
      <c r="K185" s="101"/>
    </row>
    <row r="186" spans="1:11" x14ac:dyDescent="0.25">
      <c r="A186" s="40" t="s">
        <v>176</v>
      </c>
      <c r="B186" s="7">
        <f>5000</f>
        <v>5000</v>
      </c>
      <c r="C186" s="7"/>
      <c r="D186" s="7"/>
      <c r="E186" s="7"/>
      <c r="F186" s="7"/>
      <c r="G186" s="7"/>
      <c r="H186" s="7"/>
      <c r="I186" s="7">
        <f t="shared" si="51"/>
        <v>5000</v>
      </c>
      <c r="J186" s="19"/>
    </row>
    <row r="187" spans="1:11" x14ac:dyDescent="0.25">
      <c r="A187" s="40" t="s">
        <v>177</v>
      </c>
      <c r="B187" s="7">
        <v>1500</v>
      </c>
      <c r="C187" s="7"/>
      <c r="D187" s="7"/>
      <c r="E187" s="7"/>
      <c r="F187" s="7"/>
      <c r="G187" s="7"/>
      <c r="H187" s="7"/>
      <c r="I187" s="7">
        <f t="shared" si="51"/>
        <v>1500</v>
      </c>
      <c r="J187" s="19"/>
    </row>
    <row r="188" spans="1:11" x14ac:dyDescent="0.25">
      <c r="A188" s="40" t="s">
        <v>178</v>
      </c>
      <c r="B188" s="7">
        <f>60*20</f>
        <v>1200</v>
      </c>
      <c r="C188" s="7">
        <v>0</v>
      </c>
      <c r="D188" s="7">
        <v>0</v>
      </c>
      <c r="E188" s="7"/>
      <c r="F188" s="7"/>
      <c r="G188" s="7"/>
      <c r="H188" s="7"/>
      <c r="I188" s="7">
        <f t="shared" si="51"/>
        <v>1200</v>
      </c>
      <c r="J188" s="19"/>
    </row>
    <row r="189" spans="1:11" x14ac:dyDescent="0.25">
      <c r="A189" s="40" t="s">
        <v>179</v>
      </c>
      <c r="B189" s="14">
        <v>5000</v>
      </c>
      <c r="C189" s="7"/>
      <c r="D189" s="7"/>
      <c r="E189" s="7"/>
      <c r="F189" s="7"/>
      <c r="G189" s="7"/>
      <c r="H189" s="7"/>
      <c r="I189" s="7">
        <f t="shared" si="51"/>
        <v>5000</v>
      </c>
      <c r="J189" s="19"/>
    </row>
    <row r="190" spans="1:11" x14ac:dyDescent="0.25">
      <c r="A190" s="40" t="s">
        <v>180</v>
      </c>
      <c r="B190" s="14">
        <v>0</v>
      </c>
      <c r="C190" s="7"/>
      <c r="D190" s="7"/>
      <c r="E190" s="7"/>
      <c r="F190" s="7"/>
      <c r="G190" s="7"/>
      <c r="H190" s="7"/>
      <c r="I190" s="7">
        <f t="shared" si="51"/>
        <v>0</v>
      </c>
      <c r="J190" s="19"/>
    </row>
    <row r="191" spans="1:11" x14ac:dyDescent="0.25">
      <c r="A191" s="40" t="s">
        <v>181</v>
      </c>
      <c r="B191" s="14">
        <v>0</v>
      </c>
      <c r="C191" s="7"/>
      <c r="D191" s="7"/>
      <c r="E191" s="7"/>
      <c r="F191" s="7"/>
      <c r="G191" s="7"/>
      <c r="H191" s="7"/>
      <c r="I191" s="7">
        <f t="shared" si="51"/>
        <v>0</v>
      </c>
      <c r="J191" s="19"/>
    </row>
    <row r="192" spans="1:11" x14ac:dyDescent="0.25">
      <c r="A192" s="40" t="s">
        <v>182</v>
      </c>
      <c r="B192" s="14">
        <v>0</v>
      </c>
      <c r="C192" s="7"/>
      <c r="D192" s="7"/>
      <c r="E192" s="7"/>
      <c r="F192" s="7"/>
      <c r="G192" s="7"/>
      <c r="H192" s="7"/>
      <c r="I192" s="7">
        <f t="shared" si="51"/>
        <v>0</v>
      </c>
      <c r="J192" s="19"/>
    </row>
    <row r="193" spans="1:11" x14ac:dyDescent="0.25">
      <c r="A193" s="40" t="s">
        <v>183</v>
      </c>
      <c r="B193" s="14">
        <v>0</v>
      </c>
      <c r="C193" s="14"/>
      <c r="D193" s="14"/>
      <c r="E193" s="14"/>
      <c r="F193" s="14"/>
      <c r="G193" s="14"/>
      <c r="H193" s="14"/>
      <c r="I193" s="7">
        <f t="shared" si="51"/>
        <v>0</v>
      </c>
      <c r="J193" s="19"/>
    </row>
    <row r="194" spans="1:11" x14ac:dyDescent="0.25">
      <c r="A194" s="40" t="s">
        <v>184</v>
      </c>
      <c r="B194" s="14">
        <v>0</v>
      </c>
      <c r="C194" s="14"/>
      <c r="D194" s="14"/>
      <c r="E194" s="14"/>
      <c r="F194" s="14"/>
      <c r="G194" s="14"/>
      <c r="H194" s="14"/>
      <c r="I194" s="7">
        <f t="shared" si="51"/>
        <v>0</v>
      </c>
      <c r="J194" s="19"/>
    </row>
    <row r="195" spans="1:11" x14ac:dyDescent="0.25">
      <c r="A195" s="40" t="s">
        <v>185</v>
      </c>
      <c r="B195" s="14">
        <v>0</v>
      </c>
      <c r="C195" s="14"/>
      <c r="D195" s="14"/>
      <c r="E195" s="14"/>
      <c r="F195" s="14"/>
      <c r="G195" s="14"/>
      <c r="H195" s="14"/>
      <c r="I195" s="7">
        <f t="shared" si="51"/>
        <v>0</v>
      </c>
      <c r="J195" s="19"/>
    </row>
    <row r="196" spans="1:11" x14ac:dyDescent="0.25">
      <c r="A196" s="40" t="s">
        <v>362</v>
      </c>
      <c r="B196" s="14"/>
      <c r="C196" s="14"/>
      <c r="D196" s="14"/>
      <c r="E196" s="14"/>
      <c r="F196" s="14"/>
      <c r="G196" s="14"/>
      <c r="H196" s="14"/>
      <c r="I196" s="7">
        <f t="shared" si="51"/>
        <v>0</v>
      </c>
      <c r="J196" s="19"/>
    </row>
    <row r="197" spans="1:11" x14ac:dyDescent="0.25">
      <c r="A197" s="40" t="s">
        <v>186</v>
      </c>
      <c r="B197" s="104">
        <v>10000</v>
      </c>
      <c r="C197" s="14"/>
      <c r="D197" s="14"/>
      <c r="E197" s="14"/>
      <c r="F197" s="14"/>
      <c r="G197" s="14"/>
      <c r="H197" s="14"/>
      <c r="I197" s="7">
        <f t="shared" si="51"/>
        <v>10000</v>
      </c>
      <c r="J197" s="19"/>
    </row>
    <row r="198" spans="1:11" x14ac:dyDescent="0.25">
      <c r="A198" s="96" t="s">
        <v>187</v>
      </c>
      <c r="B198" s="7">
        <f>((B2*B3)*0)+0</f>
        <v>0</v>
      </c>
      <c r="C198" s="7"/>
      <c r="D198" s="7"/>
      <c r="E198" s="7"/>
      <c r="F198" s="7"/>
      <c r="G198" s="7"/>
      <c r="H198" s="7"/>
      <c r="I198" s="7">
        <f>SUM(B198:H198)</f>
        <v>0</v>
      </c>
      <c r="J198" s="103"/>
      <c r="K198" s="66"/>
    </row>
    <row r="199" spans="1:11" x14ac:dyDescent="0.25">
      <c r="A199" s="83" t="s">
        <v>188</v>
      </c>
      <c r="B199" s="84">
        <f>SUM(B174:B198)</f>
        <v>111535.5</v>
      </c>
      <c r="C199" s="84">
        <f t="shared" ref="C199:I199" si="52">SUM(C174:C198)</f>
        <v>0</v>
      </c>
      <c r="D199" s="84">
        <f t="shared" si="52"/>
        <v>149445</v>
      </c>
      <c r="E199" s="84">
        <f t="shared" si="52"/>
        <v>0</v>
      </c>
      <c r="F199" s="84">
        <f t="shared" si="52"/>
        <v>0</v>
      </c>
      <c r="G199" s="84">
        <f t="shared" si="52"/>
        <v>0</v>
      </c>
      <c r="H199" s="84">
        <f t="shared" si="52"/>
        <v>0</v>
      </c>
      <c r="I199" s="84">
        <f t="shared" si="52"/>
        <v>260980.5</v>
      </c>
      <c r="J199" s="10"/>
      <c r="K199" s="10"/>
    </row>
    <row r="200" spans="1:11" x14ac:dyDescent="0.25">
      <c r="A200" s="93" t="s">
        <v>189</v>
      </c>
      <c r="B200" s="24" t="str">
        <f t="shared" ref="B200:I200" si="53">B1</f>
        <v>Operating</v>
      </c>
      <c r="C200" s="24" t="str">
        <f t="shared" si="53"/>
        <v>SPED</v>
      </c>
      <c r="D200" s="24" t="str">
        <f t="shared" si="53"/>
        <v>NSLP</v>
      </c>
      <c r="E200" s="24" t="str">
        <f t="shared" si="53"/>
        <v>Other</v>
      </c>
      <c r="F200" s="24" t="str">
        <f t="shared" si="53"/>
        <v>Title I</v>
      </c>
      <c r="G200" s="24" t="str">
        <f t="shared" si="53"/>
        <v>Title II</v>
      </c>
      <c r="H200" s="24" t="str">
        <f t="shared" si="53"/>
        <v>Title III</v>
      </c>
      <c r="I200" s="24" t="str">
        <f t="shared" si="53"/>
        <v>Total (23-24)</v>
      </c>
      <c r="J200" s="10"/>
      <c r="K200" s="10"/>
    </row>
    <row r="201" spans="1:11" x14ac:dyDescent="0.25">
      <c r="A201" s="100" t="s">
        <v>190</v>
      </c>
      <c r="B201" s="104">
        <f>11000*4</f>
        <v>44000</v>
      </c>
      <c r="C201" s="7"/>
      <c r="D201" s="7"/>
      <c r="E201" s="7"/>
      <c r="F201" s="7"/>
      <c r="G201" s="7"/>
      <c r="H201" s="7"/>
      <c r="I201" s="7">
        <f t="shared" ref="I201:I210" si="54">SUM(B201:H201)</f>
        <v>44000</v>
      </c>
      <c r="J201" s="8"/>
      <c r="K201" s="9"/>
    </row>
    <row r="202" spans="1:11" x14ac:dyDescent="0.25">
      <c r="A202" s="40" t="s">
        <v>193</v>
      </c>
      <c r="B202" s="88">
        <f>200*4</f>
        <v>800</v>
      </c>
      <c r="C202" s="7"/>
      <c r="D202" s="7"/>
      <c r="E202" s="7"/>
      <c r="F202" s="7"/>
      <c r="G202" s="7"/>
      <c r="H202" s="7"/>
      <c r="I202" s="7">
        <f t="shared" si="54"/>
        <v>800</v>
      </c>
      <c r="J202" s="8"/>
    </row>
    <row r="203" spans="1:11" x14ac:dyDescent="0.25">
      <c r="A203" s="40" t="s">
        <v>196</v>
      </c>
      <c r="B203" s="97">
        <f>2750*4</f>
        <v>11000</v>
      </c>
      <c r="C203" s="7"/>
      <c r="D203" s="7"/>
      <c r="E203" s="7"/>
      <c r="F203" s="7"/>
      <c r="G203" s="7"/>
      <c r="H203" s="7"/>
      <c r="I203" s="7">
        <f t="shared" si="54"/>
        <v>11000</v>
      </c>
      <c r="J203" s="19"/>
    </row>
    <row r="204" spans="1:11" x14ac:dyDescent="0.25">
      <c r="A204" s="40" t="s">
        <v>198</v>
      </c>
      <c r="B204" s="97">
        <f>1000*4</f>
        <v>4000</v>
      </c>
      <c r="C204" s="7"/>
      <c r="D204" s="7"/>
      <c r="E204" s="7"/>
      <c r="F204" s="7"/>
      <c r="G204" s="7"/>
      <c r="H204" s="7"/>
      <c r="I204" s="7">
        <f t="shared" si="54"/>
        <v>4000</v>
      </c>
      <c r="J204" s="19"/>
    </row>
    <row r="205" spans="1:11" x14ac:dyDescent="0.25">
      <c r="A205" s="40" t="s">
        <v>199</v>
      </c>
      <c r="B205" s="97">
        <v>1000</v>
      </c>
      <c r="C205" s="7"/>
      <c r="D205" s="7"/>
      <c r="E205" s="7"/>
      <c r="F205" s="7"/>
      <c r="G205" s="7"/>
      <c r="H205" s="7"/>
      <c r="I205" s="7">
        <f t="shared" si="54"/>
        <v>1000</v>
      </c>
      <c r="J205" s="19"/>
    </row>
    <row r="206" spans="1:11" x14ac:dyDescent="0.25">
      <c r="A206" s="40" t="s">
        <v>201</v>
      </c>
      <c r="B206" s="88">
        <f>750*12+3000</f>
        <v>12000</v>
      </c>
      <c r="C206" s="7"/>
      <c r="D206" s="7"/>
      <c r="E206" s="7"/>
      <c r="F206" s="7"/>
      <c r="G206" s="7"/>
      <c r="H206" s="7"/>
      <c r="I206" s="7">
        <f t="shared" si="54"/>
        <v>12000</v>
      </c>
      <c r="J206" s="19"/>
    </row>
    <row r="207" spans="1:11" x14ac:dyDescent="0.25">
      <c r="A207" s="40" t="s">
        <v>203</v>
      </c>
      <c r="B207" s="7">
        <f>5000+7500</f>
        <v>12500</v>
      </c>
      <c r="C207" s="7"/>
      <c r="D207" s="7"/>
      <c r="E207" s="7"/>
      <c r="F207" s="7"/>
      <c r="G207" s="7"/>
      <c r="H207" s="7"/>
      <c r="I207" s="7">
        <f t="shared" si="54"/>
        <v>12500</v>
      </c>
      <c r="J207" s="19"/>
    </row>
    <row r="208" spans="1:11" x14ac:dyDescent="0.25">
      <c r="A208" s="40" t="s">
        <v>204</v>
      </c>
      <c r="B208" s="7">
        <v>0</v>
      </c>
      <c r="C208" s="7"/>
      <c r="D208" s="7"/>
      <c r="E208" s="7"/>
      <c r="F208" s="7"/>
      <c r="G208" s="7"/>
      <c r="H208" s="7"/>
      <c r="I208" s="7">
        <f t="shared" si="54"/>
        <v>0</v>
      </c>
      <c r="J208" s="19"/>
    </row>
    <row r="209" spans="1:11" x14ac:dyDescent="0.25">
      <c r="A209" s="40" t="s">
        <v>205</v>
      </c>
      <c r="B209" s="7">
        <v>0</v>
      </c>
      <c r="C209" s="7"/>
      <c r="D209" s="7"/>
      <c r="E209" s="7"/>
      <c r="F209" s="7"/>
      <c r="G209" s="7"/>
      <c r="H209" s="7"/>
      <c r="I209" s="7">
        <f t="shared" si="54"/>
        <v>0</v>
      </c>
      <c r="J209" s="19"/>
    </row>
    <row r="210" spans="1:11" x14ac:dyDescent="0.25">
      <c r="A210" s="96" t="s">
        <v>206</v>
      </c>
      <c r="B210" s="7">
        <v>2500</v>
      </c>
      <c r="C210" s="7"/>
      <c r="D210" s="7"/>
      <c r="E210" s="7"/>
      <c r="F210" s="7"/>
      <c r="G210" s="7"/>
      <c r="H210" s="7"/>
      <c r="I210" s="7">
        <f t="shared" si="54"/>
        <v>2500</v>
      </c>
      <c r="J210" s="19"/>
    </row>
    <row r="211" spans="1:11" x14ac:dyDescent="0.25">
      <c r="A211" s="83" t="s">
        <v>207</v>
      </c>
      <c r="B211" s="84">
        <f t="shared" ref="B211:I211" si="55">SUM(B201:B210)</f>
        <v>87800</v>
      </c>
      <c r="C211" s="84">
        <f t="shared" si="55"/>
        <v>0</v>
      </c>
      <c r="D211" s="84">
        <f t="shared" si="55"/>
        <v>0</v>
      </c>
      <c r="E211" s="84">
        <f t="shared" si="55"/>
        <v>0</v>
      </c>
      <c r="F211" s="84">
        <f t="shared" si="55"/>
        <v>0</v>
      </c>
      <c r="G211" s="84">
        <f t="shared" si="55"/>
        <v>0</v>
      </c>
      <c r="H211" s="84">
        <f t="shared" si="55"/>
        <v>0</v>
      </c>
      <c r="I211" s="84">
        <f t="shared" si="55"/>
        <v>87800</v>
      </c>
      <c r="J211" s="10"/>
      <c r="K211" s="10"/>
    </row>
    <row r="212" spans="1:11" x14ac:dyDescent="0.25">
      <c r="A212" s="105"/>
      <c r="B212" s="7"/>
      <c r="C212" s="7"/>
      <c r="D212" s="7"/>
      <c r="E212" s="7"/>
      <c r="F212" s="7"/>
      <c r="G212" s="7"/>
      <c r="H212" s="7"/>
      <c r="I212" s="7"/>
      <c r="J212" s="10"/>
      <c r="K212" s="10"/>
    </row>
    <row r="213" spans="1:11" x14ac:dyDescent="0.25">
      <c r="A213" s="83" t="s">
        <v>208</v>
      </c>
      <c r="B213" s="84">
        <f>B144+B156+B172+B199+B211</f>
        <v>1505864.3840000001</v>
      </c>
      <c r="C213" s="84">
        <f t="shared" ref="C213:I213" si="56">C144+C156+C172+C199+C211</f>
        <v>154010</v>
      </c>
      <c r="D213" s="84">
        <f t="shared" si="56"/>
        <v>186659</v>
      </c>
      <c r="E213" s="84">
        <f t="shared" si="56"/>
        <v>0</v>
      </c>
      <c r="F213" s="84">
        <f t="shared" si="56"/>
        <v>32391</v>
      </c>
      <c r="G213" s="84">
        <f t="shared" si="56"/>
        <v>8000</v>
      </c>
      <c r="H213" s="84">
        <f t="shared" si="56"/>
        <v>1500</v>
      </c>
      <c r="I213" s="84">
        <f t="shared" si="56"/>
        <v>1888424.3840000001</v>
      </c>
      <c r="J213" s="10"/>
      <c r="K213" s="10"/>
    </row>
    <row r="214" spans="1:11" x14ac:dyDescent="0.25">
      <c r="A214" s="106"/>
      <c r="B214" s="64"/>
      <c r="C214" s="64"/>
      <c r="D214" s="64"/>
      <c r="E214" s="64"/>
      <c r="F214" s="64"/>
      <c r="G214" s="64"/>
      <c r="H214" s="64"/>
      <c r="I214" s="64"/>
      <c r="J214" s="10"/>
      <c r="K214" s="10"/>
    </row>
    <row r="215" spans="1:11" x14ac:dyDescent="0.25">
      <c r="A215" s="55" t="s">
        <v>209</v>
      </c>
      <c r="B215" s="12">
        <f>500*B17</f>
        <v>67500</v>
      </c>
      <c r="C215" s="12"/>
      <c r="D215" s="12"/>
      <c r="E215" s="12"/>
      <c r="F215" s="12"/>
      <c r="G215" s="12"/>
      <c r="H215" s="12"/>
      <c r="I215" s="12">
        <f t="shared" ref="I215:I220" si="57">SUM(B215:H215)</f>
        <v>67500</v>
      </c>
      <c r="J215" s="19"/>
    </row>
    <row r="216" spans="1:11" x14ac:dyDescent="0.25">
      <c r="A216" s="55" t="s">
        <v>210</v>
      </c>
      <c r="B216" s="12">
        <v>0</v>
      </c>
      <c r="C216" s="12"/>
      <c r="D216" s="12"/>
      <c r="E216" s="12"/>
      <c r="F216" s="12"/>
      <c r="G216" s="12"/>
      <c r="H216" s="12"/>
      <c r="I216" s="12">
        <f t="shared" si="57"/>
        <v>0</v>
      </c>
      <c r="J216" s="19"/>
    </row>
    <row r="217" spans="1:11" x14ac:dyDescent="0.25">
      <c r="A217" s="55" t="s">
        <v>211</v>
      </c>
      <c r="B217" s="12">
        <v>0</v>
      </c>
      <c r="C217" s="12"/>
      <c r="D217" s="12"/>
      <c r="E217" s="12"/>
      <c r="F217" s="12"/>
      <c r="G217" s="12"/>
      <c r="H217" s="12"/>
      <c r="I217" s="12">
        <f t="shared" si="57"/>
        <v>0</v>
      </c>
      <c r="J217" s="19"/>
    </row>
    <row r="218" spans="1:11" x14ac:dyDescent="0.25">
      <c r="A218" s="55" t="s">
        <v>212</v>
      </c>
      <c r="B218" s="12">
        <v>0</v>
      </c>
      <c r="C218" s="12"/>
      <c r="D218" s="12"/>
      <c r="E218" s="12"/>
      <c r="F218" s="12"/>
      <c r="G218" s="12"/>
      <c r="H218" s="12"/>
      <c r="I218" s="12">
        <f t="shared" si="57"/>
        <v>0</v>
      </c>
      <c r="J218" s="19"/>
    </row>
    <row r="219" spans="1:11" x14ac:dyDescent="0.25">
      <c r="A219" s="55"/>
      <c r="B219" s="12">
        <v>0</v>
      </c>
      <c r="C219" s="12">
        <v>0</v>
      </c>
      <c r="D219" s="12">
        <v>0</v>
      </c>
      <c r="E219" s="12"/>
      <c r="F219" s="12"/>
      <c r="G219" s="12"/>
      <c r="H219" s="12">
        <v>0</v>
      </c>
      <c r="I219" s="12">
        <f t="shared" si="57"/>
        <v>0</v>
      </c>
      <c r="J219" s="19"/>
    </row>
    <row r="220" spans="1:11" ht="15.75" thickBot="1" x14ac:dyDescent="0.3">
      <c r="A220" s="40"/>
      <c r="B220" s="47"/>
      <c r="C220" s="47"/>
      <c r="D220" s="47"/>
      <c r="E220" s="47"/>
      <c r="F220" s="47"/>
      <c r="G220" s="47"/>
      <c r="H220" s="47"/>
      <c r="I220" s="7">
        <f t="shared" si="57"/>
        <v>0</v>
      </c>
      <c r="J220" s="10"/>
      <c r="K220" s="10"/>
    </row>
    <row r="221" spans="1:11" ht="15.75" thickBot="1" x14ac:dyDescent="0.3">
      <c r="A221" s="107" t="s">
        <v>213</v>
      </c>
      <c r="B221" s="108">
        <f t="shared" ref="B221:H221" si="58">B98-B213-B215-B216-B218-B217</f>
        <v>104541.61599999992</v>
      </c>
      <c r="C221" s="108">
        <f t="shared" si="58"/>
        <v>-66851</v>
      </c>
      <c r="D221" s="108">
        <f t="shared" si="58"/>
        <v>-25550</v>
      </c>
      <c r="E221" s="108">
        <f t="shared" si="58"/>
        <v>0</v>
      </c>
      <c r="F221" s="108">
        <f t="shared" si="58"/>
        <v>-12141</v>
      </c>
      <c r="G221" s="108">
        <f t="shared" si="58"/>
        <v>0</v>
      </c>
      <c r="H221" s="108">
        <f t="shared" si="58"/>
        <v>0</v>
      </c>
      <c r="I221" s="108">
        <f>I98-I213-I215-I216-I218-I217</f>
        <v>-0.3840000000782311</v>
      </c>
      <c r="J221" s="10"/>
      <c r="K221" s="10"/>
    </row>
    <row r="222" spans="1:11" x14ac:dyDescent="0.25">
      <c r="A222" s="109"/>
      <c r="B222" s="110">
        <f t="shared" ref="B222:I222" si="59">B221/(B98)</f>
        <v>6.2304810877367341E-2</v>
      </c>
      <c r="C222" s="110">
        <f t="shared" si="59"/>
        <v>-0.76700053924436951</v>
      </c>
      <c r="D222" s="110">
        <f t="shared" si="59"/>
        <v>-0.15858828494994073</v>
      </c>
      <c r="E222" s="110" t="e">
        <f t="shared" si="59"/>
        <v>#DIV/0!</v>
      </c>
      <c r="F222" s="110">
        <f t="shared" si="59"/>
        <v>-0.59955555555555551</v>
      </c>
      <c r="G222" s="110">
        <f t="shared" si="59"/>
        <v>0</v>
      </c>
      <c r="H222" s="110">
        <f t="shared" si="59"/>
        <v>0</v>
      </c>
      <c r="I222" s="110">
        <f t="shared" si="59"/>
        <v>-1.9632664667861894E-7</v>
      </c>
      <c r="J222" s="28"/>
      <c r="K222" s="10"/>
    </row>
    <row r="223" spans="1:11" x14ac:dyDescent="0.25">
      <c r="B223" s="111"/>
      <c r="C223" s="111"/>
      <c r="D223" s="111"/>
      <c r="E223" s="111"/>
      <c r="F223" s="111"/>
      <c r="G223" s="111"/>
      <c r="H223" s="111"/>
      <c r="I223" s="111"/>
    </row>
    <row r="224" spans="1:11" x14ac:dyDescent="0.25">
      <c r="A224" s="1" t="str">
        <f t="shared" ref="A224:I224" si="60">A1</f>
        <v>Young Women's Leadership Academy (YWLA) - FY25</v>
      </c>
      <c r="B224" s="1" t="str">
        <f t="shared" si="60"/>
        <v>Operating</v>
      </c>
      <c r="C224" s="1" t="str">
        <f t="shared" si="60"/>
        <v>SPED</v>
      </c>
      <c r="D224" s="1" t="str">
        <f t="shared" si="60"/>
        <v>NSLP</v>
      </c>
      <c r="E224" s="1" t="str">
        <f t="shared" si="60"/>
        <v>Other</v>
      </c>
      <c r="F224" s="1" t="str">
        <f t="shared" si="60"/>
        <v>Title I</v>
      </c>
      <c r="G224" s="1" t="str">
        <f t="shared" si="60"/>
        <v>Title II</v>
      </c>
      <c r="H224" s="1" t="str">
        <f t="shared" si="60"/>
        <v>Title III</v>
      </c>
      <c r="I224" s="1" t="str">
        <f t="shared" si="60"/>
        <v>Total (23-24)</v>
      </c>
      <c r="J224" s="2"/>
      <c r="K224" s="2"/>
    </row>
    <row r="226" spans="1:11" s="18" customFormat="1" x14ac:dyDescent="0.25">
      <c r="A226" s="10"/>
      <c r="B226" s="112"/>
      <c r="C226" s="112"/>
      <c r="D226" s="112"/>
      <c r="E226" s="112"/>
      <c r="F226" s="112"/>
      <c r="G226" s="112"/>
      <c r="H226" s="112"/>
      <c r="I226" s="112"/>
    </row>
    <row r="227" spans="1:11" s="18" customFormat="1" x14ac:dyDescent="0.25">
      <c r="A227" s="113" t="s">
        <v>214</v>
      </c>
      <c r="B227" s="114"/>
      <c r="C227" s="114"/>
      <c r="D227" s="114"/>
      <c r="E227" s="114"/>
      <c r="F227" s="114"/>
      <c r="G227" s="114"/>
      <c r="H227" s="114"/>
      <c r="I227" s="114">
        <f>I98-I213</f>
        <v>67499.615999999922</v>
      </c>
    </row>
    <row r="228" spans="1:11" x14ac:dyDescent="0.25">
      <c r="A228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x14ac:dyDescent="0.25">
      <c r="A229" s="115" t="str">
        <f>A215</f>
        <v>Scheduled Lease Payment</v>
      </c>
      <c r="B229" s="116"/>
      <c r="C229" s="116"/>
      <c r="D229" s="116"/>
      <c r="E229" s="116"/>
      <c r="F229" s="116"/>
      <c r="G229" s="116"/>
      <c r="H229" s="116"/>
      <c r="I229" s="116">
        <f>I215</f>
        <v>67500</v>
      </c>
      <c r="J229" s="10"/>
      <c r="K229" s="10"/>
    </row>
    <row r="230" spans="1:11" x14ac:dyDescent="0.25">
      <c r="A230" s="115" t="str">
        <f>A216</f>
        <v>Scheduled Bond Payment - Principal</v>
      </c>
      <c r="B230" s="116"/>
      <c r="C230" s="116"/>
      <c r="D230" s="116"/>
      <c r="E230" s="116"/>
      <c r="F230" s="116"/>
      <c r="G230" s="116"/>
      <c r="H230" s="116"/>
      <c r="I230" s="116">
        <f t="shared" ref="I230:I231" si="61">I216</f>
        <v>0</v>
      </c>
      <c r="J230" s="10"/>
      <c r="K230" s="10"/>
    </row>
    <row r="231" spans="1:11" x14ac:dyDescent="0.25">
      <c r="A231" s="115" t="str">
        <f>A217</f>
        <v>Scheduled Bond Payment - Interest</v>
      </c>
      <c r="B231" s="116"/>
      <c r="C231" s="116"/>
      <c r="D231" s="116"/>
      <c r="E231" s="116"/>
      <c r="F231" s="116"/>
      <c r="G231" s="116"/>
      <c r="H231" s="116"/>
      <c r="I231" s="116">
        <f t="shared" si="61"/>
        <v>0</v>
      </c>
      <c r="J231" s="10"/>
      <c r="K231" s="10"/>
    </row>
    <row r="232" spans="1:11" x14ac:dyDescent="0.25">
      <c r="A232"/>
      <c r="B232" s="116"/>
      <c r="C232" s="116"/>
      <c r="D232" s="116"/>
      <c r="E232" s="116"/>
      <c r="F232" s="116"/>
      <c r="G232" s="116"/>
      <c r="H232" s="116"/>
      <c r="I232" s="116"/>
      <c r="J232" s="10"/>
      <c r="K232" s="10"/>
    </row>
    <row r="233" spans="1:11" x14ac:dyDescent="0.25">
      <c r="A233" s="113" t="s">
        <v>215</v>
      </c>
      <c r="B233" s="117"/>
      <c r="C233" s="117"/>
      <c r="D233" s="117"/>
      <c r="E233" s="117"/>
      <c r="F233" s="117"/>
      <c r="G233" s="117"/>
      <c r="H233" s="117"/>
      <c r="I233" s="117">
        <f>SUM(I229:I231)</f>
        <v>67500</v>
      </c>
      <c r="J233" s="10"/>
      <c r="K233" s="10"/>
    </row>
    <row r="234" spans="1:11" x14ac:dyDescent="0.25">
      <c r="A234" s="118" t="s">
        <v>216</v>
      </c>
      <c r="B234" s="119"/>
      <c r="C234" s="119"/>
      <c r="D234" s="119"/>
      <c r="E234" s="119"/>
      <c r="F234" s="119"/>
      <c r="G234" s="119"/>
      <c r="H234" s="119"/>
      <c r="I234" s="119">
        <f>I227/I233</f>
        <v>0.99999431111110992</v>
      </c>
      <c r="J234" s="120"/>
      <c r="K234" s="120"/>
    </row>
    <row r="235" spans="1:11" x14ac:dyDescent="0.25">
      <c r="A235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x14ac:dyDescent="0.25">
      <c r="A236" s="121" t="s">
        <v>217</v>
      </c>
      <c r="B236" s="122"/>
      <c r="C236" s="122"/>
      <c r="D236" s="122"/>
      <c r="E236" s="122"/>
      <c r="F236" s="122"/>
      <c r="G236" s="122"/>
      <c r="H236" s="122"/>
      <c r="I236" s="122"/>
      <c r="J236" s="10"/>
      <c r="K236" s="10"/>
    </row>
    <row r="237" spans="1:11" x14ac:dyDescent="0.25">
      <c r="A237" t="s">
        <v>218</v>
      </c>
      <c r="B237" s="123"/>
      <c r="C237" s="123"/>
      <c r="D237" s="123"/>
      <c r="E237" s="123"/>
      <c r="F237" s="123"/>
      <c r="G237" s="123"/>
      <c r="H237" s="123"/>
      <c r="I237" s="124"/>
      <c r="J237" s="10"/>
      <c r="K237" s="10"/>
    </row>
    <row r="238" spans="1:11" x14ac:dyDescent="0.25">
      <c r="A238" s="10" t="s">
        <v>219</v>
      </c>
      <c r="B238" s="123"/>
      <c r="C238" s="123"/>
      <c r="D238" s="123"/>
      <c r="E238" s="123"/>
      <c r="F238" s="123"/>
      <c r="G238" s="123"/>
      <c r="H238" s="123"/>
      <c r="I238" s="123"/>
      <c r="J238" s="10"/>
      <c r="K238" s="10"/>
    </row>
    <row r="239" spans="1:11" x14ac:dyDescent="0.25">
      <c r="A239" s="10" t="s">
        <v>220</v>
      </c>
      <c r="B239" s="123"/>
      <c r="C239" s="123"/>
      <c r="D239" s="123"/>
      <c r="E239" s="123"/>
      <c r="F239" s="123"/>
      <c r="G239" s="123"/>
      <c r="H239" s="123"/>
      <c r="I239" s="123"/>
      <c r="J239" s="120"/>
      <c r="K239" s="120"/>
    </row>
    <row r="240" spans="1:11" x14ac:dyDescent="0.25">
      <c r="A240" s="125" t="s">
        <v>221</v>
      </c>
      <c r="B240" s="126"/>
      <c r="C240" s="126"/>
      <c r="D240" s="126"/>
      <c r="E240" s="126"/>
      <c r="F240" s="126"/>
      <c r="G240" s="126"/>
      <c r="H240" s="126"/>
      <c r="I240" s="126">
        <f>SUM(I237:I239)</f>
        <v>0</v>
      </c>
      <c r="J240" s="10"/>
      <c r="K240" s="10"/>
    </row>
    <row r="241" spans="1:11" x14ac:dyDescent="0.25">
      <c r="A241" s="127" t="s">
        <v>222</v>
      </c>
      <c r="B241" s="128"/>
      <c r="C241" s="128"/>
      <c r="D241" s="128"/>
      <c r="E241" s="128"/>
      <c r="F241" s="128"/>
      <c r="G241" s="128"/>
      <c r="H241" s="128"/>
      <c r="I241" s="128">
        <f>I240/((SUM(I213:I219))/365)</f>
        <v>0</v>
      </c>
      <c r="J241" s="10"/>
      <c r="K241" s="10"/>
    </row>
    <row r="242" spans="1:11" x14ac:dyDescent="0.25">
      <c r="A242"/>
      <c r="B242" s="129"/>
    </row>
    <row r="243" spans="1:11" x14ac:dyDescent="0.25">
      <c r="C243" s="130"/>
      <c r="D243" s="130"/>
      <c r="E243" s="130"/>
      <c r="F243" s="130"/>
      <c r="G243" s="130"/>
      <c r="H243" s="130"/>
      <c r="I243" s="130"/>
    </row>
  </sheetData>
  <pageMargins left="0.7" right="0.7" top="0.75" bottom="0.75" header="0.3" footer="0.3"/>
  <pageSetup scale="49" orientation="portrait" r:id="rId1"/>
  <headerFooter>
    <oddFooter>&amp;LPage &amp;P&amp;C
&amp;R
 &amp;G</oddFooter>
  </headerFooter>
  <rowBreaks count="2" manualBreakCount="2">
    <brk id="71" max="8" man="1"/>
    <brk id="156" max="8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topLeftCell="A66" zoomScale="80" zoomScaleNormal="80" workbookViewId="0">
      <selection activeCell="B96" sqref="B96"/>
    </sheetView>
  </sheetViews>
  <sheetFormatPr defaultColWidth="8.7109375" defaultRowHeight="15" x14ac:dyDescent="0.25"/>
  <cols>
    <col min="1" max="1" width="56.5703125" style="10" customWidth="1"/>
    <col min="2" max="9" width="15.7109375" style="112" customWidth="1"/>
    <col min="10" max="10" width="44" style="18" customWidth="1"/>
    <col min="11" max="11" width="6.5703125" style="18" customWidth="1"/>
    <col min="12" max="16384" width="8.7109375" style="10"/>
  </cols>
  <sheetData>
    <row r="1" spans="1:11" s="5" customFormat="1" x14ac:dyDescent="0.25">
      <c r="A1" s="1" t="s">
        <v>245</v>
      </c>
      <c r="B1" s="1" t="s">
        <v>0</v>
      </c>
      <c r="C1" s="1" t="s">
        <v>1</v>
      </c>
      <c r="D1" s="1" t="s">
        <v>2</v>
      </c>
      <c r="E1" s="1" t="s">
        <v>223</v>
      </c>
      <c r="F1" s="1" t="s">
        <v>3</v>
      </c>
      <c r="G1" s="1" t="s">
        <v>4</v>
      </c>
      <c r="H1" s="1" t="s">
        <v>5</v>
      </c>
      <c r="I1" s="1" t="s">
        <v>6</v>
      </c>
      <c r="J1" s="2"/>
      <c r="K1" s="2"/>
    </row>
    <row r="2" spans="1:11" x14ac:dyDescent="0.25">
      <c r="A2" s="6" t="s">
        <v>11</v>
      </c>
      <c r="B2" s="7">
        <f>9414*1.013</f>
        <v>9536.3819999999996</v>
      </c>
      <c r="C2" s="7"/>
      <c r="D2" s="7"/>
      <c r="E2" s="7"/>
      <c r="F2" s="7"/>
      <c r="G2" s="7"/>
      <c r="H2" s="7"/>
      <c r="I2" s="7">
        <f>SUM(B2:H2)</f>
        <v>9536.3819999999996</v>
      </c>
      <c r="J2" s="8"/>
      <c r="K2" s="9"/>
    </row>
    <row r="3" spans="1:11" x14ac:dyDescent="0.25">
      <c r="A3" s="11" t="s">
        <v>12</v>
      </c>
      <c r="B3" s="12">
        <f t="shared" ref="B3" si="0">B4+B5+B6+B7+B8+B9+B10+B11+B12+B13+B14+B15+B16</f>
        <v>150</v>
      </c>
      <c r="C3" s="12"/>
      <c r="D3" s="12"/>
      <c r="E3" s="12"/>
      <c r="F3" s="12"/>
      <c r="G3" s="12"/>
      <c r="H3" s="12"/>
      <c r="I3" s="12">
        <f t="shared" ref="I3:I16" si="1">SUM(B3:H3)</f>
        <v>150</v>
      </c>
      <c r="J3" s="8"/>
      <c r="K3" s="9"/>
    </row>
    <row r="4" spans="1:11" x14ac:dyDescent="0.25">
      <c r="A4" s="13" t="s">
        <v>13</v>
      </c>
      <c r="B4" s="7">
        <v>0</v>
      </c>
      <c r="C4" s="14"/>
      <c r="D4" s="14"/>
      <c r="E4" s="14"/>
      <c r="F4" s="14"/>
      <c r="G4" s="14"/>
      <c r="H4" s="14"/>
      <c r="I4" s="14">
        <f t="shared" si="1"/>
        <v>0</v>
      </c>
      <c r="J4" s="15">
        <f>B4/25</f>
        <v>0</v>
      </c>
      <c r="K4" s="16"/>
    </row>
    <row r="5" spans="1:11" x14ac:dyDescent="0.25">
      <c r="A5" s="11" t="s">
        <v>14</v>
      </c>
      <c r="B5" s="7">
        <v>0</v>
      </c>
      <c r="C5" s="14"/>
      <c r="D5" s="14"/>
      <c r="E5" s="14"/>
      <c r="F5" s="14"/>
      <c r="G5" s="14"/>
      <c r="H5" s="14"/>
      <c r="I5" s="14">
        <f t="shared" si="1"/>
        <v>0</v>
      </c>
      <c r="J5" s="15">
        <f>B5/26</f>
        <v>0</v>
      </c>
      <c r="K5" s="16"/>
    </row>
    <row r="6" spans="1:11" x14ac:dyDescent="0.25">
      <c r="A6" s="11" t="s">
        <v>15</v>
      </c>
      <c r="B6" s="7">
        <v>0</v>
      </c>
      <c r="C6" s="14"/>
      <c r="D6" s="14"/>
      <c r="E6" s="14"/>
      <c r="F6" s="14"/>
      <c r="G6" s="14"/>
      <c r="H6" s="14"/>
      <c r="I6" s="14">
        <f t="shared" si="1"/>
        <v>0</v>
      </c>
      <c r="J6" s="15">
        <f>B6/26</f>
        <v>0</v>
      </c>
      <c r="K6" s="16"/>
    </row>
    <row r="7" spans="1:11" x14ac:dyDescent="0.25">
      <c r="A7" s="17" t="s">
        <v>16</v>
      </c>
      <c r="B7" s="7">
        <v>0</v>
      </c>
      <c r="C7" s="14"/>
      <c r="D7" s="14"/>
      <c r="E7" s="14"/>
      <c r="F7" s="14"/>
      <c r="G7" s="14"/>
      <c r="H7" s="14"/>
      <c r="I7" s="14">
        <f t="shared" si="1"/>
        <v>0</v>
      </c>
      <c r="J7" s="15">
        <f>B7/26</f>
        <v>0</v>
      </c>
      <c r="K7" s="16"/>
    </row>
    <row r="8" spans="1:11" x14ac:dyDescent="0.25">
      <c r="A8" s="17" t="s">
        <v>17</v>
      </c>
      <c r="B8" s="7">
        <v>0</v>
      </c>
      <c r="C8" s="14"/>
      <c r="D8" s="14"/>
      <c r="E8" s="14"/>
      <c r="F8" s="14"/>
      <c r="G8" s="14"/>
      <c r="H8" s="14"/>
      <c r="I8" s="14">
        <f>SUM(B8:H8)</f>
        <v>0</v>
      </c>
      <c r="J8" s="15">
        <f>B8/27</f>
        <v>0</v>
      </c>
      <c r="K8" s="16"/>
    </row>
    <row r="9" spans="1:11" x14ac:dyDescent="0.25">
      <c r="A9" s="17" t="s">
        <v>18</v>
      </c>
      <c r="B9" s="7">
        <v>0</v>
      </c>
      <c r="C9" s="14"/>
      <c r="D9" s="14"/>
      <c r="E9" s="14"/>
      <c r="F9" s="14"/>
      <c r="G9" s="14"/>
      <c r="H9" s="14"/>
      <c r="I9" s="14">
        <f t="shared" si="1"/>
        <v>0</v>
      </c>
      <c r="J9" s="15">
        <f>B9/27</f>
        <v>0</v>
      </c>
      <c r="K9" s="16"/>
    </row>
    <row r="10" spans="1:11" x14ac:dyDescent="0.25">
      <c r="A10" s="17" t="s">
        <v>19</v>
      </c>
      <c r="B10" s="7">
        <f>30</f>
        <v>30</v>
      </c>
      <c r="C10" s="7"/>
      <c r="D10" s="7"/>
      <c r="E10" s="7"/>
      <c r="F10" s="7"/>
      <c r="G10" s="7"/>
      <c r="H10" s="7"/>
      <c r="I10" s="14">
        <f t="shared" si="1"/>
        <v>30</v>
      </c>
      <c r="J10" s="15">
        <v>1</v>
      </c>
      <c r="K10" s="16"/>
    </row>
    <row r="11" spans="1:11" x14ac:dyDescent="0.25">
      <c r="A11" s="17" t="s">
        <v>20</v>
      </c>
      <c r="B11" s="7">
        <f>30</f>
        <v>30</v>
      </c>
      <c r="C11" s="7"/>
      <c r="D11" s="7"/>
      <c r="E11" s="7"/>
      <c r="F11" s="7"/>
      <c r="G11" s="7"/>
      <c r="H11" s="7"/>
      <c r="I11" s="14">
        <f t="shared" si="1"/>
        <v>30</v>
      </c>
      <c r="J11" s="15">
        <v>1</v>
      </c>
      <c r="K11" s="16"/>
    </row>
    <row r="12" spans="1:11" x14ac:dyDescent="0.25">
      <c r="A12" s="17" t="s">
        <v>21</v>
      </c>
      <c r="B12" s="7">
        <f>25</f>
        <v>25</v>
      </c>
      <c r="C12" s="7"/>
      <c r="D12" s="7"/>
      <c r="E12" s="7"/>
      <c r="F12" s="7"/>
      <c r="G12" s="7"/>
      <c r="H12" s="7"/>
      <c r="I12" s="14">
        <f t="shared" si="1"/>
        <v>25</v>
      </c>
      <c r="J12" s="15">
        <v>1</v>
      </c>
      <c r="K12" s="16"/>
    </row>
    <row r="13" spans="1:11" x14ac:dyDescent="0.25">
      <c r="A13" s="17" t="s">
        <v>22</v>
      </c>
      <c r="B13" s="7">
        <f>25</f>
        <v>25</v>
      </c>
      <c r="C13" s="7"/>
      <c r="D13" s="7"/>
      <c r="E13" s="7"/>
      <c r="F13" s="7"/>
      <c r="G13" s="7"/>
      <c r="H13" s="7"/>
      <c r="I13" s="14">
        <f t="shared" si="1"/>
        <v>25</v>
      </c>
      <c r="J13" s="15">
        <v>1</v>
      </c>
    </row>
    <row r="14" spans="1:11" x14ac:dyDescent="0.25">
      <c r="A14" s="17" t="s">
        <v>23</v>
      </c>
      <c r="B14" s="7">
        <v>20</v>
      </c>
      <c r="C14" s="7"/>
      <c r="D14" s="7"/>
      <c r="E14" s="7"/>
      <c r="F14" s="7"/>
      <c r="G14" s="7"/>
      <c r="H14" s="7"/>
      <c r="I14" s="14">
        <f t="shared" si="1"/>
        <v>20</v>
      </c>
      <c r="J14" s="15">
        <v>1</v>
      </c>
    </row>
    <row r="15" spans="1:11" x14ac:dyDescent="0.25">
      <c r="A15" s="17" t="s">
        <v>24</v>
      </c>
      <c r="B15" s="7">
        <v>10</v>
      </c>
      <c r="C15" s="7"/>
      <c r="D15" s="7"/>
      <c r="E15" s="7"/>
      <c r="F15" s="7"/>
      <c r="G15" s="7"/>
      <c r="H15" s="7"/>
      <c r="I15" s="14">
        <f t="shared" si="1"/>
        <v>10</v>
      </c>
      <c r="J15" s="15">
        <v>1</v>
      </c>
    </row>
    <row r="16" spans="1:11" x14ac:dyDescent="0.25">
      <c r="A16" s="17" t="s">
        <v>25</v>
      </c>
      <c r="B16" s="7">
        <v>10</v>
      </c>
      <c r="C16" s="7"/>
      <c r="D16" s="7"/>
      <c r="E16" s="7"/>
      <c r="F16" s="7"/>
      <c r="G16" s="7"/>
      <c r="H16" s="7"/>
      <c r="I16" s="14">
        <f t="shared" si="1"/>
        <v>10</v>
      </c>
      <c r="J16" s="15">
        <v>1</v>
      </c>
    </row>
    <row r="17" spans="1:11" x14ac:dyDescent="0.25">
      <c r="A17" s="20" t="s">
        <v>12</v>
      </c>
      <c r="B17" s="12">
        <f t="shared" ref="B17:H17" si="2">SUM(B4:B16)</f>
        <v>150</v>
      </c>
      <c r="C17" s="12">
        <f t="shared" si="2"/>
        <v>0</v>
      </c>
      <c r="D17" s="12">
        <f t="shared" si="2"/>
        <v>0</v>
      </c>
      <c r="E17" s="12"/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>SUM(I4:I16)</f>
        <v>150</v>
      </c>
      <c r="J17" s="15">
        <f>SUM(J4:J16)</f>
        <v>7</v>
      </c>
      <c r="K17" s="21"/>
    </row>
    <row r="18" spans="1:11" x14ac:dyDescent="0.25">
      <c r="A18" s="17"/>
      <c r="B18" s="7"/>
      <c r="C18" s="22"/>
      <c r="D18" s="22"/>
      <c r="E18" s="22"/>
      <c r="F18" s="22"/>
      <c r="G18" s="22"/>
      <c r="H18" s="22"/>
      <c r="I18" s="22"/>
      <c r="J18" s="10"/>
      <c r="K18" s="10"/>
    </row>
    <row r="19" spans="1:11" x14ac:dyDescent="0.25">
      <c r="A19" s="23" t="s">
        <v>26</v>
      </c>
      <c r="B19" s="24" t="str">
        <f>B1</f>
        <v>Operating</v>
      </c>
      <c r="C19" s="24" t="str">
        <f>C1</f>
        <v>SPED</v>
      </c>
      <c r="D19" s="24" t="str">
        <f>D1</f>
        <v>NSLP</v>
      </c>
      <c r="E19" s="24" t="str">
        <f>E1</f>
        <v>Other</v>
      </c>
      <c r="F19" s="24" t="str">
        <f t="shared" ref="F19:G19" si="3">F1</f>
        <v>Title I</v>
      </c>
      <c r="G19" s="24" t="str">
        <f t="shared" si="3"/>
        <v>Title II</v>
      </c>
      <c r="H19" s="24" t="str">
        <f>H1</f>
        <v>Title III</v>
      </c>
      <c r="I19" s="24" t="str">
        <f>I1</f>
        <v>Total (23-24)</v>
      </c>
      <c r="J19" s="25"/>
      <c r="K19" s="25"/>
    </row>
    <row r="20" spans="1:11" x14ac:dyDescent="0.25">
      <c r="A20" s="17" t="s">
        <v>27</v>
      </c>
      <c r="B20" s="7"/>
      <c r="C20" s="7">
        <f>('24-25'!C20/'24-25'!B17)*'25-26'!B17</f>
        <v>18.888888888888886</v>
      </c>
      <c r="D20" s="7"/>
      <c r="E20" s="7"/>
      <c r="F20" s="7"/>
      <c r="G20" s="7"/>
      <c r="H20" s="7"/>
      <c r="I20" s="7">
        <f>SUM(B20:H20)</f>
        <v>18.888888888888886</v>
      </c>
      <c r="J20" s="26" t="s">
        <v>28</v>
      </c>
      <c r="K20" s="27"/>
    </row>
    <row r="21" spans="1:11" x14ac:dyDescent="0.25">
      <c r="A21" s="17" t="s">
        <v>29</v>
      </c>
      <c r="B21" s="7">
        <f>('24-25'!B21/'24-25'!B17)*'25-26'!B17</f>
        <v>25.555555555555554</v>
      </c>
      <c r="C21" s="7"/>
      <c r="D21" s="7"/>
      <c r="E21" s="7"/>
      <c r="F21" s="7"/>
      <c r="G21" s="7"/>
      <c r="H21" s="7"/>
      <c r="I21" s="7">
        <f>SUM(B21:H21)</f>
        <v>25.555555555555554</v>
      </c>
      <c r="J21" s="26"/>
      <c r="K21" s="27"/>
    </row>
    <row r="22" spans="1:11" x14ac:dyDescent="0.25">
      <c r="A22" s="17" t="s">
        <v>30</v>
      </c>
      <c r="B22" s="14">
        <v>0</v>
      </c>
      <c r="C22" s="14"/>
      <c r="D22" s="14"/>
      <c r="E22" s="14"/>
      <c r="F22" s="14"/>
      <c r="G22" s="14"/>
      <c r="H22" s="14"/>
      <c r="I22" s="7">
        <f>SUM(B22:H22)</f>
        <v>0</v>
      </c>
      <c r="J22" s="19"/>
    </row>
    <row r="23" spans="1:11" x14ac:dyDescent="0.25">
      <c r="A23" s="17" t="s">
        <v>31</v>
      </c>
      <c r="B23" s="14">
        <f>B17-(C20+B21)</f>
        <v>105.55555555555556</v>
      </c>
      <c r="C23" s="29"/>
      <c r="D23" s="29">
        <v>1</v>
      </c>
      <c r="E23" s="29"/>
      <c r="F23" s="29"/>
      <c r="G23" s="29"/>
      <c r="H23" s="29"/>
      <c r="I23" s="29">
        <f>SUM(C23:H23)</f>
        <v>1</v>
      </c>
      <c r="J23" s="30"/>
      <c r="K23" s="31"/>
    </row>
    <row r="24" spans="1:11" x14ac:dyDescent="0.25">
      <c r="A24" s="17" t="s">
        <v>351</v>
      </c>
      <c r="B24" s="7">
        <v>2</v>
      </c>
      <c r="C24" s="7"/>
      <c r="D24" s="7"/>
      <c r="E24" s="7"/>
      <c r="F24" s="7"/>
      <c r="G24" s="7"/>
      <c r="H24" s="7"/>
      <c r="I24" s="7">
        <f>SUM(B24:H24)</f>
        <v>2</v>
      </c>
      <c r="J24" s="30"/>
      <c r="K24" s="31"/>
    </row>
    <row r="25" spans="1:11" x14ac:dyDescent="0.25">
      <c r="A25" s="17"/>
      <c r="B25" s="7"/>
      <c r="C25" s="7"/>
      <c r="D25" s="7"/>
      <c r="E25" s="7"/>
      <c r="F25" s="7"/>
      <c r="G25" s="7"/>
      <c r="H25" s="7"/>
      <c r="I25" s="7"/>
      <c r="J25" s="25"/>
      <c r="K25" s="10"/>
    </row>
    <row r="26" spans="1:11" x14ac:dyDescent="0.25">
      <c r="A26" s="33" t="s">
        <v>32</v>
      </c>
      <c r="B26" s="24" t="str">
        <f>B1</f>
        <v>Operating</v>
      </c>
      <c r="C26" s="24" t="str">
        <f>C1</f>
        <v>SPED</v>
      </c>
      <c r="D26" s="24" t="str">
        <f>D1</f>
        <v>NSLP</v>
      </c>
      <c r="E26" s="24" t="str">
        <f>E1</f>
        <v>Other</v>
      </c>
      <c r="F26" s="24" t="str">
        <f t="shared" ref="F26:G26" si="4">F1</f>
        <v>Title I</v>
      </c>
      <c r="G26" s="24" t="str">
        <f t="shared" si="4"/>
        <v>Title II</v>
      </c>
      <c r="H26" s="24" t="str">
        <f>H1</f>
        <v>Title III</v>
      </c>
      <c r="I26" s="24" t="str">
        <f>I1</f>
        <v>Total (23-24)</v>
      </c>
      <c r="J26" s="25"/>
      <c r="K26" s="25"/>
    </row>
    <row r="27" spans="1:11" x14ac:dyDescent="0.25">
      <c r="A27" s="34" t="s">
        <v>33</v>
      </c>
      <c r="B27" s="35">
        <v>7</v>
      </c>
      <c r="C27" s="35"/>
      <c r="D27" s="35"/>
      <c r="E27" s="35"/>
      <c r="F27" s="35"/>
      <c r="G27" s="35"/>
      <c r="H27" s="35"/>
      <c r="I27" s="35">
        <f>SUM(B27:H27)</f>
        <v>7</v>
      </c>
      <c r="J27" s="15">
        <f>I27/6</f>
        <v>1.1666666666666667</v>
      </c>
      <c r="K27" s="16"/>
    </row>
    <row r="28" spans="1:11" x14ac:dyDescent="0.25">
      <c r="A28" s="34" t="s">
        <v>34</v>
      </c>
      <c r="B28" s="37">
        <v>0</v>
      </c>
      <c r="C28" s="37">
        <v>1</v>
      </c>
      <c r="D28" s="37"/>
      <c r="E28" s="37"/>
      <c r="F28" s="37"/>
      <c r="G28" s="37"/>
      <c r="H28" s="37"/>
      <c r="I28" s="35">
        <f>SUM(B28:H28)</f>
        <v>1</v>
      </c>
      <c r="J28" s="15">
        <f>I20/21</f>
        <v>0.89947089947089931</v>
      </c>
      <c r="K28" s="16"/>
    </row>
    <row r="29" spans="1:11" x14ac:dyDescent="0.25">
      <c r="A29" s="34" t="s">
        <v>35</v>
      </c>
      <c r="B29" s="35">
        <v>0</v>
      </c>
      <c r="C29" s="35"/>
      <c r="D29" s="35"/>
      <c r="E29" s="35"/>
      <c r="F29" s="35"/>
      <c r="G29" s="35"/>
      <c r="H29" s="35"/>
      <c r="I29" s="35">
        <f t="shared" ref="I29:I35" si="5">SUM(B29:H29)</f>
        <v>0</v>
      </c>
      <c r="J29" s="19"/>
    </row>
    <row r="30" spans="1:11" x14ac:dyDescent="0.25">
      <c r="A30" s="34" t="s">
        <v>36</v>
      </c>
      <c r="B30" s="35">
        <v>0</v>
      </c>
      <c r="C30" s="35"/>
      <c r="D30" s="35"/>
      <c r="E30" s="35"/>
      <c r="F30" s="35"/>
      <c r="G30" s="35"/>
      <c r="H30" s="35"/>
      <c r="I30" s="35">
        <f t="shared" si="5"/>
        <v>0</v>
      </c>
      <c r="J30" s="19"/>
    </row>
    <row r="31" spans="1:11" x14ac:dyDescent="0.25">
      <c r="A31" s="34" t="s">
        <v>37</v>
      </c>
      <c r="B31" s="35">
        <v>0</v>
      </c>
      <c r="C31" s="35"/>
      <c r="D31" s="35"/>
      <c r="E31" s="35"/>
      <c r="F31" s="35"/>
      <c r="G31" s="35"/>
      <c r="H31" s="35"/>
      <c r="I31" s="35">
        <f t="shared" si="5"/>
        <v>0</v>
      </c>
      <c r="J31" s="19"/>
    </row>
    <row r="32" spans="1:11" x14ac:dyDescent="0.25">
      <c r="A32" s="39" t="s">
        <v>38</v>
      </c>
      <c r="B32" s="35">
        <v>0</v>
      </c>
      <c r="C32" s="35"/>
      <c r="D32" s="35"/>
      <c r="E32" s="35"/>
      <c r="F32" s="35"/>
      <c r="G32" s="35"/>
      <c r="H32" s="35"/>
      <c r="I32" s="35">
        <f t="shared" si="5"/>
        <v>0</v>
      </c>
      <c r="J32" s="19"/>
    </row>
    <row r="33" spans="1:12" x14ac:dyDescent="0.25">
      <c r="A33" s="39" t="s">
        <v>39</v>
      </c>
      <c r="B33" s="35">
        <v>0</v>
      </c>
      <c r="C33" s="35"/>
      <c r="D33" s="35"/>
      <c r="E33" s="35"/>
      <c r="F33" s="35"/>
      <c r="G33" s="35"/>
      <c r="H33" s="35"/>
      <c r="I33" s="35">
        <f t="shared" si="5"/>
        <v>0</v>
      </c>
      <c r="J33" s="19"/>
    </row>
    <row r="34" spans="1:12" x14ac:dyDescent="0.25">
      <c r="A34" s="39" t="s">
        <v>40</v>
      </c>
      <c r="B34" s="35">
        <v>1</v>
      </c>
      <c r="C34" s="35"/>
      <c r="D34" s="35"/>
      <c r="E34" s="35"/>
      <c r="F34" s="35"/>
      <c r="G34" s="35"/>
      <c r="H34" s="35"/>
      <c r="I34" s="35">
        <f t="shared" si="5"/>
        <v>1</v>
      </c>
      <c r="J34" s="19"/>
    </row>
    <row r="35" spans="1:12" x14ac:dyDescent="0.25">
      <c r="A35" s="40" t="s">
        <v>41</v>
      </c>
      <c r="B35" s="35">
        <v>0</v>
      </c>
      <c r="C35" s="35"/>
      <c r="D35" s="35"/>
      <c r="E35" s="35"/>
      <c r="F35" s="35"/>
      <c r="G35" s="35"/>
      <c r="H35" s="35"/>
      <c r="I35" s="35">
        <f t="shared" si="5"/>
        <v>0</v>
      </c>
      <c r="J35" s="19"/>
    </row>
    <row r="36" spans="1:12" x14ac:dyDescent="0.25">
      <c r="A36" s="33" t="s">
        <v>42</v>
      </c>
      <c r="B36" s="41">
        <f>SUM(B27:B35)</f>
        <v>8</v>
      </c>
      <c r="C36" s="41">
        <f t="shared" ref="C36:H36" si="6">SUM(C27:C35)</f>
        <v>1</v>
      </c>
      <c r="D36" s="41">
        <f t="shared" si="6"/>
        <v>0</v>
      </c>
      <c r="E36" s="41">
        <f t="shared" si="6"/>
        <v>0</v>
      </c>
      <c r="F36" s="41">
        <f t="shared" si="6"/>
        <v>0</v>
      </c>
      <c r="G36" s="41">
        <f t="shared" si="6"/>
        <v>0</v>
      </c>
      <c r="H36" s="41">
        <f t="shared" si="6"/>
        <v>0</v>
      </c>
      <c r="I36" s="41">
        <f>SUM(I27:I35)</f>
        <v>9</v>
      </c>
      <c r="J36" s="10"/>
      <c r="K36" s="10"/>
    </row>
    <row r="37" spans="1:12" x14ac:dyDescent="0.25">
      <c r="A37" s="42"/>
      <c r="B37" s="7"/>
      <c r="C37" s="7"/>
      <c r="D37" s="7"/>
      <c r="E37" s="7"/>
      <c r="F37" s="7"/>
      <c r="G37" s="7"/>
      <c r="H37" s="7"/>
      <c r="I37" s="7"/>
      <c r="J37" s="10"/>
      <c r="K37" s="10"/>
    </row>
    <row r="38" spans="1:12" x14ac:dyDescent="0.25">
      <c r="A38" s="33" t="s">
        <v>43</v>
      </c>
      <c r="B38" s="24" t="str">
        <f>B1</f>
        <v>Operating</v>
      </c>
      <c r="C38" s="24" t="str">
        <f>C1</f>
        <v>SPED</v>
      </c>
      <c r="D38" s="24" t="str">
        <f>D1</f>
        <v>NSLP</v>
      </c>
      <c r="E38" s="24" t="str">
        <f>E1</f>
        <v>Other</v>
      </c>
      <c r="F38" s="24" t="str">
        <f t="shared" ref="F38:G38" si="7">F1</f>
        <v>Title I</v>
      </c>
      <c r="G38" s="24" t="str">
        <f t="shared" si="7"/>
        <v>Title II</v>
      </c>
      <c r="H38" s="24" t="str">
        <f>H1</f>
        <v>Title III</v>
      </c>
      <c r="I38" s="24" t="str">
        <f>I1</f>
        <v>Total (23-24)</v>
      </c>
      <c r="J38" s="25"/>
      <c r="K38" s="25"/>
    </row>
    <row r="39" spans="1:12" x14ac:dyDescent="0.25">
      <c r="A39" s="34" t="s">
        <v>349</v>
      </c>
      <c r="B39" s="37">
        <v>0</v>
      </c>
      <c r="C39" s="37"/>
      <c r="D39" s="37"/>
      <c r="E39" s="37"/>
      <c r="F39" s="37"/>
      <c r="G39" s="37"/>
      <c r="H39" s="37"/>
      <c r="I39" s="35">
        <f t="shared" ref="I39:I45" si="8">SUM(B39:H39)</f>
        <v>0</v>
      </c>
      <c r="J39" s="19"/>
      <c r="L39" s="10">
        <v>0</v>
      </c>
    </row>
    <row r="40" spans="1:12" x14ac:dyDescent="0.25">
      <c r="A40" s="34" t="s">
        <v>348</v>
      </c>
      <c r="B40" s="37">
        <v>1</v>
      </c>
      <c r="C40" s="37"/>
      <c r="D40" s="37"/>
      <c r="E40" s="37"/>
      <c r="F40" s="37"/>
      <c r="G40" s="37"/>
      <c r="H40" s="37"/>
      <c r="I40" s="35">
        <f t="shared" si="8"/>
        <v>1</v>
      </c>
      <c r="J40" s="19"/>
    </row>
    <row r="41" spans="1:12" x14ac:dyDescent="0.25">
      <c r="A41" s="34" t="s">
        <v>44</v>
      </c>
      <c r="B41" s="37">
        <v>0</v>
      </c>
      <c r="C41" s="37"/>
      <c r="D41" s="37"/>
      <c r="E41" s="37"/>
      <c r="F41" s="37"/>
      <c r="G41" s="37"/>
      <c r="H41" s="37"/>
      <c r="I41" s="35">
        <f t="shared" si="8"/>
        <v>0</v>
      </c>
      <c r="J41" s="19"/>
    </row>
    <row r="42" spans="1:12" x14ac:dyDescent="0.25">
      <c r="A42" s="40" t="s">
        <v>45</v>
      </c>
      <c r="B42" s="37">
        <v>0</v>
      </c>
      <c r="C42" s="37"/>
      <c r="D42" s="37"/>
      <c r="E42" s="37">
        <v>0</v>
      </c>
      <c r="F42" s="37"/>
      <c r="G42" s="37"/>
      <c r="H42" s="37"/>
      <c r="I42" s="35">
        <f t="shared" si="8"/>
        <v>0</v>
      </c>
      <c r="J42" s="19"/>
    </row>
    <row r="43" spans="1:12" x14ac:dyDescent="0.25">
      <c r="A43" s="43" t="s">
        <v>46</v>
      </c>
      <c r="B43" s="37">
        <v>0</v>
      </c>
      <c r="C43" s="37"/>
      <c r="D43" s="37"/>
      <c r="E43" s="37"/>
      <c r="F43" s="37"/>
      <c r="G43" s="37"/>
      <c r="H43" s="37"/>
      <c r="I43" s="35">
        <f t="shared" si="8"/>
        <v>0</v>
      </c>
      <c r="J43" s="19"/>
    </row>
    <row r="44" spans="1:12" x14ac:dyDescent="0.25">
      <c r="A44" s="43" t="s">
        <v>47</v>
      </c>
      <c r="B44" s="37">
        <v>0</v>
      </c>
      <c r="C44" s="37"/>
      <c r="D44" s="37"/>
      <c r="E44" s="37"/>
      <c r="F44" s="37"/>
      <c r="G44" s="37"/>
      <c r="H44" s="37"/>
      <c r="I44" s="35">
        <f t="shared" si="8"/>
        <v>0</v>
      </c>
      <c r="J44" s="19"/>
    </row>
    <row r="45" spans="1:12" x14ac:dyDescent="0.25">
      <c r="A45" s="43" t="s">
        <v>354</v>
      </c>
      <c r="B45" s="37">
        <v>1</v>
      </c>
      <c r="C45" s="37"/>
      <c r="D45" s="37"/>
      <c r="E45" s="37">
        <v>0</v>
      </c>
      <c r="F45" s="37"/>
      <c r="G45" s="37"/>
      <c r="H45" s="37"/>
      <c r="I45" s="35">
        <f t="shared" si="8"/>
        <v>1</v>
      </c>
      <c r="J45" s="19"/>
    </row>
    <row r="46" spans="1:12" x14ac:dyDescent="0.25">
      <c r="A46" s="43" t="s">
        <v>48</v>
      </c>
      <c r="B46" s="37">
        <v>0</v>
      </c>
      <c r="C46" s="37"/>
      <c r="D46" s="37"/>
      <c r="E46" s="37"/>
      <c r="F46" s="37"/>
      <c r="G46" s="37"/>
      <c r="H46" s="37"/>
      <c r="I46" s="35"/>
      <c r="J46" s="19"/>
    </row>
    <row r="47" spans="1:12" x14ac:dyDescent="0.25">
      <c r="A47" s="34" t="s">
        <v>49</v>
      </c>
      <c r="B47" s="37">
        <v>1</v>
      </c>
      <c r="C47" s="37"/>
      <c r="D47" s="37"/>
      <c r="E47" s="37"/>
      <c r="F47" s="37"/>
      <c r="G47" s="37"/>
      <c r="H47" s="37"/>
      <c r="I47" s="35">
        <f t="shared" ref="I47:I61" si="9">SUM(B47:H47)</f>
        <v>1</v>
      </c>
      <c r="J47" s="19"/>
    </row>
    <row r="48" spans="1:12" x14ac:dyDescent="0.25">
      <c r="A48" s="34" t="s">
        <v>50</v>
      </c>
      <c r="B48" s="37">
        <v>1</v>
      </c>
      <c r="C48" s="37"/>
      <c r="D48" s="37"/>
      <c r="E48" s="37"/>
      <c r="F48" s="37"/>
      <c r="G48" s="37"/>
      <c r="H48" s="37"/>
      <c r="I48" s="35">
        <f t="shared" si="9"/>
        <v>1</v>
      </c>
      <c r="J48" s="19"/>
    </row>
    <row r="49" spans="1:11" x14ac:dyDescent="0.25">
      <c r="A49" s="34" t="s">
        <v>51</v>
      </c>
      <c r="B49" s="37">
        <v>0</v>
      </c>
      <c r="C49" s="37"/>
      <c r="D49" s="37"/>
      <c r="E49" s="37"/>
      <c r="F49" s="37"/>
      <c r="G49" s="37"/>
      <c r="H49" s="37"/>
      <c r="I49" s="35">
        <f t="shared" si="9"/>
        <v>0</v>
      </c>
      <c r="J49" s="19"/>
    </row>
    <row r="50" spans="1:11" x14ac:dyDescent="0.25">
      <c r="A50" s="34" t="s">
        <v>52</v>
      </c>
      <c r="B50" s="37">
        <v>0</v>
      </c>
      <c r="C50" s="37"/>
      <c r="D50" s="37"/>
      <c r="E50" s="37"/>
      <c r="F50" s="37"/>
      <c r="G50" s="37"/>
      <c r="H50" s="37"/>
      <c r="I50" s="35">
        <f t="shared" si="9"/>
        <v>0</v>
      </c>
      <c r="J50" s="19"/>
    </row>
    <row r="51" spans="1:11" x14ac:dyDescent="0.25">
      <c r="A51" s="34" t="s">
        <v>53</v>
      </c>
      <c r="B51" s="37">
        <v>0</v>
      </c>
      <c r="C51" s="37"/>
      <c r="D51" s="37"/>
      <c r="E51" s="37"/>
      <c r="F51" s="37">
        <v>1</v>
      </c>
      <c r="G51" s="37"/>
      <c r="H51" s="37"/>
      <c r="I51" s="35">
        <f t="shared" si="9"/>
        <v>1</v>
      </c>
      <c r="J51" s="19"/>
    </row>
    <row r="52" spans="1:11" x14ac:dyDescent="0.25">
      <c r="A52" s="34" t="s">
        <v>54</v>
      </c>
      <c r="B52" s="37">
        <v>0</v>
      </c>
      <c r="C52" s="37"/>
      <c r="D52" s="37"/>
      <c r="E52" s="37"/>
      <c r="F52" s="37"/>
      <c r="G52" s="37"/>
      <c r="H52" s="37"/>
      <c r="I52" s="35">
        <f t="shared" si="9"/>
        <v>0</v>
      </c>
      <c r="J52" s="19"/>
    </row>
    <row r="53" spans="1:11" x14ac:dyDescent="0.25">
      <c r="A53" s="34" t="s">
        <v>55</v>
      </c>
      <c r="B53" s="37"/>
      <c r="C53" s="37"/>
      <c r="D53" s="37">
        <v>1</v>
      </c>
      <c r="E53" s="37"/>
      <c r="F53" s="37"/>
      <c r="G53" s="37"/>
      <c r="H53" s="37"/>
      <c r="I53" s="35">
        <f t="shared" si="9"/>
        <v>1</v>
      </c>
      <c r="J53" s="19"/>
    </row>
    <row r="54" spans="1:11" x14ac:dyDescent="0.25">
      <c r="A54" s="34" t="s">
        <v>56</v>
      </c>
      <c r="B54" s="37"/>
      <c r="C54" s="37"/>
      <c r="D54" s="37"/>
      <c r="E54" s="37"/>
      <c r="F54" s="37"/>
      <c r="G54" s="37"/>
      <c r="H54" s="37"/>
      <c r="I54" s="35">
        <f t="shared" si="9"/>
        <v>0</v>
      </c>
      <c r="J54" s="8"/>
      <c r="K54" s="9"/>
    </row>
    <row r="55" spans="1:11" x14ac:dyDescent="0.25">
      <c r="A55" s="40" t="s">
        <v>57</v>
      </c>
      <c r="B55" s="37"/>
      <c r="C55" s="37"/>
      <c r="D55" s="37"/>
      <c r="E55" s="37"/>
      <c r="F55" s="37"/>
      <c r="G55" s="37"/>
      <c r="H55" s="37"/>
      <c r="I55" s="35">
        <f t="shared" si="9"/>
        <v>0</v>
      </c>
      <c r="J55" s="8"/>
      <c r="K55" s="9"/>
    </row>
    <row r="56" spans="1:11" x14ac:dyDescent="0.25">
      <c r="A56" s="40" t="s">
        <v>58</v>
      </c>
      <c r="B56" s="37"/>
      <c r="C56" s="37"/>
      <c r="D56" s="37"/>
      <c r="E56" s="37"/>
      <c r="F56" s="37"/>
      <c r="G56" s="37"/>
      <c r="H56" s="37"/>
      <c r="I56" s="35">
        <f t="shared" si="9"/>
        <v>0</v>
      </c>
      <c r="J56" s="8"/>
      <c r="K56" s="9"/>
    </row>
    <row r="57" spans="1:11" x14ac:dyDescent="0.25">
      <c r="A57" s="40" t="s">
        <v>59</v>
      </c>
      <c r="B57" s="37"/>
      <c r="C57" s="37"/>
      <c r="D57" s="37"/>
      <c r="E57" s="37"/>
      <c r="F57" s="37"/>
      <c r="G57" s="37"/>
      <c r="H57" s="37"/>
      <c r="I57" s="35">
        <f t="shared" si="9"/>
        <v>0</v>
      </c>
      <c r="J57" s="8"/>
      <c r="K57" s="9"/>
    </row>
    <row r="58" spans="1:11" x14ac:dyDescent="0.25">
      <c r="A58" s="40" t="s">
        <v>60</v>
      </c>
      <c r="B58" s="37"/>
      <c r="C58" s="37"/>
      <c r="D58" s="37"/>
      <c r="E58" s="37"/>
      <c r="F58" s="37"/>
      <c r="G58" s="37"/>
      <c r="H58" s="37"/>
      <c r="I58" s="35">
        <f t="shared" si="9"/>
        <v>0</v>
      </c>
      <c r="J58" s="8"/>
      <c r="K58" s="9"/>
    </row>
    <row r="59" spans="1:11" x14ac:dyDescent="0.25">
      <c r="A59" s="40" t="s">
        <v>61</v>
      </c>
      <c r="B59" s="37"/>
      <c r="C59" s="37"/>
      <c r="D59" s="37"/>
      <c r="E59" s="37"/>
      <c r="F59" s="37"/>
      <c r="G59" s="37"/>
      <c r="H59" s="37"/>
      <c r="I59" s="35">
        <f t="shared" si="9"/>
        <v>0</v>
      </c>
      <c r="J59" s="8"/>
      <c r="K59" s="9"/>
    </row>
    <row r="60" spans="1:11" x14ac:dyDescent="0.25">
      <c r="A60" s="40" t="s">
        <v>341</v>
      </c>
      <c r="B60" s="37"/>
      <c r="C60" s="37"/>
      <c r="D60" s="37"/>
      <c r="E60" s="37">
        <v>0</v>
      </c>
      <c r="F60" s="37"/>
      <c r="G60" s="37"/>
      <c r="H60" s="37"/>
      <c r="I60" s="35">
        <f t="shared" si="9"/>
        <v>0</v>
      </c>
      <c r="J60" s="8"/>
      <c r="K60" s="9"/>
    </row>
    <row r="61" spans="1:11" x14ac:dyDescent="0.25">
      <c r="A61" s="34" t="s">
        <v>63</v>
      </c>
      <c r="B61" s="35"/>
      <c r="C61" s="35"/>
      <c r="D61" s="35"/>
      <c r="E61" s="35"/>
      <c r="F61" s="35"/>
      <c r="G61" s="35"/>
      <c r="H61" s="35"/>
      <c r="I61" s="35">
        <f t="shared" si="9"/>
        <v>0</v>
      </c>
      <c r="J61" s="8"/>
      <c r="K61" s="9"/>
    </row>
    <row r="62" spans="1:11" x14ac:dyDescent="0.25">
      <c r="A62" s="33" t="s">
        <v>64</v>
      </c>
      <c r="B62" s="45">
        <f>SUM(B39:B61)</f>
        <v>4</v>
      </c>
      <c r="C62" s="45">
        <f>SUM(C39:C61)</f>
        <v>0</v>
      </c>
      <c r="D62" s="45">
        <f>SUM(D39:D61)</f>
        <v>1</v>
      </c>
      <c r="E62" s="45">
        <f>SUM(E39:E61)</f>
        <v>0</v>
      </c>
      <c r="F62" s="45">
        <f t="shared" ref="F62:H62" si="10">SUM(F39:F61)</f>
        <v>1</v>
      </c>
      <c r="G62" s="45">
        <f t="shared" si="10"/>
        <v>0</v>
      </c>
      <c r="H62" s="45">
        <f t="shared" si="10"/>
        <v>0</v>
      </c>
      <c r="I62" s="45">
        <f>SUM(I39:I61)</f>
        <v>6</v>
      </c>
      <c r="J62" s="10"/>
      <c r="K62" s="10"/>
    </row>
    <row r="63" spans="1:11" ht="15.75" thickBot="1" x14ac:dyDescent="0.3">
      <c r="A63" s="46"/>
      <c r="B63" s="47"/>
      <c r="C63" s="47"/>
      <c r="D63" s="47"/>
      <c r="E63" s="47"/>
      <c r="F63" s="47"/>
      <c r="G63" s="47"/>
      <c r="H63" s="47"/>
      <c r="I63" s="47"/>
      <c r="J63" s="10"/>
      <c r="K63" s="10"/>
    </row>
    <row r="64" spans="1:11" x14ac:dyDescent="0.25">
      <c r="A64" s="48" t="s">
        <v>65</v>
      </c>
      <c r="B64" s="49">
        <f>B36</f>
        <v>8</v>
      </c>
      <c r="C64" s="49">
        <f>C36</f>
        <v>1</v>
      </c>
      <c r="D64" s="49">
        <f>D36</f>
        <v>0</v>
      </c>
      <c r="E64" s="49">
        <f>E36</f>
        <v>0</v>
      </c>
      <c r="F64" s="49">
        <f t="shared" ref="F64:H64" si="11">F36</f>
        <v>0</v>
      </c>
      <c r="G64" s="49">
        <f t="shared" si="11"/>
        <v>0</v>
      </c>
      <c r="H64" s="49">
        <f t="shared" si="11"/>
        <v>0</v>
      </c>
      <c r="I64" s="49">
        <f>I36</f>
        <v>9</v>
      </c>
      <c r="J64" s="10"/>
      <c r="K64" s="10"/>
    </row>
    <row r="65" spans="1:11" x14ac:dyDescent="0.25">
      <c r="A65" s="50" t="s">
        <v>66</v>
      </c>
      <c r="B65" s="51">
        <f>B62</f>
        <v>4</v>
      </c>
      <c r="C65" s="51">
        <f t="shared" ref="C65:I65" si="12">C62</f>
        <v>0</v>
      </c>
      <c r="D65" s="51">
        <f t="shared" si="12"/>
        <v>1</v>
      </c>
      <c r="E65" s="51">
        <f t="shared" si="12"/>
        <v>0</v>
      </c>
      <c r="F65" s="51">
        <f t="shared" si="12"/>
        <v>1</v>
      </c>
      <c r="G65" s="51">
        <f t="shared" si="12"/>
        <v>0</v>
      </c>
      <c r="H65" s="51">
        <f t="shared" si="12"/>
        <v>0</v>
      </c>
      <c r="I65" s="51">
        <f t="shared" si="12"/>
        <v>6</v>
      </c>
      <c r="J65" s="10"/>
      <c r="K65" s="10"/>
    </row>
    <row r="66" spans="1:11" ht="15.75" thickBot="1" x14ac:dyDescent="0.3">
      <c r="A66" s="52" t="s">
        <v>67</v>
      </c>
      <c r="B66" s="53">
        <f>SUM(B64:B65)</f>
        <v>12</v>
      </c>
      <c r="C66" s="53">
        <f t="shared" ref="C66:I66" si="13">SUM(C64:C65)</f>
        <v>1</v>
      </c>
      <c r="D66" s="53">
        <f t="shared" si="13"/>
        <v>1</v>
      </c>
      <c r="E66" s="53">
        <f t="shared" si="13"/>
        <v>0</v>
      </c>
      <c r="F66" s="53">
        <f t="shared" si="13"/>
        <v>1</v>
      </c>
      <c r="G66" s="53">
        <f t="shared" si="13"/>
        <v>0</v>
      </c>
      <c r="H66" s="53">
        <f t="shared" si="13"/>
        <v>0</v>
      </c>
      <c r="I66" s="53">
        <f t="shared" si="13"/>
        <v>15</v>
      </c>
      <c r="J66" s="10"/>
      <c r="K66" s="10"/>
    </row>
    <row r="67" spans="1:11" x14ac:dyDescent="0.25">
      <c r="A67" s="40"/>
      <c r="B67" s="54"/>
      <c r="C67" s="54"/>
      <c r="D67" s="54"/>
      <c r="E67" s="54"/>
      <c r="F67" s="54"/>
      <c r="G67" s="54"/>
      <c r="H67" s="54"/>
      <c r="I67" s="54"/>
      <c r="J67" s="10"/>
      <c r="K67" s="10"/>
    </row>
    <row r="68" spans="1:11" x14ac:dyDescent="0.25">
      <c r="A68" s="55" t="s">
        <v>68</v>
      </c>
      <c r="B68" s="56"/>
      <c r="C68" s="56"/>
      <c r="D68" s="56"/>
      <c r="E68" s="56"/>
      <c r="F68" s="56"/>
      <c r="G68" s="56"/>
      <c r="H68" s="56"/>
      <c r="I68" s="57">
        <f>I144/(I213+I215+I216+I217+I218+I219)</f>
        <v>0.58107734849462056</v>
      </c>
      <c r="J68" s="10"/>
      <c r="K68" s="10"/>
    </row>
    <row r="69" spans="1:11" x14ac:dyDescent="0.25">
      <c r="A69" s="55" t="s">
        <v>69</v>
      </c>
      <c r="B69" s="56"/>
      <c r="C69" s="56"/>
      <c r="D69" s="56"/>
      <c r="E69" s="56"/>
      <c r="F69" s="56"/>
      <c r="G69" s="56"/>
      <c r="H69" s="56"/>
      <c r="I69" s="57">
        <f>(I116+I117+I120+I130)/I134</f>
        <v>0.6628266907051813</v>
      </c>
      <c r="J69" s="10"/>
      <c r="K69" s="10"/>
    </row>
    <row r="70" spans="1:11" x14ac:dyDescent="0.25">
      <c r="A70" s="55" t="s">
        <v>70</v>
      </c>
      <c r="B70" s="56"/>
      <c r="C70" s="56"/>
      <c r="D70" s="56"/>
      <c r="E70" s="56"/>
      <c r="F70" s="56"/>
      <c r="G70" s="56"/>
      <c r="H70" s="56"/>
      <c r="I70" s="57">
        <f>(I108+I110+I111+I114+I118+I119+I121+I122++I125+I126+I127+I128+I129+I131+I132)/I134</f>
        <v>0.19644684446156804</v>
      </c>
      <c r="J70" s="10"/>
      <c r="K70" s="10"/>
    </row>
    <row r="71" spans="1:11" x14ac:dyDescent="0.25">
      <c r="A71" s="55" t="s">
        <v>71</v>
      </c>
      <c r="B71" s="56"/>
      <c r="C71" s="56"/>
      <c r="D71" s="56"/>
      <c r="E71" s="56"/>
      <c r="F71" s="56"/>
      <c r="G71" s="56"/>
      <c r="H71" s="56"/>
      <c r="I71" s="57">
        <f>(I215+I216+I217+I218)/(I98)</f>
        <v>3.8287157465879428E-2</v>
      </c>
      <c r="J71" s="10"/>
      <c r="K71" s="10"/>
    </row>
    <row r="72" spans="1:11" ht="15.75" thickBot="1" x14ac:dyDescent="0.3">
      <c r="B72" s="54"/>
      <c r="C72" s="54"/>
      <c r="D72" s="54"/>
      <c r="E72" s="54"/>
      <c r="F72" s="54"/>
      <c r="G72" s="54"/>
      <c r="H72" s="54"/>
      <c r="I72" s="54"/>
      <c r="J72" s="10"/>
      <c r="K72" s="10"/>
    </row>
    <row r="73" spans="1:11" ht="15.75" thickBot="1" x14ac:dyDescent="0.3">
      <c r="A73" s="58" t="s">
        <v>72</v>
      </c>
      <c r="B73" s="59" t="str">
        <f>B1</f>
        <v>Operating</v>
      </c>
      <c r="C73" s="59" t="str">
        <f>C1</f>
        <v>SPED</v>
      </c>
      <c r="D73" s="59" t="str">
        <f>D1</f>
        <v>NSLP</v>
      </c>
      <c r="E73" s="59" t="str">
        <f>E1</f>
        <v>Other</v>
      </c>
      <c r="F73" s="59" t="str">
        <f t="shared" ref="F73:G73" si="14">F1</f>
        <v>Title I</v>
      </c>
      <c r="G73" s="59" t="str">
        <f t="shared" si="14"/>
        <v>Title II</v>
      </c>
      <c r="H73" s="59" t="str">
        <f>H1</f>
        <v>Title III</v>
      </c>
      <c r="I73" s="59" t="str">
        <f>I1</f>
        <v>Total (23-24)</v>
      </c>
      <c r="J73" s="10"/>
      <c r="K73" s="10"/>
    </row>
    <row r="74" spans="1:11" x14ac:dyDescent="0.25">
      <c r="A74" s="60" t="s">
        <v>73</v>
      </c>
      <c r="B74" s="61"/>
      <c r="C74" s="61"/>
      <c r="D74" s="61"/>
      <c r="E74" s="61"/>
      <c r="F74" s="61"/>
      <c r="G74" s="61"/>
      <c r="H74" s="61"/>
      <c r="I74" s="62"/>
      <c r="J74" s="10"/>
      <c r="K74" s="10"/>
    </row>
    <row r="75" spans="1:11" x14ac:dyDescent="0.25">
      <c r="A75" s="40" t="s">
        <v>74</v>
      </c>
      <c r="B75" s="63">
        <f>(B2*B3)</f>
        <v>1430457.3</v>
      </c>
      <c r="C75" s="63"/>
      <c r="D75" s="63"/>
      <c r="E75" s="63"/>
      <c r="F75" s="63"/>
      <c r="G75" s="63"/>
      <c r="H75" s="63"/>
      <c r="I75" s="64">
        <f t="shared" ref="I75:I96" si="15">SUM(B75:H75)</f>
        <v>1430457.3</v>
      </c>
      <c r="J75" s="19"/>
    </row>
    <row r="76" spans="1:11" x14ac:dyDescent="0.25">
      <c r="A76" s="40" t="s">
        <v>75</v>
      </c>
      <c r="B76" s="47">
        <f>4236*B21</f>
        <v>108253.33333333333</v>
      </c>
      <c r="C76" s="47"/>
      <c r="D76" s="47"/>
      <c r="E76" s="47"/>
      <c r="F76" s="47"/>
      <c r="G76" s="47"/>
      <c r="H76" s="47"/>
      <c r="I76" s="7">
        <f>SUM(B76:H76)</f>
        <v>108253.33333333333</v>
      </c>
      <c r="J76" s="142">
        <f>0.45*9414</f>
        <v>4236.3</v>
      </c>
      <c r="K76" s="9"/>
    </row>
    <row r="77" spans="1:11" x14ac:dyDescent="0.25">
      <c r="A77" s="40" t="s">
        <v>76</v>
      </c>
      <c r="B77" s="7">
        <f>1075*B22</f>
        <v>0</v>
      </c>
      <c r="C77" s="7"/>
      <c r="D77" s="7"/>
      <c r="E77" s="7"/>
      <c r="F77" s="7"/>
      <c r="G77" s="7"/>
      <c r="H77" s="7"/>
      <c r="I77" s="7">
        <f>SUM(B77:H77)</f>
        <v>0</v>
      </c>
      <c r="J77" s="142">
        <f>0.12*9414</f>
        <v>1129.68</v>
      </c>
      <c r="K77" s="9"/>
    </row>
    <row r="78" spans="1:11" x14ac:dyDescent="0.25">
      <c r="A78" s="40" t="s">
        <v>77</v>
      </c>
      <c r="B78" s="7">
        <f>3294*2</f>
        <v>6588</v>
      </c>
      <c r="C78" s="7"/>
      <c r="D78" s="7"/>
      <c r="E78" s="7"/>
      <c r="F78" s="7"/>
      <c r="G78" s="7"/>
      <c r="H78" s="7"/>
      <c r="I78" s="7">
        <f>SUM(B78:H78)</f>
        <v>6588</v>
      </c>
      <c r="J78" s="142">
        <f>0.35*9414</f>
        <v>3294.8999999999996</v>
      </c>
    </row>
    <row r="79" spans="1:11" x14ac:dyDescent="0.25">
      <c r="A79" s="40" t="s">
        <v>78</v>
      </c>
      <c r="B79" s="47"/>
      <c r="C79" s="47">
        <v>0</v>
      </c>
      <c r="D79" s="47"/>
      <c r="E79" s="47"/>
      <c r="F79" s="47"/>
      <c r="G79" s="47"/>
      <c r="H79" s="47"/>
      <c r="I79" s="47">
        <f>SUM(B79:H79)</f>
        <v>0</v>
      </c>
      <c r="J79" s="8"/>
      <c r="K79" s="66"/>
    </row>
    <row r="80" spans="1:11" x14ac:dyDescent="0.25">
      <c r="A80" s="40" t="s">
        <v>79</v>
      </c>
      <c r="B80" s="47">
        <v>0</v>
      </c>
      <c r="C80" s="47">
        <f>3700*C20</f>
        <v>69888.888888888876</v>
      </c>
      <c r="D80" s="47"/>
      <c r="E80" s="47"/>
      <c r="F80" s="47"/>
      <c r="G80" s="47"/>
      <c r="H80" s="47"/>
      <c r="I80" s="47">
        <f>SUM(B80:H80)</f>
        <v>69888.888888888876</v>
      </c>
      <c r="J80" s="8">
        <v>3700</v>
      </c>
      <c r="K80" s="66"/>
    </row>
    <row r="81" spans="1:11" x14ac:dyDescent="0.25">
      <c r="A81" s="67" t="s">
        <v>80</v>
      </c>
      <c r="B81" s="68">
        <f>SUM(B75:B80)</f>
        <v>1545298.6333333333</v>
      </c>
      <c r="C81" s="68">
        <f>SUM(C75:C80)</f>
        <v>69888.888888888876</v>
      </c>
      <c r="D81" s="68">
        <f>SUM(D75:D80)</f>
        <v>0</v>
      </c>
      <c r="E81" s="68">
        <f t="shared" ref="E81:G81" si="16">SUM(E75:E80)</f>
        <v>0</v>
      </c>
      <c r="F81" s="68">
        <f t="shared" si="16"/>
        <v>0</v>
      </c>
      <c r="G81" s="68">
        <f t="shared" si="16"/>
        <v>0</v>
      </c>
      <c r="H81" s="68">
        <f>SUM(H75:H80)</f>
        <v>0</v>
      </c>
      <c r="I81" s="68">
        <f>SUM(I75:I80)</f>
        <v>1615187.5222222223</v>
      </c>
      <c r="J81" s="10"/>
      <c r="K81" s="10"/>
    </row>
    <row r="82" spans="1:11" x14ac:dyDescent="0.25">
      <c r="A82" s="69" t="s">
        <v>81</v>
      </c>
      <c r="B82" s="61"/>
      <c r="C82" s="61"/>
      <c r="D82" s="61"/>
      <c r="E82" s="61"/>
      <c r="F82" s="61"/>
      <c r="G82" s="61"/>
      <c r="H82" s="61"/>
      <c r="I82" s="62"/>
      <c r="J82" s="10"/>
      <c r="K82" s="10"/>
    </row>
    <row r="83" spans="1:11" x14ac:dyDescent="0.25">
      <c r="A83" s="40" t="s">
        <v>82</v>
      </c>
      <c r="B83" s="7"/>
      <c r="C83" s="7">
        <f>1287*C20</f>
        <v>24309.999999999996</v>
      </c>
      <c r="D83" s="7"/>
      <c r="E83" s="7"/>
      <c r="F83" s="7"/>
      <c r="G83" s="7"/>
      <c r="H83" s="7"/>
      <c r="I83" s="7">
        <f>SUM(B83:H83)</f>
        <v>24309.999999999996</v>
      </c>
      <c r="J83" s="8">
        <v>1287</v>
      </c>
      <c r="K83" s="9"/>
    </row>
    <row r="84" spans="1:11" x14ac:dyDescent="0.25">
      <c r="A84" s="40" t="s">
        <v>83</v>
      </c>
      <c r="B84" s="7"/>
      <c r="C84" s="7"/>
      <c r="D84" s="14">
        <f>((B17*D23)*2.26*180)</f>
        <v>61019.999999999993</v>
      </c>
      <c r="E84" s="14"/>
      <c r="F84" s="7"/>
      <c r="G84" s="7"/>
      <c r="H84" s="14"/>
      <c r="I84" s="7">
        <f t="shared" si="15"/>
        <v>61019.999999999993</v>
      </c>
      <c r="J84" s="70">
        <v>2.2599999999999998</v>
      </c>
      <c r="K84" s="71"/>
    </row>
    <row r="85" spans="1:11" x14ac:dyDescent="0.25">
      <c r="A85" s="40" t="s">
        <v>84</v>
      </c>
      <c r="B85" s="47"/>
      <c r="C85" s="47"/>
      <c r="D85" s="14">
        <f>((B17*D23)*4.37*180)</f>
        <v>117990</v>
      </c>
      <c r="E85" s="73"/>
      <c r="F85" s="47"/>
      <c r="G85" s="47"/>
      <c r="H85" s="14"/>
      <c r="I85" s="7">
        <f t="shared" si="15"/>
        <v>117990</v>
      </c>
      <c r="J85" s="70">
        <v>4.37</v>
      </c>
      <c r="K85" s="71"/>
    </row>
    <row r="86" spans="1:11" x14ac:dyDescent="0.25">
      <c r="A86" s="40" t="s">
        <v>3</v>
      </c>
      <c r="B86" s="47"/>
      <c r="C86" s="47"/>
      <c r="D86" s="47"/>
      <c r="E86" s="47"/>
      <c r="F86" s="47">
        <f>150*B17</f>
        <v>22500</v>
      </c>
      <c r="G86" s="47"/>
      <c r="H86" s="47"/>
      <c r="I86" s="7">
        <f t="shared" si="15"/>
        <v>22500</v>
      </c>
      <c r="J86" s="8"/>
      <c r="K86" s="9"/>
    </row>
    <row r="87" spans="1:11" x14ac:dyDescent="0.25">
      <c r="A87" s="40" t="s">
        <v>4</v>
      </c>
      <c r="B87" s="47"/>
      <c r="C87" s="47"/>
      <c r="D87" s="47"/>
      <c r="E87" s="47"/>
      <c r="F87" s="47"/>
      <c r="G87" s="47">
        <v>8000</v>
      </c>
      <c r="H87" s="47"/>
      <c r="I87" s="7">
        <f t="shared" si="15"/>
        <v>8000</v>
      </c>
      <c r="J87" s="8"/>
      <c r="K87" s="9"/>
    </row>
    <row r="88" spans="1:11" x14ac:dyDescent="0.25">
      <c r="A88" s="40" t="s">
        <v>5</v>
      </c>
      <c r="B88" s="47"/>
      <c r="C88" s="47"/>
      <c r="D88" s="47"/>
      <c r="E88" s="47"/>
      <c r="F88" s="47"/>
      <c r="G88" s="47"/>
      <c r="H88" s="47">
        <v>1500</v>
      </c>
      <c r="I88" s="7">
        <f t="shared" si="15"/>
        <v>1500</v>
      </c>
      <c r="J88" s="8"/>
      <c r="K88" s="9"/>
    </row>
    <row r="89" spans="1:11" x14ac:dyDescent="0.25">
      <c r="A89" s="40" t="s">
        <v>85</v>
      </c>
      <c r="B89" s="47"/>
      <c r="C89" s="47"/>
      <c r="D89" s="47"/>
      <c r="E89" s="47"/>
      <c r="F89" s="47"/>
      <c r="G89" s="47"/>
      <c r="H89" s="47"/>
      <c r="I89" s="7">
        <f t="shared" si="15"/>
        <v>0</v>
      </c>
      <c r="J89" s="8"/>
      <c r="K89" s="9"/>
    </row>
    <row r="90" spans="1:11" x14ac:dyDescent="0.25">
      <c r="A90" s="40" t="s">
        <v>350</v>
      </c>
      <c r="B90" s="47">
        <f>B160*0.7</f>
        <v>46305</v>
      </c>
      <c r="C90" s="47"/>
      <c r="D90" s="47"/>
      <c r="E90" s="47"/>
      <c r="F90" s="47"/>
      <c r="G90" s="47"/>
      <c r="H90" s="47"/>
      <c r="I90" s="7">
        <f t="shared" si="15"/>
        <v>46305</v>
      </c>
      <c r="J90" s="8"/>
      <c r="K90" s="9"/>
    </row>
    <row r="91" spans="1:11" x14ac:dyDescent="0.25">
      <c r="A91" s="67" t="s">
        <v>86</v>
      </c>
      <c r="B91" s="68">
        <f t="shared" ref="B91" si="17">SUM(B83:B90)</f>
        <v>46305</v>
      </c>
      <c r="C91" s="68">
        <f t="shared" ref="C91:H91" si="18">SUM(C83:C90)</f>
        <v>24309.999999999996</v>
      </c>
      <c r="D91" s="68">
        <f t="shared" si="18"/>
        <v>179010</v>
      </c>
      <c r="E91" s="68">
        <f t="shared" si="18"/>
        <v>0</v>
      </c>
      <c r="F91" s="68">
        <f t="shared" si="18"/>
        <v>22500</v>
      </c>
      <c r="G91" s="68">
        <f t="shared" si="18"/>
        <v>8000</v>
      </c>
      <c r="H91" s="68">
        <f t="shared" si="18"/>
        <v>1500</v>
      </c>
      <c r="I91" s="68">
        <f>SUM(I83:I90)</f>
        <v>281625</v>
      </c>
      <c r="J91" s="10"/>
      <c r="K91" s="10"/>
    </row>
    <row r="92" spans="1:11" x14ac:dyDescent="0.25">
      <c r="A92" s="69" t="s">
        <v>87</v>
      </c>
      <c r="B92" s="61"/>
      <c r="C92" s="61"/>
      <c r="D92" s="61"/>
      <c r="E92" s="61"/>
      <c r="F92" s="61"/>
      <c r="G92" s="61"/>
      <c r="H92" s="61"/>
      <c r="I92" s="62"/>
      <c r="J92" s="10"/>
      <c r="K92" s="10"/>
    </row>
    <row r="93" spans="1:11" x14ac:dyDescent="0.25">
      <c r="A93" s="40" t="s">
        <v>88</v>
      </c>
      <c r="B93" s="7"/>
      <c r="C93" s="7"/>
      <c r="D93" s="7"/>
      <c r="E93" s="7"/>
      <c r="F93" s="7"/>
      <c r="G93" s="7"/>
      <c r="H93" s="7"/>
      <c r="I93" s="7">
        <f t="shared" si="15"/>
        <v>0</v>
      </c>
      <c r="J93" s="19"/>
    </row>
    <row r="94" spans="1:11" x14ac:dyDescent="0.25">
      <c r="A94" s="40" t="s">
        <v>89</v>
      </c>
      <c r="B94" s="14"/>
      <c r="C94" s="14"/>
      <c r="D94" s="14"/>
      <c r="E94" s="14"/>
      <c r="F94" s="14"/>
      <c r="G94" s="14"/>
      <c r="H94" s="14"/>
      <c r="I94" s="7">
        <f t="shared" si="15"/>
        <v>0</v>
      </c>
      <c r="J94" s="19"/>
    </row>
    <row r="95" spans="1:11" x14ac:dyDescent="0.25">
      <c r="A95" s="40" t="s">
        <v>90</v>
      </c>
      <c r="B95" s="47">
        <v>257957</v>
      </c>
      <c r="C95" s="47"/>
      <c r="D95" s="47"/>
      <c r="E95" s="47"/>
      <c r="F95" s="47"/>
      <c r="G95" s="47"/>
      <c r="H95" s="47"/>
      <c r="I95" s="47">
        <f t="shared" si="15"/>
        <v>257957</v>
      </c>
      <c r="J95" s="19"/>
    </row>
    <row r="96" spans="1:11" x14ac:dyDescent="0.25">
      <c r="A96" s="40" t="s">
        <v>91</v>
      </c>
      <c r="B96" s="47"/>
      <c r="C96" s="47"/>
      <c r="D96" s="47"/>
      <c r="E96" s="47"/>
      <c r="F96" s="47"/>
      <c r="G96" s="47"/>
      <c r="H96" s="47"/>
      <c r="I96" s="47">
        <f t="shared" si="15"/>
        <v>0</v>
      </c>
      <c r="J96" s="19"/>
    </row>
    <row r="97" spans="1:11" x14ac:dyDescent="0.25">
      <c r="A97" s="67" t="s">
        <v>92</v>
      </c>
      <c r="B97" s="68">
        <f>SUM(B93:B96)</f>
        <v>257957</v>
      </c>
      <c r="C97" s="68">
        <f t="shared" ref="C97:H97" si="19">SUM(C93:C96)</f>
        <v>0</v>
      </c>
      <c r="D97" s="68">
        <f t="shared" si="19"/>
        <v>0</v>
      </c>
      <c r="E97" s="68"/>
      <c r="F97" s="68"/>
      <c r="G97" s="68"/>
      <c r="H97" s="68">
        <f t="shared" si="19"/>
        <v>0</v>
      </c>
      <c r="I97" s="68">
        <f>SUM(I93:I96)</f>
        <v>257957</v>
      </c>
      <c r="J97" s="10"/>
      <c r="K97" s="10"/>
    </row>
    <row r="98" spans="1:11" x14ac:dyDescent="0.25">
      <c r="A98" s="74" t="s">
        <v>93</v>
      </c>
      <c r="B98" s="75">
        <f>B81+B91+B97</f>
        <v>1849560.6333333333</v>
      </c>
      <c r="C98" s="75">
        <f t="shared" ref="C98:I98" si="20">C81+C91+C97</f>
        <v>94198.888888888876</v>
      </c>
      <c r="D98" s="75">
        <f t="shared" si="20"/>
        <v>179010</v>
      </c>
      <c r="E98" s="75">
        <f t="shared" si="20"/>
        <v>0</v>
      </c>
      <c r="F98" s="75">
        <f t="shared" si="20"/>
        <v>22500</v>
      </c>
      <c r="G98" s="75">
        <f t="shared" si="20"/>
        <v>8000</v>
      </c>
      <c r="H98" s="75">
        <f t="shared" si="20"/>
        <v>1500</v>
      </c>
      <c r="I98" s="75">
        <f t="shared" si="20"/>
        <v>2154769.5222222223</v>
      </c>
      <c r="J98" s="10"/>
      <c r="K98" s="10"/>
    </row>
    <row r="99" spans="1:11" x14ac:dyDescent="0.25">
      <c r="A99" s="69" t="s">
        <v>94</v>
      </c>
      <c r="B99" s="61"/>
      <c r="C99" s="61"/>
      <c r="D99" s="61"/>
      <c r="E99" s="61"/>
      <c r="F99" s="61"/>
      <c r="G99" s="61"/>
      <c r="H99" s="61"/>
      <c r="I99" s="62"/>
      <c r="J99" s="10"/>
      <c r="K99" s="10"/>
    </row>
    <row r="100" spans="1:11" x14ac:dyDescent="0.25">
      <c r="A100" s="40" t="s">
        <v>95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f>SUM(B100:H100)</f>
        <v>0</v>
      </c>
      <c r="J100" s="19"/>
      <c r="K100" s="10"/>
    </row>
    <row r="101" spans="1:11" x14ac:dyDescent="0.25">
      <c r="A101" s="40" t="s">
        <v>96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7">
        <f t="shared" ref="I101:I103" si="21">SUM(B101:H101)</f>
        <v>0</v>
      </c>
      <c r="J101" s="19"/>
      <c r="K101" s="10"/>
    </row>
    <row r="102" spans="1:11" x14ac:dyDescent="0.25">
      <c r="A102" s="40"/>
      <c r="B102" s="47"/>
      <c r="C102" s="47"/>
      <c r="D102" s="47"/>
      <c r="E102" s="47"/>
      <c r="F102" s="47"/>
      <c r="G102" s="47"/>
      <c r="H102" s="47"/>
      <c r="I102" s="7">
        <f t="shared" si="21"/>
        <v>0</v>
      </c>
      <c r="J102" s="19"/>
      <c r="K102" s="10"/>
    </row>
    <row r="103" spans="1:11" x14ac:dyDescent="0.25">
      <c r="A103" s="40"/>
      <c r="B103" s="47"/>
      <c r="C103" s="47"/>
      <c r="D103" s="47"/>
      <c r="E103" s="47"/>
      <c r="F103" s="47"/>
      <c r="G103" s="47"/>
      <c r="H103" s="47"/>
      <c r="I103" s="7">
        <f t="shared" si="21"/>
        <v>0</v>
      </c>
      <c r="J103" s="19"/>
      <c r="K103" s="10"/>
    </row>
    <row r="104" spans="1:11" x14ac:dyDescent="0.25">
      <c r="A104" s="67" t="s">
        <v>97</v>
      </c>
      <c r="B104" s="68">
        <f>SUM(B100:B103)</f>
        <v>0</v>
      </c>
      <c r="C104" s="68">
        <f t="shared" ref="C104:I104" si="22">SUM(C100:C103)</f>
        <v>0</v>
      </c>
      <c r="D104" s="68">
        <f t="shared" si="22"/>
        <v>0</v>
      </c>
      <c r="E104" s="68">
        <f t="shared" si="22"/>
        <v>0</v>
      </c>
      <c r="F104" s="68">
        <f t="shared" si="22"/>
        <v>0</v>
      </c>
      <c r="G104" s="68">
        <f t="shared" si="22"/>
        <v>0</v>
      </c>
      <c r="H104" s="68">
        <f t="shared" si="22"/>
        <v>0</v>
      </c>
      <c r="I104" s="68">
        <f t="shared" si="22"/>
        <v>0</v>
      </c>
      <c r="J104" s="10"/>
      <c r="K104" s="10"/>
    </row>
    <row r="105" spans="1:11" ht="15.75" thickBot="1" x14ac:dyDescent="0.3">
      <c r="A105" s="40"/>
      <c r="B105" s="54"/>
      <c r="C105" s="54"/>
      <c r="D105" s="54"/>
      <c r="E105" s="54"/>
      <c r="F105" s="54"/>
      <c r="G105" s="54"/>
      <c r="H105" s="54"/>
      <c r="I105" s="54"/>
      <c r="J105" s="10"/>
      <c r="K105" s="10"/>
    </row>
    <row r="106" spans="1:11" ht="15.75" thickBot="1" x14ac:dyDescent="0.3">
      <c r="A106" s="76" t="s">
        <v>98</v>
      </c>
      <c r="B106" s="77" t="str">
        <f>B1</f>
        <v>Operating</v>
      </c>
      <c r="C106" s="77" t="str">
        <f>C1</f>
        <v>SPED</v>
      </c>
      <c r="D106" s="77" t="str">
        <f>D1</f>
        <v>NSLP</v>
      </c>
      <c r="E106" s="77" t="str">
        <f>E1</f>
        <v>Other</v>
      </c>
      <c r="F106" s="77" t="str">
        <f t="shared" ref="F106:G106" si="23">F1</f>
        <v>Title I</v>
      </c>
      <c r="G106" s="77" t="str">
        <f t="shared" si="23"/>
        <v>Title II</v>
      </c>
      <c r="H106" s="77" t="str">
        <f>H1</f>
        <v>Title III</v>
      </c>
      <c r="I106" s="77" t="str">
        <f>I1</f>
        <v>Total (23-24)</v>
      </c>
      <c r="J106" s="10"/>
      <c r="K106" s="10"/>
    </row>
    <row r="107" spans="1:11" x14ac:dyDescent="0.25">
      <c r="A107" s="60" t="s">
        <v>99</v>
      </c>
      <c r="B107" s="61"/>
      <c r="C107" s="61"/>
      <c r="D107" s="61"/>
      <c r="E107" s="61"/>
      <c r="F107" s="61"/>
      <c r="G107" s="61"/>
      <c r="H107" s="61"/>
      <c r="I107" s="62"/>
      <c r="J107" s="10"/>
      <c r="K107" s="10"/>
    </row>
    <row r="108" spans="1:11" x14ac:dyDescent="0.25">
      <c r="A108" s="34" t="s">
        <v>349</v>
      </c>
      <c r="B108" s="14">
        <f>'24-25'!B108*1.02</f>
        <v>0</v>
      </c>
      <c r="C108" s="14">
        <f>'24-25'!C108*1.02</f>
        <v>0</v>
      </c>
      <c r="D108" s="7"/>
      <c r="E108" s="7"/>
      <c r="F108" s="7"/>
      <c r="G108" s="7"/>
      <c r="H108" s="7"/>
      <c r="I108" s="7">
        <f t="shared" ref="I108:I122" si="24">SUM(B108:H108)</f>
        <v>0</v>
      </c>
      <c r="J108" s="19"/>
    </row>
    <row r="109" spans="1:11" x14ac:dyDescent="0.25">
      <c r="A109" s="34" t="s">
        <v>348</v>
      </c>
      <c r="B109" s="14">
        <f>'24-25'!B109*1.02</f>
        <v>115566.00000000001</v>
      </c>
      <c r="C109" s="14"/>
      <c r="D109" s="7"/>
      <c r="E109" s="7"/>
      <c r="F109" s="7"/>
      <c r="G109" s="7"/>
      <c r="H109" s="7"/>
      <c r="I109" s="7">
        <f t="shared" si="24"/>
        <v>115566.00000000001</v>
      </c>
      <c r="J109" s="19"/>
    </row>
    <row r="110" spans="1:11" x14ac:dyDescent="0.25">
      <c r="A110" s="40" t="s">
        <v>100</v>
      </c>
      <c r="B110" s="14">
        <v>0</v>
      </c>
      <c r="C110" s="14">
        <f>'24-25'!C110*1.02</f>
        <v>0</v>
      </c>
      <c r="D110" s="7"/>
      <c r="E110" s="7"/>
      <c r="F110" s="7"/>
      <c r="G110" s="7"/>
      <c r="H110" s="7"/>
      <c r="I110" s="7">
        <f t="shared" si="24"/>
        <v>0</v>
      </c>
      <c r="J110" s="19"/>
    </row>
    <row r="111" spans="1:11" x14ac:dyDescent="0.25">
      <c r="A111" s="40" t="s">
        <v>45</v>
      </c>
      <c r="B111" s="14">
        <f>'24-25'!B111*1.02</f>
        <v>0</v>
      </c>
      <c r="C111" s="14">
        <f>'24-25'!C111*1.02</f>
        <v>0</v>
      </c>
      <c r="D111" s="7"/>
      <c r="E111" s="7">
        <v>0</v>
      </c>
      <c r="F111" s="7"/>
      <c r="G111" s="7"/>
      <c r="H111" s="7"/>
      <c r="I111" s="7">
        <f t="shared" si="24"/>
        <v>0</v>
      </c>
      <c r="J111" s="19"/>
    </row>
    <row r="112" spans="1:11" x14ac:dyDescent="0.25">
      <c r="A112" s="43" t="s">
        <v>46</v>
      </c>
      <c r="B112" s="14">
        <f>'24-25'!B112*1.02</f>
        <v>0</v>
      </c>
      <c r="C112" s="14">
        <f>'24-25'!C112*1.02</f>
        <v>0</v>
      </c>
      <c r="D112" s="7"/>
      <c r="E112" s="7"/>
      <c r="F112" s="7"/>
      <c r="G112" s="7"/>
      <c r="H112" s="7"/>
      <c r="I112" s="7">
        <f>SUM(B112:H112)</f>
        <v>0</v>
      </c>
      <c r="J112" s="19"/>
    </row>
    <row r="113" spans="1:11" x14ac:dyDescent="0.25">
      <c r="A113" s="43" t="s">
        <v>47</v>
      </c>
      <c r="B113" s="14">
        <f>'24-25'!B113*1.02</f>
        <v>0</v>
      </c>
      <c r="C113" s="14">
        <f>'24-25'!C113*1.02</f>
        <v>0</v>
      </c>
      <c r="D113" s="7"/>
      <c r="E113" s="7"/>
      <c r="F113" s="7"/>
      <c r="G113" s="7"/>
      <c r="H113" s="7"/>
      <c r="I113" s="7">
        <f>SUM(B113:H113)</f>
        <v>0</v>
      </c>
      <c r="J113" s="19"/>
    </row>
    <row r="114" spans="1:11" x14ac:dyDescent="0.25">
      <c r="A114" s="40" t="s">
        <v>345</v>
      </c>
      <c r="B114" s="14">
        <f>'24-25'!B114*1.02</f>
        <v>52530</v>
      </c>
      <c r="C114" s="14">
        <f>'24-25'!C114*1.02</f>
        <v>0</v>
      </c>
      <c r="D114" s="7"/>
      <c r="E114" s="7"/>
      <c r="F114" s="7"/>
      <c r="G114" s="7"/>
      <c r="H114" s="7"/>
      <c r="I114" s="7">
        <f>SUM(B114:H114)</f>
        <v>52530</v>
      </c>
      <c r="J114" s="19"/>
    </row>
    <row r="115" spans="1:11" x14ac:dyDescent="0.25">
      <c r="A115" s="40" t="s">
        <v>101</v>
      </c>
      <c r="B115" s="14">
        <f>'24-25'!B115*1.02</f>
        <v>0</v>
      </c>
      <c r="C115" s="14">
        <f>'24-25'!C115*1.02</f>
        <v>0</v>
      </c>
      <c r="D115" s="7"/>
      <c r="E115" s="7"/>
      <c r="F115" s="7"/>
      <c r="G115" s="7"/>
      <c r="H115" s="7"/>
      <c r="I115" s="7">
        <f t="shared" si="24"/>
        <v>0</v>
      </c>
      <c r="J115" s="19"/>
    </row>
    <row r="116" spans="1:11" x14ac:dyDescent="0.25">
      <c r="A116" s="40" t="s">
        <v>102</v>
      </c>
      <c r="B116" s="14">
        <f>58000*B36</f>
        <v>464000</v>
      </c>
      <c r="C116" s="7"/>
      <c r="D116" s="7"/>
      <c r="E116" s="7"/>
      <c r="F116" s="7"/>
      <c r="G116" s="7"/>
      <c r="H116" s="7"/>
      <c r="I116" s="7">
        <f t="shared" si="24"/>
        <v>464000</v>
      </c>
      <c r="J116" s="19">
        <f>I116/B36</f>
        <v>58000</v>
      </c>
    </row>
    <row r="117" spans="1:11" x14ac:dyDescent="0.25">
      <c r="A117" s="40" t="s">
        <v>34</v>
      </c>
      <c r="B117" s="7"/>
      <c r="C117" s="7">
        <f>58000*I28</f>
        <v>58000</v>
      </c>
      <c r="D117" s="7"/>
      <c r="E117" s="7"/>
      <c r="F117" s="7"/>
      <c r="G117" s="7"/>
      <c r="H117" s="7"/>
      <c r="I117" s="7">
        <f t="shared" si="24"/>
        <v>58000</v>
      </c>
      <c r="J117" s="19"/>
    </row>
    <row r="118" spans="1:11" x14ac:dyDescent="0.25">
      <c r="A118" s="40" t="s">
        <v>103</v>
      </c>
      <c r="B118" s="14">
        <f>'24-25'!B118*1.02</f>
        <v>83594.140800000008</v>
      </c>
      <c r="C118" s="7"/>
      <c r="D118" s="7"/>
      <c r="E118" s="7"/>
      <c r="F118" s="7"/>
      <c r="G118" s="7"/>
      <c r="H118" s="7"/>
      <c r="I118" s="7">
        <f t="shared" si="24"/>
        <v>83594.140800000008</v>
      </c>
      <c r="J118" s="19"/>
    </row>
    <row r="119" spans="1:11" x14ac:dyDescent="0.25">
      <c r="A119" s="40" t="s">
        <v>104</v>
      </c>
      <c r="B119" s="14">
        <f>(16*8*190)*(B50+B49)</f>
        <v>0</v>
      </c>
      <c r="C119" s="7"/>
      <c r="D119" s="7"/>
      <c r="E119" s="7"/>
      <c r="F119" s="7"/>
      <c r="G119" s="7"/>
      <c r="H119" s="7"/>
      <c r="I119" s="7">
        <f t="shared" si="24"/>
        <v>0</v>
      </c>
      <c r="J119" s="19"/>
    </row>
    <row r="120" spans="1:11" x14ac:dyDescent="0.25">
      <c r="A120" s="40" t="s">
        <v>105</v>
      </c>
      <c r="B120" s="14">
        <f t="shared" ref="B120:E120" si="25">(15.5*8*180)*B51</f>
        <v>0</v>
      </c>
      <c r="C120" s="14">
        <f>(16*8*180)*C51</f>
        <v>0</v>
      </c>
      <c r="D120" s="14">
        <f t="shared" si="25"/>
        <v>0</v>
      </c>
      <c r="E120" s="14">
        <f t="shared" si="25"/>
        <v>0</v>
      </c>
      <c r="F120" s="14">
        <f>(15.5*8*180)*F51</f>
        <v>22320</v>
      </c>
      <c r="G120" s="7"/>
      <c r="H120" s="7"/>
      <c r="I120" s="7">
        <f t="shared" si="24"/>
        <v>22320</v>
      </c>
      <c r="J120" s="19"/>
    </row>
    <row r="121" spans="1:11" x14ac:dyDescent="0.25">
      <c r="A121" s="40" t="s">
        <v>106</v>
      </c>
      <c r="B121" s="14">
        <f>(17.25*8*210)*B52</f>
        <v>0</v>
      </c>
      <c r="C121" s="7"/>
      <c r="D121" s="7"/>
      <c r="E121" s="7"/>
      <c r="F121" s="7"/>
      <c r="G121" s="7"/>
      <c r="H121" s="7"/>
      <c r="I121" s="7">
        <f t="shared" si="24"/>
        <v>0</v>
      </c>
      <c r="J121" s="19"/>
    </row>
    <row r="122" spans="1:11" x14ac:dyDescent="0.25">
      <c r="A122" s="40" t="s">
        <v>55</v>
      </c>
      <c r="B122" s="7"/>
      <c r="C122" s="7"/>
      <c r="D122" s="7"/>
      <c r="E122" s="7"/>
      <c r="F122" s="7"/>
      <c r="G122" s="7"/>
      <c r="H122" s="7"/>
      <c r="I122" s="7">
        <f t="shared" si="24"/>
        <v>0</v>
      </c>
      <c r="J122" s="19"/>
    </row>
    <row r="123" spans="1:11" x14ac:dyDescent="0.25">
      <c r="A123" s="78" t="s">
        <v>107</v>
      </c>
      <c r="B123" s="79">
        <f>SUM(B108:B122)</f>
        <v>715690.14080000005</v>
      </c>
      <c r="C123" s="79">
        <f t="shared" ref="C123:D123" si="26">SUM(C108:C122)</f>
        <v>58000</v>
      </c>
      <c r="D123" s="79">
        <f t="shared" si="26"/>
        <v>0</v>
      </c>
      <c r="E123" s="79">
        <f t="shared" ref="E123:H123" si="27">SUM(E108:E122)</f>
        <v>0</v>
      </c>
      <c r="F123" s="79">
        <f t="shared" si="27"/>
        <v>22320</v>
      </c>
      <c r="G123" s="79">
        <f t="shared" si="27"/>
        <v>0</v>
      </c>
      <c r="H123" s="79">
        <f t="shared" si="27"/>
        <v>0</v>
      </c>
      <c r="I123" s="79">
        <f>SUM(I108:I122)</f>
        <v>796010.14080000005</v>
      </c>
      <c r="J123" s="10"/>
      <c r="K123" s="10"/>
    </row>
    <row r="124" spans="1:11" x14ac:dyDescent="0.25">
      <c r="A124" s="80" t="s">
        <v>108</v>
      </c>
      <c r="B124" s="61"/>
      <c r="C124" s="61"/>
      <c r="D124" s="61"/>
      <c r="E124" s="61"/>
      <c r="F124" s="61"/>
      <c r="G124" s="61"/>
      <c r="H124" s="61"/>
      <c r="I124" s="62"/>
      <c r="J124" s="10"/>
      <c r="K124" s="10"/>
    </row>
    <row r="125" spans="1:11" x14ac:dyDescent="0.25">
      <c r="A125" s="40" t="s">
        <v>57</v>
      </c>
      <c r="B125" s="7">
        <v>0</v>
      </c>
      <c r="C125" s="7"/>
      <c r="D125" s="7"/>
      <c r="E125" s="7"/>
      <c r="F125" s="7"/>
      <c r="G125" s="7"/>
      <c r="H125" s="7"/>
      <c r="I125" s="35">
        <f t="shared" ref="I125:I132" si="28">SUM(B125:H125)</f>
        <v>0</v>
      </c>
      <c r="J125" s="19"/>
    </row>
    <row r="126" spans="1:11" x14ac:dyDescent="0.25">
      <c r="A126" s="40" t="s">
        <v>58</v>
      </c>
      <c r="B126" s="7">
        <v>0</v>
      </c>
      <c r="C126" s="7"/>
      <c r="D126" s="7"/>
      <c r="E126" s="7"/>
      <c r="F126" s="7"/>
      <c r="G126" s="7"/>
      <c r="H126" s="7"/>
      <c r="I126" s="35">
        <f t="shared" si="28"/>
        <v>0</v>
      </c>
      <c r="J126" s="19"/>
    </row>
    <row r="127" spans="1:11" x14ac:dyDescent="0.25">
      <c r="A127" s="40" t="s">
        <v>59</v>
      </c>
      <c r="B127" s="7">
        <v>0</v>
      </c>
      <c r="C127" s="7"/>
      <c r="D127" s="7"/>
      <c r="E127" s="7"/>
      <c r="F127" s="7"/>
      <c r="G127" s="7"/>
      <c r="H127" s="7"/>
      <c r="I127" s="7">
        <f t="shared" si="28"/>
        <v>0</v>
      </c>
      <c r="J127" s="19"/>
    </row>
    <row r="128" spans="1:11" x14ac:dyDescent="0.25">
      <c r="A128" s="40" t="s">
        <v>109</v>
      </c>
      <c r="B128" s="7">
        <v>0</v>
      </c>
      <c r="C128" s="7"/>
      <c r="D128" s="7"/>
      <c r="E128" s="7"/>
      <c r="F128" s="7"/>
      <c r="G128" s="7"/>
      <c r="H128" s="7"/>
      <c r="I128" s="35">
        <f t="shared" si="28"/>
        <v>0</v>
      </c>
      <c r="J128" s="19"/>
    </row>
    <row r="129" spans="1:11" x14ac:dyDescent="0.25">
      <c r="A129" s="40" t="s">
        <v>61</v>
      </c>
      <c r="B129" s="7">
        <v>0</v>
      </c>
      <c r="C129" s="7"/>
      <c r="D129" s="7"/>
      <c r="E129" s="7"/>
      <c r="F129" s="7"/>
      <c r="G129" s="7"/>
      <c r="H129" s="7"/>
      <c r="I129" s="35">
        <f t="shared" si="28"/>
        <v>0</v>
      </c>
      <c r="J129" s="19"/>
    </row>
    <row r="130" spans="1:11" x14ac:dyDescent="0.25">
      <c r="A130" s="40" t="s">
        <v>256</v>
      </c>
      <c r="B130" s="7">
        <v>0</v>
      </c>
      <c r="C130" s="7"/>
      <c r="D130" s="7"/>
      <c r="E130" s="7"/>
      <c r="F130" s="7"/>
      <c r="G130" s="7"/>
      <c r="H130" s="7"/>
      <c r="I130" s="35">
        <f t="shared" si="28"/>
        <v>0</v>
      </c>
      <c r="J130" s="19"/>
    </row>
    <row r="131" spans="1:11" x14ac:dyDescent="0.25">
      <c r="A131" s="40" t="s">
        <v>110</v>
      </c>
      <c r="B131" s="7">
        <f>(12.5*6*185)*B53</f>
        <v>0</v>
      </c>
      <c r="C131" s="7">
        <f>(12.5*6*185)*C53</f>
        <v>0</v>
      </c>
      <c r="D131" s="7">
        <f>(17.5*8*180)*D53</f>
        <v>25200</v>
      </c>
      <c r="E131" s="7"/>
      <c r="F131" s="7"/>
      <c r="G131" s="7"/>
      <c r="H131" s="7">
        <f>(13.75*8*180)*H53</f>
        <v>0</v>
      </c>
      <c r="I131" s="7">
        <f>SUM(B131:H131)</f>
        <v>25200</v>
      </c>
      <c r="J131" s="19"/>
    </row>
    <row r="132" spans="1:11" x14ac:dyDescent="0.25">
      <c r="A132" s="40" t="s">
        <v>62</v>
      </c>
      <c r="B132" s="47">
        <v>0</v>
      </c>
      <c r="C132" s="7"/>
      <c r="D132" s="7"/>
      <c r="E132" s="7"/>
      <c r="F132" s="7"/>
      <c r="G132" s="7">
        <v>0</v>
      </c>
      <c r="H132" s="7"/>
      <c r="I132" s="35">
        <f t="shared" si="28"/>
        <v>0</v>
      </c>
      <c r="J132" s="19"/>
    </row>
    <row r="133" spans="1:11" x14ac:dyDescent="0.25">
      <c r="A133" s="81" t="s">
        <v>111</v>
      </c>
      <c r="B133" s="82">
        <f>SUM(B125:B132)</f>
        <v>0</v>
      </c>
      <c r="C133" s="82">
        <f>SUM(C125:C132)</f>
        <v>0</v>
      </c>
      <c r="D133" s="82">
        <f>SUM(D125:D132)</f>
        <v>25200</v>
      </c>
      <c r="E133" s="82">
        <f>SUM(E125:E132)</f>
        <v>0</v>
      </c>
      <c r="F133" s="82">
        <f t="shared" ref="F133" si="29">SUM(F125:F132)</f>
        <v>0</v>
      </c>
      <c r="G133" s="82"/>
      <c r="H133" s="82">
        <f>SUM(H125:H132)</f>
        <v>0</v>
      </c>
      <c r="I133" s="82">
        <f>SUM(I125:I132)</f>
        <v>25200</v>
      </c>
      <c r="J133" s="25"/>
      <c r="K133" s="28"/>
    </row>
    <row r="134" spans="1:11" x14ac:dyDescent="0.25">
      <c r="A134" s="83" t="s">
        <v>112</v>
      </c>
      <c r="B134" s="84">
        <f>B123+B133</f>
        <v>715690.14080000005</v>
      </c>
      <c r="C134" s="84">
        <f>C123+C133</f>
        <v>58000</v>
      </c>
      <c r="D134" s="84">
        <f>D123+D133</f>
        <v>25200</v>
      </c>
      <c r="E134" s="84">
        <f>E123+E133</f>
        <v>0</v>
      </c>
      <c r="F134" s="84">
        <f t="shared" ref="F134:H134" si="30">F123+F133</f>
        <v>22320</v>
      </c>
      <c r="G134" s="84">
        <f t="shared" si="30"/>
        <v>0</v>
      </c>
      <c r="H134" s="84">
        <f t="shared" si="30"/>
        <v>0</v>
      </c>
      <c r="I134" s="84">
        <f>I123+I133</f>
        <v>821210.14080000005</v>
      </c>
      <c r="J134" s="28"/>
      <c r="K134" s="10"/>
    </row>
    <row r="135" spans="1:11" x14ac:dyDescent="0.25">
      <c r="A135" s="40" t="s">
        <v>113</v>
      </c>
      <c r="B135" s="64">
        <f>B134*0.335</f>
        <v>239756.19716800004</v>
      </c>
      <c r="C135" s="64">
        <f t="shared" ref="C135:F135" si="31">C134*0.335</f>
        <v>19430</v>
      </c>
      <c r="D135" s="64">
        <f t="shared" si="31"/>
        <v>8442</v>
      </c>
      <c r="E135" s="64">
        <f t="shared" si="31"/>
        <v>0</v>
      </c>
      <c r="F135" s="64">
        <f t="shared" si="31"/>
        <v>7477.2000000000007</v>
      </c>
      <c r="G135" s="64">
        <f t="shared" ref="G135:H135" si="32">G134*0.2975</f>
        <v>0</v>
      </c>
      <c r="H135" s="64">
        <f t="shared" si="32"/>
        <v>0</v>
      </c>
      <c r="I135" s="7">
        <f>SUM(B135:H135)</f>
        <v>275105.39716800005</v>
      </c>
      <c r="J135" s="85">
        <f>I135/I134</f>
        <v>0.33500000000000002</v>
      </c>
      <c r="K135" s="86"/>
    </row>
    <row r="136" spans="1:11" x14ac:dyDescent="0.25">
      <c r="A136" s="87" t="s">
        <v>114</v>
      </c>
      <c r="B136" s="14">
        <f>B134*0.1425</f>
        <v>101985.84506399999</v>
      </c>
      <c r="C136" s="14">
        <f t="shared" ref="C136:F136" si="33">C134*0.1425</f>
        <v>8265</v>
      </c>
      <c r="D136" s="14">
        <f t="shared" si="33"/>
        <v>3590.9999999999995</v>
      </c>
      <c r="E136" s="14">
        <f t="shared" si="33"/>
        <v>0</v>
      </c>
      <c r="F136" s="14">
        <f t="shared" si="33"/>
        <v>3180.6</v>
      </c>
      <c r="G136" s="14">
        <f t="shared" ref="G136:H136" si="34">(((6400*(G66*0.8))+((275*(G66*0.8)))+((60*(G66*0.8)))))+(G134*0.0145)+(G134*0.031)</f>
        <v>0</v>
      </c>
      <c r="H136" s="14">
        <f t="shared" si="34"/>
        <v>0</v>
      </c>
      <c r="I136" s="7">
        <f>SUM(B136:H136)</f>
        <v>117022.445064</v>
      </c>
      <c r="J136" s="85">
        <f>I136/I134</f>
        <v>0.14249999999999999</v>
      </c>
      <c r="K136" s="86"/>
    </row>
    <row r="137" spans="1:11" x14ac:dyDescent="0.25">
      <c r="A137" s="40" t="s">
        <v>115</v>
      </c>
      <c r="B137" s="7">
        <f>((1100*B36)+(2750*B39)+(2200*B41)+(1650*B42)+(1650*B43)+(1650*B44)+(1650*B45)+(1650*B46)+(1100*B47)+(1100*B48)+(500*B49)+(500*B50)+(500*B51)+(500*B52)+(500*B53)+(500*B54)+(1100*B55)+(1100*B56)+(1100*B57)+(1100*B58)+(1100*B59)+(1100*B60))*0.9</f>
        <v>11385</v>
      </c>
      <c r="C137" s="7">
        <f>((1100*C36)+(2750*C39)+(2200*C41)+(1650*C42)+(1650*C43)+(1650*C44)+(1650*C45)+(1650*C46)+(1100*C47)+(1100*C48)+(500*C49)+(500*C50)+(500*C51)+(500*C52)+(500*C53)+(500*C54)+(1100*C55)+(1100*C56)+(1100*C57)+(1100*C58)+(1100*C59)+(1100*C60))</f>
        <v>1100</v>
      </c>
      <c r="D137" s="7">
        <f t="shared" ref="D137" si="35">((1100*D36)+(2750*D39)+(2200*D41)+(1650*D42)+(1650*D43)+(1650*D44)+(1650*D45)+(1650*D46)+(1100*D47)+(1100*D48)+(500*D49)+(500*D50)+(500*D51)+(500*D52)+(500*D53)+(500*D54)+(1100*D55)+(1100*D56)+(1100*D57)+(1100*D58)+(1100*D59)+(1100*D60))*0.9</f>
        <v>450</v>
      </c>
      <c r="E137" s="7"/>
      <c r="F137" s="7"/>
      <c r="G137" s="7">
        <f t="shared" ref="G137:H137" si="36">((1000*G36)+(2000*G39)+(1750*G41)+(1500*G42)+(1500*G43)+(1500*G44)+(1000*G47)+(1000*G48)+(500*G49)+(500*G50)+(500*G51)+(500*G52)+(500*G53)+(500*G54)+(1000*G55)+(1000*G56)+(1000*G57)+(1000*G58)+(1000*G59)+(1000*G60))*0.7</f>
        <v>0</v>
      </c>
      <c r="H137" s="7">
        <f t="shared" si="36"/>
        <v>0</v>
      </c>
      <c r="I137" s="7">
        <f t="shared" ref="I137:I142" si="37">SUM(B137:H137)</f>
        <v>12935</v>
      </c>
      <c r="J137" s="19"/>
    </row>
    <row r="138" spans="1:11" x14ac:dyDescent="0.25">
      <c r="A138" s="87" t="s">
        <v>116</v>
      </c>
      <c r="B138" s="88">
        <f>125*B66+125*6</f>
        <v>2250</v>
      </c>
      <c r="C138" s="89">
        <f>125*C66</f>
        <v>125</v>
      </c>
      <c r="D138" s="89">
        <f t="shared" ref="D138:H138" si="38">125*D66</f>
        <v>125</v>
      </c>
      <c r="E138" s="89"/>
      <c r="F138" s="89"/>
      <c r="G138" s="89">
        <f t="shared" si="38"/>
        <v>0</v>
      </c>
      <c r="H138" s="89">
        <f t="shared" si="38"/>
        <v>0</v>
      </c>
      <c r="I138" s="7">
        <f t="shared" si="37"/>
        <v>2500</v>
      </c>
      <c r="J138" s="19"/>
    </row>
    <row r="139" spans="1:11" x14ac:dyDescent="0.25">
      <c r="A139" s="40" t="s">
        <v>117</v>
      </c>
      <c r="B139" s="7">
        <v>0</v>
      </c>
      <c r="C139" s="14"/>
      <c r="D139" s="14"/>
      <c r="E139" s="14"/>
      <c r="F139" s="14"/>
      <c r="G139" s="14"/>
      <c r="H139" s="14"/>
      <c r="I139" s="7">
        <f t="shared" si="37"/>
        <v>0</v>
      </c>
      <c r="J139" s="19"/>
    </row>
    <row r="140" spans="1:11" x14ac:dyDescent="0.25">
      <c r="A140" s="40" t="s">
        <v>118</v>
      </c>
      <c r="B140" s="7"/>
      <c r="C140" s="14"/>
      <c r="D140" s="14"/>
      <c r="E140" s="14"/>
      <c r="F140" s="14"/>
      <c r="G140" s="14"/>
      <c r="H140" s="14"/>
      <c r="I140" s="7">
        <f t="shared" si="37"/>
        <v>0</v>
      </c>
      <c r="J140" s="19"/>
    </row>
    <row r="141" spans="1:11" x14ac:dyDescent="0.25">
      <c r="A141" s="40" t="s">
        <v>119</v>
      </c>
      <c r="B141" s="14">
        <v>5000</v>
      </c>
      <c r="C141" s="14"/>
      <c r="D141" s="14"/>
      <c r="E141" s="14"/>
      <c r="F141" s="14"/>
      <c r="G141" s="14"/>
      <c r="H141" s="14"/>
      <c r="I141" s="7">
        <f t="shared" si="37"/>
        <v>5000</v>
      </c>
      <c r="J141" s="19"/>
    </row>
    <row r="142" spans="1:11" x14ac:dyDescent="0.25">
      <c r="A142" s="40" t="s">
        <v>120</v>
      </c>
      <c r="B142" s="47">
        <f>(185*11*B36)-B132</f>
        <v>16280</v>
      </c>
      <c r="C142" s="47">
        <f t="shared" ref="C142:G142" si="39">(185*11*C36)-C132</f>
        <v>2035</v>
      </c>
      <c r="D142" s="47">
        <f t="shared" si="39"/>
        <v>0</v>
      </c>
      <c r="E142" s="47">
        <f t="shared" si="39"/>
        <v>0</v>
      </c>
      <c r="F142" s="47">
        <f t="shared" si="39"/>
        <v>0</v>
      </c>
      <c r="G142" s="47">
        <f t="shared" si="39"/>
        <v>0</v>
      </c>
      <c r="H142" s="47">
        <f t="shared" ref="H142" si="40">(175*11*H36)-H132</f>
        <v>0</v>
      </c>
      <c r="I142" s="7">
        <f t="shared" si="37"/>
        <v>18315</v>
      </c>
      <c r="J142" s="19" t="s">
        <v>121</v>
      </c>
    </row>
    <row r="143" spans="1:11" x14ac:dyDescent="0.25">
      <c r="A143" s="91" t="s">
        <v>122</v>
      </c>
      <c r="B143" s="92">
        <f>SUM(B135:B142)</f>
        <v>376657.04223200004</v>
      </c>
      <c r="C143" s="92">
        <f t="shared" ref="C143:H143" si="41">SUM(C135:C142)</f>
        <v>30955</v>
      </c>
      <c r="D143" s="92">
        <f t="shared" si="41"/>
        <v>12608</v>
      </c>
      <c r="E143" s="92">
        <f t="shared" si="41"/>
        <v>0</v>
      </c>
      <c r="F143" s="92">
        <f t="shared" si="41"/>
        <v>10657.800000000001</v>
      </c>
      <c r="G143" s="92">
        <f t="shared" si="41"/>
        <v>0</v>
      </c>
      <c r="H143" s="92">
        <f t="shared" si="41"/>
        <v>0</v>
      </c>
      <c r="I143" s="92">
        <f>SUM(I135:I142)</f>
        <v>430877.84223200008</v>
      </c>
      <c r="J143" s="10"/>
      <c r="K143" s="10"/>
    </row>
    <row r="144" spans="1:11" x14ac:dyDescent="0.25">
      <c r="A144" s="83" t="s">
        <v>123</v>
      </c>
      <c r="B144" s="84">
        <f>B134+B143</f>
        <v>1092347.183032</v>
      </c>
      <c r="C144" s="84">
        <f>C134+C143</f>
        <v>88955</v>
      </c>
      <c r="D144" s="84">
        <f>D134+D143</f>
        <v>37808</v>
      </c>
      <c r="E144" s="84">
        <f>E134+E143</f>
        <v>0</v>
      </c>
      <c r="F144" s="84">
        <f t="shared" ref="F144:G144" si="42">F134+F143</f>
        <v>32977.800000000003</v>
      </c>
      <c r="G144" s="84">
        <f t="shared" si="42"/>
        <v>0</v>
      </c>
      <c r="H144" s="84">
        <f>H134+H143</f>
        <v>0</v>
      </c>
      <c r="I144" s="84">
        <f>I134+I143</f>
        <v>1252087.9830320003</v>
      </c>
      <c r="J144" s="10"/>
      <c r="K144" s="10"/>
    </row>
    <row r="145" spans="1:11" x14ac:dyDescent="0.25">
      <c r="A145" s="93" t="s">
        <v>124</v>
      </c>
      <c r="B145" s="24" t="str">
        <f>B1</f>
        <v>Operating</v>
      </c>
      <c r="C145" s="24" t="str">
        <f>C1</f>
        <v>SPED</v>
      </c>
      <c r="D145" s="24" t="str">
        <f>D1</f>
        <v>NSLP</v>
      </c>
      <c r="E145" s="24" t="str">
        <f>E1</f>
        <v>Other</v>
      </c>
      <c r="F145" s="24" t="str">
        <f t="shared" ref="F145:G145" si="43">F1</f>
        <v>Title I</v>
      </c>
      <c r="G145" s="24" t="str">
        <f t="shared" si="43"/>
        <v>Title II</v>
      </c>
      <c r="H145" s="24" t="str">
        <f>H1</f>
        <v>Title III</v>
      </c>
      <c r="I145" s="24" t="str">
        <f>I1</f>
        <v>Total (23-24)</v>
      </c>
      <c r="J145" s="10"/>
      <c r="K145" s="10"/>
    </row>
    <row r="146" spans="1:11" x14ac:dyDescent="0.25">
      <c r="A146" s="94" t="s">
        <v>125</v>
      </c>
      <c r="B146" s="7">
        <f>205*B17</f>
        <v>30750</v>
      </c>
      <c r="C146" s="14"/>
      <c r="D146" s="14"/>
      <c r="E146" s="14"/>
      <c r="F146" s="14"/>
      <c r="G146" s="14"/>
      <c r="H146" s="14"/>
      <c r="I146" s="7">
        <f t="shared" ref="I146:I154" si="44">SUM(B146:H146)</f>
        <v>30750</v>
      </c>
      <c r="J146" s="8" t="s">
        <v>126</v>
      </c>
    </row>
    <row r="147" spans="1:11" x14ac:dyDescent="0.25">
      <c r="A147" s="95" t="s">
        <v>127</v>
      </c>
      <c r="B147" s="7">
        <f>500*B16</f>
        <v>5000</v>
      </c>
      <c r="C147" s="14"/>
      <c r="D147" s="14"/>
      <c r="E147" s="14"/>
      <c r="F147" s="14"/>
      <c r="G147" s="14"/>
      <c r="H147" s="14"/>
      <c r="I147" s="7">
        <f t="shared" si="44"/>
        <v>5000</v>
      </c>
      <c r="J147" s="19"/>
    </row>
    <row r="148" spans="1:11" x14ac:dyDescent="0.25">
      <c r="A148" s="40" t="s">
        <v>128</v>
      </c>
      <c r="B148" s="14">
        <v>0</v>
      </c>
      <c r="C148" s="14"/>
      <c r="D148" s="14"/>
      <c r="E148" s="14"/>
      <c r="F148" s="14"/>
      <c r="G148" s="14"/>
      <c r="H148" s="14"/>
      <c r="I148" s="7">
        <f t="shared" si="44"/>
        <v>0</v>
      </c>
      <c r="J148" s="19"/>
    </row>
    <row r="149" spans="1:11" x14ac:dyDescent="0.25">
      <c r="A149" s="40" t="s">
        <v>129</v>
      </c>
      <c r="B149" s="7">
        <f>30*B17</f>
        <v>4500</v>
      </c>
      <c r="C149" s="14"/>
      <c r="D149" s="14"/>
      <c r="E149" s="14"/>
      <c r="F149" s="14"/>
      <c r="G149" s="14"/>
      <c r="H149" s="14"/>
      <c r="I149" s="7">
        <f t="shared" si="44"/>
        <v>4500</v>
      </c>
      <c r="J149" s="8" t="s">
        <v>130</v>
      </c>
    </row>
    <row r="150" spans="1:11" x14ac:dyDescent="0.25">
      <c r="A150" s="40" t="s">
        <v>131</v>
      </c>
      <c r="B150" s="7">
        <f>40*B17</f>
        <v>6000</v>
      </c>
      <c r="C150" s="14"/>
      <c r="D150" s="14"/>
      <c r="E150" s="14"/>
      <c r="F150" s="14"/>
      <c r="G150" s="14"/>
      <c r="H150" s="14"/>
      <c r="I150" s="7">
        <f t="shared" si="44"/>
        <v>6000</v>
      </c>
      <c r="J150" s="8" t="s">
        <v>132</v>
      </c>
    </row>
    <row r="151" spans="1:11" x14ac:dyDescent="0.25">
      <c r="A151" s="40" t="s">
        <v>133</v>
      </c>
      <c r="B151" s="7">
        <f>10*B17</f>
        <v>1500</v>
      </c>
      <c r="C151" s="14"/>
      <c r="D151" s="14"/>
      <c r="E151" s="14"/>
      <c r="F151" s="14"/>
      <c r="G151" s="14"/>
      <c r="H151" s="14"/>
      <c r="I151" s="7">
        <f t="shared" si="44"/>
        <v>1500</v>
      </c>
      <c r="J151" s="8" t="s">
        <v>134</v>
      </c>
    </row>
    <row r="152" spans="1:11" x14ac:dyDescent="0.25">
      <c r="A152" s="40" t="s">
        <v>135</v>
      </c>
      <c r="B152" s="7">
        <f>8*B17</f>
        <v>1200</v>
      </c>
      <c r="C152" s="14"/>
      <c r="D152" s="14"/>
      <c r="E152" s="14"/>
      <c r="F152" s="14"/>
      <c r="G152" s="14"/>
      <c r="H152" s="14"/>
      <c r="I152" s="7">
        <f t="shared" si="44"/>
        <v>1200</v>
      </c>
      <c r="J152" s="8" t="s">
        <v>136</v>
      </c>
    </row>
    <row r="153" spans="1:11" x14ac:dyDescent="0.25">
      <c r="A153" s="40" t="s">
        <v>137</v>
      </c>
      <c r="B153" s="7">
        <f>129*B20</f>
        <v>0</v>
      </c>
      <c r="C153" s="14">
        <f>150*(C20)</f>
        <v>2833.333333333333</v>
      </c>
      <c r="D153" s="14"/>
      <c r="E153" s="14"/>
      <c r="F153" s="14"/>
      <c r="G153" s="14"/>
      <c r="H153" s="14"/>
      <c r="I153" s="7">
        <f t="shared" si="44"/>
        <v>2833.333333333333</v>
      </c>
      <c r="J153" s="8" t="s">
        <v>138</v>
      </c>
    </row>
    <row r="154" spans="1:11" x14ac:dyDescent="0.25">
      <c r="A154" s="40" t="s">
        <v>139</v>
      </c>
      <c r="B154" s="7">
        <v>7500</v>
      </c>
      <c r="C154" s="7"/>
      <c r="D154" s="7"/>
      <c r="E154" s="7"/>
      <c r="F154" s="7"/>
      <c r="G154" s="7"/>
      <c r="H154" s="7"/>
      <c r="I154" s="7">
        <f t="shared" si="44"/>
        <v>7500</v>
      </c>
      <c r="J154" s="19"/>
    </row>
    <row r="155" spans="1:11" x14ac:dyDescent="0.25">
      <c r="A155" s="96" t="s">
        <v>140</v>
      </c>
      <c r="B155" s="97">
        <f>B17*45</f>
        <v>6750</v>
      </c>
      <c r="C155" s="7"/>
      <c r="D155" s="7"/>
      <c r="E155" s="7"/>
      <c r="F155" s="7"/>
      <c r="G155" s="7"/>
      <c r="H155" s="7"/>
      <c r="I155" s="7">
        <f>SUM(B155:H155)</f>
        <v>6750</v>
      </c>
      <c r="J155" s="19" t="s">
        <v>141</v>
      </c>
    </row>
    <row r="156" spans="1:11" x14ac:dyDescent="0.25">
      <c r="A156" s="83" t="s">
        <v>142</v>
      </c>
      <c r="B156" s="84">
        <f>SUM(B146:B155)</f>
        <v>63200</v>
      </c>
      <c r="C156" s="84">
        <f t="shared" ref="C156:H156" si="45">SUM(C146:C155)</f>
        <v>2833.333333333333</v>
      </c>
      <c r="D156" s="84">
        <f t="shared" si="45"/>
        <v>0</v>
      </c>
      <c r="E156" s="84">
        <f t="shared" si="45"/>
        <v>0</v>
      </c>
      <c r="F156" s="84">
        <f t="shared" si="45"/>
        <v>0</v>
      </c>
      <c r="G156" s="84">
        <f t="shared" si="45"/>
        <v>0</v>
      </c>
      <c r="H156" s="84">
        <f t="shared" si="45"/>
        <v>0</v>
      </c>
      <c r="I156" s="84">
        <f>SUM(I146:I155)</f>
        <v>66033.333333333343</v>
      </c>
      <c r="J156" s="10"/>
      <c r="K156" s="10"/>
    </row>
    <row r="157" spans="1:11" x14ac:dyDescent="0.25">
      <c r="A157" s="93" t="s">
        <v>143</v>
      </c>
      <c r="B157" s="24" t="str">
        <f t="shared" ref="B157:I157" si="46">B1</f>
        <v>Operating</v>
      </c>
      <c r="C157" s="24" t="str">
        <f t="shared" si="46"/>
        <v>SPED</v>
      </c>
      <c r="D157" s="24" t="str">
        <f t="shared" si="46"/>
        <v>NSLP</v>
      </c>
      <c r="E157" s="24" t="str">
        <f t="shared" si="46"/>
        <v>Other</v>
      </c>
      <c r="F157" s="24" t="str">
        <f t="shared" si="46"/>
        <v>Title I</v>
      </c>
      <c r="G157" s="24" t="str">
        <f t="shared" si="46"/>
        <v>Title II</v>
      </c>
      <c r="H157" s="24" t="str">
        <f t="shared" si="46"/>
        <v>Title III</v>
      </c>
      <c r="I157" s="24" t="str">
        <f t="shared" si="46"/>
        <v>Total (23-24)</v>
      </c>
      <c r="J157" s="10"/>
      <c r="K157" s="10"/>
    </row>
    <row r="158" spans="1:11" x14ac:dyDescent="0.25">
      <c r="A158" s="40" t="s">
        <v>144</v>
      </c>
      <c r="B158" s="14">
        <f>12000</f>
        <v>12000</v>
      </c>
      <c r="C158" s="14"/>
      <c r="D158" s="14"/>
      <c r="E158" s="14"/>
      <c r="F158" s="14"/>
      <c r="G158" s="14"/>
      <c r="H158" s="14"/>
      <c r="I158" s="7">
        <f>SUM(B158:H158)</f>
        <v>12000</v>
      </c>
      <c r="J158" s="19"/>
    </row>
    <row r="159" spans="1:11" x14ac:dyDescent="0.25">
      <c r="A159" s="40" t="s">
        <v>145</v>
      </c>
      <c r="B159" s="14">
        <v>0</v>
      </c>
      <c r="C159" s="14">
        <f>480*B17</f>
        <v>72000</v>
      </c>
      <c r="D159" s="7"/>
      <c r="E159" s="7"/>
      <c r="F159" s="7"/>
      <c r="G159" s="7"/>
      <c r="H159" s="7"/>
      <c r="I159" s="7">
        <f t="shared" ref="I159:I171" si="47">SUM(B159:H159)</f>
        <v>72000</v>
      </c>
      <c r="J159" s="19" t="s">
        <v>258</v>
      </c>
    </row>
    <row r="160" spans="1:11" x14ac:dyDescent="0.25">
      <c r="A160" s="40" t="s">
        <v>343</v>
      </c>
      <c r="B160" s="14">
        <f>'24-25'!B160*1.05</f>
        <v>66150</v>
      </c>
      <c r="C160" s="7"/>
      <c r="D160" s="7"/>
      <c r="E160" s="7"/>
      <c r="F160" s="7"/>
      <c r="G160" s="7"/>
      <c r="H160" s="7"/>
      <c r="I160" s="7">
        <f t="shared" si="47"/>
        <v>66150</v>
      </c>
      <c r="J160" s="19"/>
    </row>
    <row r="161" spans="1:11" x14ac:dyDescent="0.25">
      <c r="A161" s="40" t="s">
        <v>147</v>
      </c>
      <c r="B161" s="14"/>
      <c r="C161" s="7"/>
      <c r="D161" s="7"/>
      <c r="E161" s="7"/>
      <c r="F161" s="7"/>
      <c r="G161" s="7"/>
      <c r="H161" s="7"/>
      <c r="I161" s="7">
        <f t="shared" si="47"/>
        <v>0</v>
      </c>
      <c r="J161" s="19"/>
    </row>
    <row r="162" spans="1:11" x14ac:dyDescent="0.25">
      <c r="A162" s="40" t="s">
        <v>148</v>
      </c>
      <c r="B162" s="14">
        <f>495*B17</f>
        <v>74250</v>
      </c>
      <c r="C162" s="7"/>
      <c r="D162" s="7"/>
      <c r="E162" s="7"/>
      <c r="F162" s="7"/>
      <c r="G162" s="7"/>
      <c r="H162" s="7"/>
      <c r="I162" s="7">
        <f t="shared" si="47"/>
        <v>74250</v>
      </c>
      <c r="J162" s="19" t="s">
        <v>149</v>
      </c>
    </row>
    <row r="163" spans="1:11" x14ac:dyDescent="0.25">
      <c r="A163" s="40" t="s">
        <v>150</v>
      </c>
      <c r="B163" s="14">
        <f>'24-25'!B163*1.05</f>
        <v>8569.7325000000001</v>
      </c>
      <c r="C163" s="14"/>
      <c r="D163" s="14"/>
      <c r="E163" s="14"/>
      <c r="F163" s="14"/>
      <c r="G163" s="14"/>
      <c r="H163" s="14">
        <f>(240*H66)</f>
        <v>0</v>
      </c>
      <c r="I163" s="7">
        <f t="shared" si="47"/>
        <v>8569.7325000000001</v>
      </c>
      <c r="J163" s="19" t="s">
        <v>224</v>
      </c>
    </row>
    <row r="164" spans="1:11" x14ac:dyDescent="0.25">
      <c r="A164" s="40" t="s">
        <v>151</v>
      </c>
      <c r="B164" s="14">
        <f>'24-25'!B164*1.05</f>
        <v>62291.25</v>
      </c>
      <c r="C164" s="7"/>
      <c r="D164" s="7"/>
      <c r="E164" s="7"/>
      <c r="F164" s="7"/>
      <c r="G164" s="7"/>
      <c r="H164" s="7"/>
      <c r="I164" s="7">
        <f t="shared" si="47"/>
        <v>62291.25</v>
      </c>
      <c r="J164" s="19"/>
    </row>
    <row r="165" spans="1:11" x14ac:dyDescent="0.25">
      <c r="A165" s="40" t="s">
        <v>152</v>
      </c>
      <c r="B165" s="7">
        <f>5500</f>
        <v>5500</v>
      </c>
      <c r="C165" s="7"/>
      <c r="D165" s="7"/>
      <c r="E165" s="7"/>
      <c r="F165" s="7"/>
      <c r="G165" s="7"/>
      <c r="H165" s="7"/>
      <c r="I165" s="7">
        <f t="shared" si="47"/>
        <v>5500</v>
      </c>
      <c r="J165" s="19"/>
    </row>
    <row r="166" spans="1:11" x14ac:dyDescent="0.25">
      <c r="A166" s="40" t="s">
        <v>153</v>
      </c>
      <c r="B166" s="14">
        <f>50*B17+(60*12)</f>
        <v>8220</v>
      </c>
      <c r="C166" s="7"/>
      <c r="D166" s="7"/>
      <c r="E166" s="7"/>
      <c r="F166" s="7"/>
      <c r="G166" s="7"/>
      <c r="H166" s="7"/>
      <c r="I166" s="7">
        <f t="shared" si="47"/>
        <v>8220</v>
      </c>
      <c r="J166" s="19" t="s">
        <v>154</v>
      </c>
    </row>
    <row r="167" spans="1:11" x14ac:dyDescent="0.25">
      <c r="A167" s="40" t="s">
        <v>155</v>
      </c>
      <c r="B167" s="14">
        <f>15000</f>
        <v>15000</v>
      </c>
      <c r="C167" s="7"/>
      <c r="D167" s="7"/>
      <c r="E167" s="7"/>
      <c r="F167" s="7"/>
      <c r="G167" s="7"/>
      <c r="H167" s="7"/>
      <c r="I167" s="7">
        <f t="shared" si="47"/>
        <v>15000</v>
      </c>
      <c r="J167" s="19"/>
    </row>
    <row r="168" spans="1:11" x14ac:dyDescent="0.25">
      <c r="A168" s="40" t="s">
        <v>156</v>
      </c>
      <c r="B168" s="14">
        <f>(B75+B76+B77+B78)*0.0125</f>
        <v>19316.232916666668</v>
      </c>
      <c r="C168" s="7"/>
      <c r="D168" s="7"/>
      <c r="E168" s="7"/>
      <c r="F168" s="7"/>
      <c r="G168" s="7"/>
      <c r="H168" s="7"/>
      <c r="I168" s="7">
        <f t="shared" si="47"/>
        <v>19316.232916666668</v>
      </c>
      <c r="J168" s="98">
        <v>1.2500000000000001E-2</v>
      </c>
      <c r="K168" s="99"/>
    </row>
    <row r="169" spans="1:11" x14ac:dyDescent="0.25">
      <c r="A169" s="40" t="s">
        <v>157</v>
      </c>
      <c r="B169" s="14">
        <f>'24-25'!B169+500</f>
        <v>11000</v>
      </c>
      <c r="C169" s="7"/>
      <c r="D169" s="7"/>
      <c r="E169" s="7"/>
      <c r="F169" s="7"/>
      <c r="G169" s="7"/>
      <c r="H169" s="7"/>
      <c r="I169" s="7">
        <f t="shared" si="47"/>
        <v>11000</v>
      </c>
      <c r="J169" s="98" t="s">
        <v>158</v>
      </c>
      <c r="K169" s="99"/>
    </row>
    <row r="170" spans="1:11" x14ac:dyDescent="0.25">
      <c r="A170" s="40" t="s">
        <v>159</v>
      </c>
      <c r="B170" s="14">
        <v>0</v>
      </c>
      <c r="C170" s="7"/>
      <c r="D170" s="7"/>
      <c r="E170" s="7"/>
      <c r="F170" s="7"/>
      <c r="G170" s="7"/>
      <c r="H170" s="7"/>
      <c r="I170" s="7">
        <f t="shared" si="47"/>
        <v>0</v>
      </c>
      <c r="J170" s="98"/>
      <c r="K170" s="99"/>
    </row>
    <row r="171" spans="1:11" x14ac:dyDescent="0.25">
      <c r="A171" s="96" t="s">
        <v>161</v>
      </c>
      <c r="B171" s="14">
        <f>B75*0.0025</f>
        <v>3576.1432500000001</v>
      </c>
      <c r="C171" s="7"/>
      <c r="D171" s="7"/>
      <c r="E171" s="7"/>
      <c r="F171" s="7"/>
      <c r="G171" s="7">
        <f>G87</f>
        <v>8000</v>
      </c>
      <c r="H171" s="7">
        <f>H88</f>
        <v>1500</v>
      </c>
      <c r="I171" s="7">
        <f t="shared" si="47"/>
        <v>13076.143250000001</v>
      </c>
      <c r="J171" s="98" t="s">
        <v>160</v>
      </c>
      <c r="K171" s="99"/>
    </row>
    <row r="172" spans="1:11" x14ac:dyDescent="0.25">
      <c r="A172" s="83" t="s">
        <v>162</v>
      </c>
      <c r="B172" s="84">
        <f>SUM(B158:B171)</f>
        <v>285873.35866666673</v>
      </c>
      <c r="C172" s="84">
        <f t="shared" ref="C172:H172" si="48">SUM(C158:C171)</f>
        <v>72000</v>
      </c>
      <c r="D172" s="84">
        <f t="shared" si="48"/>
        <v>0</v>
      </c>
      <c r="E172" s="84">
        <f t="shared" si="48"/>
        <v>0</v>
      </c>
      <c r="F172" s="84">
        <f t="shared" si="48"/>
        <v>0</v>
      </c>
      <c r="G172" s="84">
        <f t="shared" si="48"/>
        <v>8000</v>
      </c>
      <c r="H172" s="84">
        <f t="shared" si="48"/>
        <v>1500</v>
      </c>
      <c r="I172" s="84">
        <f>SUM(I158:I171)</f>
        <v>367373.35866666673</v>
      </c>
      <c r="J172" s="10"/>
      <c r="K172" s="10"/>
    </row>
    <row r="173" spans="1:11" x14ac:dyDescent="0.25">
      <c r="A173" s="93" t="s">
        <v>163</v>
      </c>
      <c r="B173" s="24" t="str">
        <f t="shared" ref="B173:I173" si="49">B1</f>
        <v>Operating</v>
      </c>
      <c r="C173" s="24" t="str">
        <f t="shared" si="49"/>
        <v>SPED</v>
      </c>
      <c r="D173" s="24" t="str">
        <f t="shared" si="49"/>
        <v>NSLP</v>
      </c>
      <c r="E173" s="24" t="str">
        <f t="shared" si="49"/>
        <v>Other</v>
      </c>
      <c r="F173" s="24" t="str">
        <f t="shared" si="49"/>
        <v>Title I</v>
      </c>
      <c r="G173" s="24" t="str">
        <f t="shared" si="49"/>
        <v>Title II</v>
      </c>
      <c r="H173" s="24" t="str">
        <f t="shared" si="49"/>
        <v>Title III</v>
      </c>
      <c r="I173" s="24" t="str">
        <f t="shared" si="49"/>
        <v>Total (23-24)</v>
      </c>
      <c r="J173" s="10"/>
      <c r="K173" s="10"/>
    </row>
    <row r="174" spans="1:11" x14ac:dyDescent="0.25">
      <c r="A174" s="100" t="s">
        <v>164</v>
      </c>
      <c r="B174" s="14">
        <f>'24-25'!B174*1.03</f>
        <v>6365.4000000000005</v>
      </c>
      <c r="C174" s="7"/>
      <c r="D174" s="7"/>
      <c r="E174" s="7"/>
      <c r="F174" s="7"/>
      <c r="G174" s="7"/>
      <c r="H174" s="7"/>
      <c r="I174" s="7">
        <f t="shared" ref="I174:I180" si="50">SUM(B174:H174)</f>
        <v>6365.4000000000005</v>
      </c>
      <c r="J174" s="19"/>
    </row>
    <row r="175" spans="1:11" x14ac:dyDescent="0.25">
      <c r="A175" s="40" t="s">
        <v>165</v>
      </c>
      <c r="B175" s="14">
        <f>'24-25'!B175*1.03</f>
        <v>7426.3</v>
      </c>
      <c r="C175" s="7"/>
      <c r="D175" s="7"/>
      <c r="E175" s="7"/>
      <c r="F175" s="7"/>
      <c r="G175" s="7"/>
      <c r="H175" s="7"/>
      <c r="I175" s="7">
        <f t="shared" si="50"/>
        <v>7426.3</v>
      </c>
      <c r="J175" s="19"/>
    </row>
    <row r="176" spans="1:11" x14ac:dyDescent="0.25">
      <c r="A176" s="40" t="s">
        <v>166</v>
      </c>
      <c r="B176" s="97"/>
      <c r="C176" s="7"/>
      <c r="D176" s="7"/>
      <c r="E176" s="7"/>
      <c r="F176" s="7"/>
      <c r="G176" s="7"/>
      <c r="H176" s="7"/>
      <c r="I176" s="7">
        <f t="shared" si="50"/>
        <v>0</v>
      </c>
      <c r="J176" s="19"/>
    </row>
    <row r="177" spans="1:11" x14ac:dyDescent="0.25">
      <c r="A177" s="40" t="s">
        <v>167</v>
      </c>
      <c r="B177" s="97">
        <f>1000</f>
        <v>1000</v>
      </c>
      <c r="C177" s="7"/>
      <c r="D177" s="7"/>
      <c r="E177" s="7"/>
      <c r="F177" s="7"/>
      <c r="G177" s="7"/>
      <c r="H177" s="7"/>
      <c r="I177" s="7">
        <f t="shared" si="50"/>
        <v>1000</v>
      </c>
      <c r="J177" s="19"/>
    </row>
    <row r="178" spans="1:11" x14ac:dyDescent="0.25">
      <c r="A178" s="40" t="s">
        <v>168</v>
      </c>
      <c r="B178" s="14">
        <f>'24-25'!B178*1.03</f>
        <v>5834.95</v>
      </c>
      <c r="C178" s="7"/>
      <c r="D178" s="7"/>
      <c r="E178" s="7"/>
      <c r="F178" s="7"/>
      <c r="G178" s="7"/>
      <c r="H178" s="7"/>
      <c r="I178" s="7">
        <f t="shared" si="50"/>
        <v>5834.95</v>
      </c>
      <c r="J178" s="19"/>
    </row>
    <row r="179" spans="1:11" x14ac:dyDescent="0.25">
      <c r="A179" s="40" t="s">
        <v>169</v>
      </c>
      <c r="B179" s="14">
        <f>'24-25'!B179*1.06</f>
        <v>26966.400000000001</v>
      </c>
      <c r="C179" s="7"/>
      <c r="D179" s="7"/>
      <c r="E179" s="7"/>
      <c r="F179" s="7"/>
      <c r="G179" s="7"/>
      <c r="H179" s="7"/>
      <c r="I179" s="7">
        <f t="shared" si="50"/>
        <v>26966.400000000001</v>
      </c>
      <c r="J179" s="19"/>
    </row>
    <row r="180" spans="1:11" x14ac:dyDescent="0.25">
      <c r="A180" s="40" t="s">
        <v>170</v>
      </c>
      <c r="B180" s="88">
        <f>8500+(B17*2.5)</f>
        <v>8875</v>
      </c>
      <c r="C180" s="7"/>
      <c r="D180" s="7"/>
      <c r="E180" s="7"/>
      <c r="F180" s="7"/>
      <c r="G180" s="7"/>
      <c r="H180" s="7"/>
      <c r="I180" s="7">
        <f t="shared" si="50"/>
        <v>8875</v>
      </c>
      <c r="J180" s="19"/>
    </row>
    <row r="181" spans="1:11" x14ac:dyDescent="0.25">
      <c r="A181" s="40" t="s">
        <v>171</v>
      </c>
      <c r="B181" s="14">
        <f>'24-25'!B181*1.06</f>
        <v>11703.417600000002</v>
      </c>
      <c r="C181" s="7"/>
      <c r="D181" s="7"/>
      <c r="E181" s="7"/>
      <c r="F181" s="7"/>
      <c r="G181" s="7"/>
      <c r="H181" s="7"/>
      <c r="I181" s="7">
        <f>SUM(B181:H181)</f>
        <v>11703.417600000002</v>
      </c>
      <c r="J181" s="19"/>
    </row>
    <row r="182" spans="1:11" x14ac:dyDescent="0.25">
      <c r="A182" s="40" t="s">
        <v>172</v>
      </c>
      <c r="B182" s="14">
        <f>'24-25'!B182*1.06</f>
        <v>10240.490400000001</v>
      </c>
      <c r="C182" s="7"/>
      <c r="D182" s="7"/>
      <c r="E182" s="7"/>
      <c r="F182" s="7"/>
      <c r="G182" s="7"/>
      <c r="H182" s="7"/>
      <c r="I182" s="7">
        <f>SUM(B182:H182)</f>
        <v>10240.490400000001</v>
      </c>
      <c r="J182" s="19"/>
    </row>
    <row r="183" spans="1:11" x14ac:dyDescent="0.25">
      <c r="A183" s="40" t="s">
        <v>173</v>
      </c>
      <c r="B183" s="14">
        <f>'24-25'!B183*1.06</f>
        <v>14629.272000000001</v>
      </c>
      <c r="C183" s="7"/>
      <c r="D183" s="7"/>
      <c r="E183" s="7"/>
      <c r="F183" s="7"/>
      <c r="G183" s="7"/>
      <c r="H183" s="7"/>
      <c r="I183" s="7">
        <f>SUM(B183:H183)</f>
        <v>14629.272000000001</v>
      </c>
      <c r="J183" s="19"/>
    </row>
    <row r="184" spans="1:11" x14ac:dyDescent="0.25">
      <c r="A184" s="40" t="s">
        <v>174</v>
      </c>
      <c r="B184" s="7"/>
      <c r="C184" s="7"/>
      <c r="D184" s="14">
        <f>((B17*D23)*2.4*180)</f>
        <v>64800</v>
      </c>
      <c r="E184" s="7"/>
      <c r="F184" s="7"/>
      <c r="G184" s="7"/>
      <c r="H184" s="7"/>
      <c r="I184" s="7">
        <f t="shared" ref="I184:I197" si="51">SUM(B184:H184)</f>
        <v>64800</v>
      </c>
      <c r="J184" s="70">
        <v>2.4</v>
      </c>
      <c r="K184" s="101"/>
    </row>
    <row r="185" spans="1:11" x14ac:dyDescent="0.25">
      <c r="A185" s="40" t="s">
        <v>175</v>
      </c>
      <c r="B185" s="7"/>
      <c r="C185" s="7"/>
      <c r="D185" s="14">
        <f>((B17*D23)*3.75*180)</f>
        <v>101250</v>
      </c>
      <c r="E185" s="7"/>
      <c r="F185" s="7"/>
      <c r="G185" s="7"/>
      <c r="H185" s="7"/>
      <c r="I185" s="7">
        <f t="shared" si="51"/>
        <v>101250</v>
      </c>
      <c r="J185" s="70">
        <v>3.75</v>
      </c>
      <c r="K185" s="101"/>
    </row>
    <row r="186" spans="1:11" x14ac:dyDescent="0.25">
      <c r="A186" s="40" t="s">
        <v>176</v>
      </c>
      <c r="B186" s="7">
        <f>5000</f>
        <v>5000</v>
      </c>
      <c r="C186" s="7"/>
      <c r="D186" s="7"/>
      <c r="E186" s="7"/>
      <c r="F186" s="7"/>
      <c r="G186" s="7"/>
      <c r="H186" s="7"/>
      <c r="I186" s="7">
        <f t="shared" si="51"/>
        <v>5000</v>
      </c>
      <c r="J186" s="19"/>
    </row>
    <row r="187" spans="1:11" x14ac:dyDescent="0.25">
      <c r="A187" s="40" t="s">
        <v>177</v>
      </c>
      <c r="B187" s="7">
        <v>1500</v>
      </c>
      <c r="C187" s="7"/>
      <c r="D187" s="7"/>
      <c r="E187" s="7"/>
      <c r="F187" s="7"/>
      <c r="G187" s="7"/>
      <c r="H187" s="7"/>
      <c r="I187" s="7">
        <f t="shared" si="51"/>
        <v>1500</v>
      </c>
      <c r="J187" s="19"/>
    </row>
    <row r="188" spans="1:11" x14ac:dyDescent="0.25">
      <c r="A188" s="40" t="s">
        <v>178</v>
      </c>
      <c r="B188" s="7">
        <f>60*20</f>
        <v>1200</v>
      </c>
      <c r="C188" s="7">
        <v>0</v>
      </c>
      <c r="D188" s="7">
        <v>0</v>
      </c>
      <c r="E188" s="7"/>
      <c r="F188" s="7"/>
      <c r="G188" s="7"/>
      <c r="H188" s="7"/>
      <c r="I188" s="7">
        <f t="shared" si="51"/>
        <v>1200</v>
      </c>
      <c r="J188" s="19"/>
    </row>
    <row r="189" spans="1:11" x14ac:dyDescent="0.25">
      <c r="A189" s="40" t="s">
        <v>179</v>
      </c>
      <c r="B189" s="14">
        <f>10000</f>
        <v>10000</v>
      </c>
      <c r="C189" s="7"/>
      <c r="D189" s="7"/>
      <c r="E189" s="7"/>
      <c r="F189" s="7"/>
      <c r="G189" s="7"/>
      <c r="H189" s="7"/>
      <c r="I189" s="7">
        <f t="shared" si="51"/>
        <v>10000</v>
      </c>
      <c r="J189" s="19"/>
    </row>
    <row r="190" spans="1:11" x14ac:dyDescent="0.25">
      <c r="A190" s="40" t="s">
        <v>180</v>
      </c>
      <c r="B190" s="14">
        <v>0</v>
      </c>
      <c r="C190" s="7"/>
      <c r="D190" s="7"/>
      <c r="E190" s="7"/>
      <c r="F190" s="7"/>
      <c r="G190" s="7"/>
      <c r="H190" s="7"/>
      <c r="I190" s="7">
        <f t="shared" si="51"/>
        <v>0</v>
      </c>
      <c r="J190" s="19"/>
    </row>
    <row r="191" spans="1:11" x14ac:dyDescent="0.25">
      <c r="A191" s="40" t="s">
        <v>181</v>
      </c>
      <c r="B191" s="14">
        <v>5000</v>
      </c>
      <c r="C191" s="7"/>
      <c r="D191" s="7"/>
      <c r="E191" s="7"/>
      <c r="F191" s="7"/>
      <c r="G191" s="7"/>
      <c r="H191" s="7"/>
      <c r="I191" s="7">
        <f t="shared" si="51"/>
        <v>5000</v>
      </c>
      <c r="J191" s="19"/>
    </row>
    <row r="192" spans="1:11" x14ac:dyDescent="0.25">
      <c r="A192" s="40" t="s">
        <v>182</v>
      </c>
      <c r="B192" s="14">
        <v>0</v>
      </c>
      <c r="C192" s="7"/>
      <c r="D192" s="7"/>
      <c r="E192" s="7"/>
      <c r="F192" s="7"/>
      <c r="G192" s="7"/>
      <c r="H192" s="7"/>
      <c r="I192" s="7">
        <f t="shared" si="51"/>
        <v>0</v>
      </c>
      <c r="J192" s="19"/>
    </row>
    <row r="193" spans="1:11" x14ac:dyDescent="0.25">
      <c r="A193" s="40" t="s">
        <v>183</v>
      </c>
      <c r="B193" s="14">
        <v>0</v>
      </c>
      <c r="C193" s="14"/>
      <c r="D193" s="14"/>
      <c r="E193" s="14"/>
      <c r="F193" s="14"/>
      <c r="G193" s="14"/>
      <c r="H193" s="14"/>
      <c r="I193" s="7">
        <f t="shared" si="51"/>
        <v>0</v>
      </c>
      <c r="J193" s="19"/>
    </row>
    <row r="194" spans="1:11" x14ac:dyDescent="0.25">
      <c r="A194" s="40" t="s">
        <v>184</v>
      </c>
      <c r="B194" s="14">
        <v>0</v>
      </c>
      <c r="C194" s="14"/>
      <c r="D194" s="14"/>
      <c r="E194" s="14"/>
      <c r="F194" s="14"/>
      <c r="G194" s="14"/>
      <c r="H194" s="14"/>
      <c r="I194" s="7">
        <f t="shared" si="51"/>
        <v>0</v>
      </c>
      <c r="J194" s="19"/>
    </row>
    <row r="195" spans="1:11" x14ac:dyDescent="0.25">
      <c r="A195" s="40" t="s">
        <v>185</v>
      </c>
      <c r="B195" s="14">
        <v>0</v>
      </c>
      <c r="C195" s="14"/>
      <c r="D195" s="14"/>
      <c r="E195" s="14"/>
      <c r="F195" s="14"/>
      <c r="G195" s="14"/>
      <c r="H195" s="14"/>
      <c r="I195" s="7">
        <f t="shared" si="51"/>
        <v>0</v>
      </c>
      <c r="J195" s="19"/>
    </row>
    <row r="196" spans="1:11" x14ac:dyDescent="0.25">
      <c r="A196" s="40" t="s">
        <v>362</v>
      </c>
      <c r="B196" s="14"/>
      <c r="C196" s="14"/>
      <c r="D196" s="14"/>
      <c r="E196" s="14"/>
      <c r="F196" s="14"/>
      <c r="G196" s="14"/>
      <c r="H196" s="14"/>
      <c r="I196" s="7">
        <f t="shared" si="51"/>
        <v>0</v>
      </c>
      <c r="J196" s="19"/>
    </row>
    <row r="197" spans="1:11" x14ac:dyDescent="0.25">
      <c r="A197" s="40" t="s">
        <v>186</v>
      </c>
      <c r="B197" s="104">
        <v>10000</v>
      </c>
      <c r="C197" s="14"/>
      <c r="D197" s="14"/>
      <c r="E197" s="14"/>
      <c r="F197" s="14"/>
      <c r="G197" s="14"/>
      <c r="H197" s="14"/>
      <c r="I197" s="7">
        <f t="shared" si="51"/>
        <v>10000</v>
      </c>
      <c r="J197" s="19"/>
    </row>
    <row r="198" spans="1:11" x14ac:dyDescent="0.25">
      <c r="A198" s="96" t="s">
        <v>187</v>
      </c>
      <c r="B198" s="7">
        <f>((B2*B3)*0)+0</f>
        <v>0</v>
      </c>
      <c r="C198" s="7"/>
      <c r="D198" s="7"/>
      <c r="E198" s="7"/>
      <c r="F198" s="7"/>
      <c r="G198" s="7"/>
      <c r="H198" s="7"/>
      <c r="I198" s="7">
        <f>SUM(B198:H198)</f>
        <v>0</v>
      </c>
      <c r="J198" s="103"/>
      <c r="K198" s="66"/>
    </row>
    <row r="199" spans="1:11" x14ac:dyDescent="0.25">
      <c r="A199" s="83" t="s">
        <v>188</v>
      </c>
      <c r="B199" s="84">
        <f>SUM(B174:B198)</f>
        <v>125741.23</v>
      </c>
      <c r="C199" s="84">
        <f t="shared" ref="C199:I199" si="52">SUM(C174:C198)</f>
        <v>0</v>
      </c>
      <c r="D199" s="84">
        <f t="shared" si="52"/>
        <v>166050</v>
      </c>
      <c r="E199" s="84">
        <f t="shared" si="52"/>
        <v>0</v>
      </c>
      <c r="F199" s="84">
        <f t="shared" si="52"/>
        <v>0</v>
      </c>
      <c r="G199" s="84">
        <f t="shared" si="52"/>
        <v>0</v>
      </c>
      <c r="H199" s="84">
        <f t="shared" si="52"/>
        <v>0</v>
      </c>
      <c r="I199" s="84">
        <f t="shared" si="52"/>
        <v>291791.23</v>
      </c>
      <c r="J199" s="10"/>
      <c r="K199" s="10"/>
    </row>
    <row r="200" spans="1:11" x14ac:dyDescent="0.25">
      <c r="A200" s="93" t="s">
        <v>189</v>
      </c>
      <c r="B200" s="24" t="str">
        <f t="shared" ref="B200:I200" si="53">B1</f>
        <v>Operating</v>
      </c>
      <c r="C200" s="24" t="str">
        <f t="shared" si="53"/>
        <v>SPED</v>
      </c>
      <c r="D200" s="24" t="str">
        <f t="shared" si="53"/>
        <v>NSLP</v>
      </c>
      <c r="E200" s="24" t="str">
        <f t="shared" si="53"/>
        <v>Other</v>
      </c>
      <c r="F200" s="24" t="str">
        <f t="shared" si="53"/>
        <v>Title I</v>
      </c>
      <c r="G200" s="24" t="str">
        <f t="shared" si="53"/>
        <v>Title II</v>
      </c>
      <c r="H200" s="24" t="str">
        <f t="shared" si="53"/>
        <v>Title III</v>
      </c>
      <c r="I200" s="24" t="str">
        <f t="shared" si="53"/>
        <v>Total (23-24)</v>
      </c>
      <c r="J200" s="10"/>
      <c r="K200" s="10"/>
    </row>
    <row r="201" spans="1:11" x14ac:dyDescent="0.25">
      <c r="A201" s="100" t="s">
        <v>190</v>
      </c>
      <c r="B201" s="14">
        <f>'24-25'!B201*1.03</f>
        <v>45320</v>
      </c>
      <c r="C201" s="7"/>
      <c r="D201" s="7"/>
      <c r="E201" s="7"/>
      <c r="F201" s="7"/>
      <c r="G201" s="7"/>
      <c r="H201" s="7"/>
      <c r="I201" s="7">
        <f t="shared" ref="I201:I210" si="54">SUM(B201:H201)</f>
        <v>45320</v>
      </c>
      <c r="J201" s="8"/>
      <c r="K201" s="9"/>
    </row>
    <row r="202" spans="1:11" x14ac:dyDescent="0.25">
      <c r="A202" s="40" t="s">
        <v>193</v>
      </c>
      <c r="B202" s="14">
        <f>'24-25'!B202*1.03</f>
        <v>824</v>
      </c>
      <c r="C202" s="7"/>
      <c r="D202" s="7"/>
      <c r="E202" s="7"/>
      <c r="F202" s="7"/>
      <c r="G202" s="7"/>
      <c r="H202" s="7"/>
      <c r="I202" s="7">
        <f t="shared" si="54"/>
        <v>824</v>
      </c>
      <c r="J202" s="8"/>
    </row>
    <row r="203" spans="1:11" x14ac:dyDescent="0.25">
      <c r="A203" s="40" t="s">
        <v>196</v>
      </c>
      <c r="B203" s="14">
        <f>'24-25'!B203*1.03</f>
        <v>11330</v>
      </c>
      <c r="C203" s="7"/>
      <c r="D203" s="7"/>
      <c r="E203" s="7"/>
      <c r="F203" s="7"/>
      <c r="G203" s="7"/>
      <c r="H203" s="7"/>
      <c r="I203" s="7">
        <f t="shared" si="54"/>
        <v>11330</v>
      </c>
      <c r="J203" s="19"/>
    </row>
    <row r="204" spans="1:11" x14ac:dyDescent="0.25">
      <c r="A204" s="40" t="s">
        <v>198</v>
      </c>
      <c r="B204" s="14">
        <f>'24-25'!B204*1.03</f>
        <v>4120</v>
      </c>
      <c r="C204" s="7"/>
      <c r="D204" s="7"/>
      <c r="E204" s="7"/>
      <c r="F204" s="7"/>
      <c r="G204" s="7"/>
      <c r="H204" s="7"/>
      <c r="I204" s="7">
        <f t="shared" si="54"/>
        <v>4120</v>
      </c>
      <c r="J204" s="19"/>
    </row>
    <row r="205" spans="1:11" x14ac:dyDescent="0.25">
      <c r="A205" s="40" t="s">
        <v>199</v>
      </c>
      <c r="B205" s="14">
        <f>'24-25'!B205*1.03</f>
        <v>1030</v>
      </c>
      <c r="C205" s="7"/>
      <c r="D205" s="7"/>
      <c r="E205" s="7"/>
      <c r="F205" s="7"/>
      <c r="G205" s="7"/>
      <c r="H205" s="7"/>
      <c r="I205" s="7">
        <f t="shared" si="54"/>
        <v>1030</v>
      </c>
      <c r="J205" s="19"/>
    </row>
    <row r="206" spans="1:11" x14ac:dyDescent="0.25">
      <c r="A206" s="40" t="s">
        <v>201</v>
      </c>
      <c r="B206" s="14">
        <f>'24-25'!B206*1.03</f>
        <v>12360</v>
      </c>
      <c r="C206" s="7"/>
      <c r="D206" s="7"/>
      <c r="E206" s="7"/>
      <c r="F206" s="7"/>
      <c r="G206" s="7"/>
      <c r="H206" s="7"/>
      <c r="I206" s="7">
        <f t="shared" si="54"/>
        <v>12360</v>
      </c>
      <c r="J206" s="19"/>
    </row>
    <row r="207" spans="1:11" x14ac:dyDescent="0.25">
      <c r="A207" s="40" t="s">
        <v>203</v>
      </c>
      <c r="B207" s="14">
        <v>15000</v>
      </c>
      <c r="C207" s="7"/>
      <c r="D207" s="7"/>
      <c r="E207" s="7"/>
      <c r="F207" s="7"/>
      <c r="G207" s="7"/>
      <c r="H207" s="7"/>
      <c r="I207" s="7">
        <f t="shared" si="54"/>
        <v>15000</v>
      </c>
      <c r="J207" s="19"/>
    </row>
    <row r="208" spans="1:11" x14ac:dyDescent="0.25">
      <c r="A208" s="40" t="s">
        <v>204</v>
      </c>
      <c r="B208" s="14">
        <f>'24-25'!B208*1.05</f>
        <v>0</v>
      </c>
      <c r="C208" s="7"/>
      <c r="D208" s="7"/>
      <c r="E208" s="7"/>
      <c r="F208" s="7"/>
      <c r="G208" s="7"/>
      <c r="H208" s="7"/>
      <c r="I208" s="7">
        <f t="shared" si="54"/>
        <v>0</v>
      </c>
      <c r="J208" s="19"/>
    </row>
    <row r="209" spans="1:11" x14ac:dyDescent="0.25">
      <c r="A209" s="40" t="s">
        <v>205</v>
      </c>
      <c r="B209" s="14">
        <v>0</v>
      </c>
      <c r="C209" s="7"/>
      <c r="D209" s="7"/>
      <c r="E209" s="7"/>
      <c r="F209" s="7"/>
      <c r="G209" s="7"/>
      <c r="H209" s="7"/>
      <c r="I209" s="7">
        <f t="shared" si="54"/>
        <v>0</v>
      </c>
      <c r="J209" s="19"/>
    </row>
    <row r="210" spans="1:11" x14ac:dyDescent="0.25">
      <c r="A210" s="96" t="s">
        <v>206</v>
      </c>
      <c r="B210" s="14">
        <v>5000</v>
      </c>
      <c r="C210" s="7"/>
      <c r="D210" s="7"/>
      <c r="E210" s="7"/>
      <c r="F210" s="7"/>
      <c r="G210" s="7"/>
      <c r="H210" s="7"/>
      <c r="I210" s="7">
        <f t="shared" si="54"/>
        <v>5000</v>
      </c>
      <c r="J210" s="19"/>
    </row>
    <row r="211" spans="1:11" x14ac:dyDescent="0.25">
      <c r="A211" s="83" t="s">
        <v>207</v>
      </c>
      <c r="B211" s="84">
        <f t="shared" ref="B211:I211" si="55">SUM(B201:B210)</f>
        <v>94984</v>
      </c>
      <c r="C211" s="84">
        <f t="shared" si="55"/>
        <v>0</v>
      </c>
      <c r="D211" s="84">
        <f t="shared" si="55"/>
        <v>0</v>
      </c>
      <c r="E211" s="84">
        <f t="shared" si="55"/>
        <v>0</v>
      </c>
      <c r="F211" s="84">
        <f t="shared" si="55"/>
        <v>0</v>
      </c>
      <c r="G211" s="84">
        <f t="shared" si="55"/>
        <v>0</v>
      </c>
      <c r="H211" s="84">
        <f t="shared" si="55"/>
        <v>0</v>
      </c>
      <c r="I211" s="84">
        <f t="shared" si="55"/>
        <v>94984</v>
      </c>
      <c r="J211" s="10"/>
      <c r="K211" s="10"/>
    </row>
    <row r="212" spans="1:11" x14ac:dyDescent="0.25">
      <c r="A212" s="105"/>
      <c r="B212" s="7"/>
      <c r="C212" s="7"/>
      <c r="D212" s="7"/>
      <c r="E212" s="7"/>
      <c r="F212" s="7"/>
      <c r="G212" s="7"/>
      <c r="H212" s="7"/>
      <c r="I212" s="7"/>
      <c r="J212" s="10"/>
      <c r="K212" s="10"/>
    </row>
    <row r="213" spans="1:11" x14ac:dyDescent="0.25">
      <c r="A213" s="83" t="s">
        <v>208</v>
      </c>
      <c r="B213" s="84">
        <f>B144+B156+B172+B199+B211</f>
        <v>1662145.7716986667</v>
      </c>
      <c r="C213" s="84">
        <f t="shared" ref="C213:I213" si="56">C144+C156+C172+C199+C211</f>
        <v>163788.33333333331</v>
      </c>
      <c r="D213" s="84">
        <f t="shared" si="56"/>
        <v>203858</v>
      </c>
      <c r="E213" s="84">
        <f t="shared" si="56"/>
        <v>0</v>
      </c>
      <c r="F213" s="84">
        <f t="shared" si="56"/>
        <v>32977.800000000003</v>
      </c>
      <c r="G213" s="84">
        <f t="shared" si="56"/>
        <v>8000</v>
      </c>
      <c r="H213" s="84">
        <f t="shared" si="56"/>
        <v>1500</v>
      </c>
      <c r="I213" s="84">
        <f t="shared" si="56"/>
        <v>2072269.9050320003</v>
      </c>
      <c r="J213" s="10"/>
      <c r="K213" s="10"/>
    </row>
    <row r="214" spans="1:11" x14ac:dyDescent="0.25">
      <c r="A214" s="106"/>
      <c r="B214" s="64"/>
      <c r="C214" s="64"/>
      <c r="D214" s="64"/>
      <c r="E214" s="64"/>
      <c r="F214" s="64"/>
      <c r="G214" s="64"/>
      <c r="H214" s="64"/>
      <c r="I214" s="64"/>
      <c r="J214" s="10"/>
      <c r="K214" s="10"/>
    </row>
    <row r="215" spans="1:11" x14ac:dyDescent="0.25">
      <c r="A215" s="55" t="s">
        <v>209</v>
      </c>
      <c r="B215" s="12">
        <f>550*B17</f>
        <v>82500</v>
      </c>
      <c r="C215" s="12"/>
      <c r="D215" s="12"/>
      <c r="E215" s="12"/>
      <c r="F215" s="12"/>
      <c r="G215" s="12"/>
      <c r="H215" s="12"/>
      <c r="I215" s="12">
        <f t="shared" ref="I215:I220" si="57">SUM(B215:H215)</f>
        <v>82500</v>
      </c>
      <c r="J215" s="19">
        <f>500*1.1</f>
        <v>550</v>
      </c>
    </row>
    <row r="216" spans="1:11" x14ac:dyDescent="0.25">
      <c r="A216" s="55" t="s">
        <v>210</v>
      </c>
      <c r="B216" s="12">
        <v>0</v>
      </c>
      <c r="C216" s="12"/>
      <c r="D216" s="12"/>
      <c r="E216" s="12"/>
      <c r="F216" s="12"/>
      <c r="G216" s="12"/>
      <c r="H216" s="12"/>
      <c r="I216" s="12">
        <f t="shared" si="57"/>
        <v>0</v>
      </c>
      <c r="J216" s="19"/>
    </row>
    <row r="217" spans="1:11" x14ac:dyDescent="0.25">
      <c r="A217" s="55" t="s">
        <v>211</v>
      </c>
      <c r="B217" s="12">
        <v>0</v>
      </c>
      <c r="C217" s="12"/>
      <c r="D217" s="12"/>
      <c r="E217" s="12"/>
      <c r="F217" s="12"/>
      <c r="G217" s="12"/>
      <c r="H217" s="12"/>
      <c r="I217" s="12">
        <f t="shared" si="57"/>
        <v>0</v>
      </c>
      <c r="J217" s="19"/>
    </row>
    <row r="218" spans="1:11" x14ac:dyDescent="0.25">
      <c r="A218" s="55" t="s">
        <v>212</v>
      </c>
      <c r="B218" s="12">
        <v>0</v>
      </c>
      <c r="C218" s="12"/>
      <c r="D218" s="12"/>
      <c r="E218" s="12"/>
      <c r="F218" s="12"/>
      <c r="G218" s="12"/>
      <c r="H218" s="12"/>
      <c r="I218" s="12">
        <f t="shared" si="57"/>
        <v>0</v>
      </c>
      <c r="J218" s="19"/>
    </row>
    <row r="219" spans="1:11" x14ac:dyDescent="0.25">
      <c r="A219" s="55"/>
      <c r="B219" s="12">
        <v>0</v>
      </c>
      <c r="C219" s="12">
        <v>0</v>
      </c>
      <c r="D219" s="12">
        <v>0</v>
      </c>
      <c r="E219" s="12"/>
      <c r="F219" s="12"/>
      <c r="G219" s="12"/>
      <c r="H219" s="12">
        <v>0</v>
      </c>
      <c r="I219" s="12">
        <f t="shared" si="57"/>
        <v>0</v>
      </c>
      <c r="J219" s="19"/>
    </row>
    <row r="220" spans="1:11" ht="15.75" thickBot="1" x14ac:dyDescent="0.3">
      <c r="A220" s="40"/>
      <c r="B220" s="47"/>
      <c r="C220" s="47"/>
      <c r="D220" s="47"/>
      <c r="E220" s="47"/>
      <c r="F220" s="47"/>
      <c r="G220" s="47"/>
      <c r="H220" s="47"/>
      <c r="I220" s="7">
        <f t="shared" si="57"/>
        <v>0</v>
      </c>
      <c r="J220" s="10"/>
      <c r="K220" s="10"/>
    </row>
    <row r="221" spans="1:11" ht="15.75" thickBot="1" x14ac:dyDescent="0.3">
      <c r="A221" s="107" t="s">
        <v>213</v>
      </c>
      <c r="B221" s="108">
        <f t="shared" ref="B221:I221" si="58">B98-B213-B215-B216-B218-B217</f>
        <v>104914.86163466657</v>
      </c>
      <c r="C221" s="108">
        <f t="shared" si="58"/>
        <v>-69589.444444444438</v>
      </c>
      <c r="D221" s="108">
        <f t="shared" si="58"/>
        <v>-24848</v>
      </c>
      <c r="E221" s="108">
        <f t="shared" si="58"/>
        <v>0</v>
      </c>
      <c r="F221" s="108">
        <f t="shared" si="58"/>
        <v>-10477.800000000003</v>
      </c>
      <c r="G221" s="108">
        <f t="shared" si="58"/>
        <v>0</v>
      </c>
      <c r="H221" s="108">
        <f t="shared" si="58"/>
        <v>0</v>
      </c>
      <c r="I221" s="108">
        <f t="shared" si="58"/>
        <v>-0.38280977797694504</v>
      </c>
      <c r="J221" s="10"/>
      <c r="K221" s="10"/>
    </row>
    <row r="222" spans="1:11" x14ac:dyDescent="0.25">
      <c r="A222" s="109"/>
      <c r="B222" s="110">
        <f t="shared" ref="B222:I222" si="59">B221/(B98)</f>
        <v>5.6724207762567848E-2</v>
      </c>
      <c r="C222" s="110">
        <f t="shared" si="59"/>
        <v>-0.73875016218639056</v>
      </c>
      <c r="D222" s="110">
        <f t="shared" si="59"/>
        <v>-0.13880788782749567</v>
      </c>
      <c r="E222" s="110" t="e">
        <f t="shared" si="59"/>
        <v>#DIV/0!</v>
      </c>
      <c r="F222" s="110">
        <f t="shared" si="59"/>
        <v>-0.46568000000000015</v>
      </c>
      <c r="G222" s="110">
        <f t="shared" si="59"/>
        <v>0</v>
      </c>
      <c r="H222" s="110">
        <f t="shared" si="59"/>
        <v>0</v>
      </c>
      <c r="I222" s="110">
        <f t="shared" si="59"/>
        <v>-1.7765694847129256E-7</v>
      </c>
      <c r="J222" s="28"/>
      <c r="K222" s="10"/>
    </row>
    <row r="223" spans="1:11" x14ac:dyDescent="0.25">
      <c r="B223" s="111"/>
      <c r="C223" s="111"/>
      <c r="D223" s="111"/>
      <c r="E223" s="111"/>
      <c r="F223" s="111"/>
      <c r="G223" s="111"/>
      <c r="H223" s="111"/>
      <c r="I223" s="111"/>
    </row>
    <row r="224" spans="1:11" x14ac:dyDescent="0.25">
      <c r="A224" s="1" t="str">
        <f t="shared" ref="A224:I224" si="60">A1</f>
        <v>Young Women's Leadership Academy (YWLA) - FY26</v>
      </c>
      <c r="B224" s="1" t="str">
        <f t="shared" si="60"/>
        <v>Operating</v>
      </c>
      <c r="C224" s="1" t="str">
        <f t="shared" si="60"/>
        <v>SPED</v>
      </c>
      <c r="D224" s="1" t="str">
        <f t="shared" si="60"/>
        <v>NSLP</v>
      </c>
      <c r="E224" s="1" t="str">
        <f t="shared" si="60"/>
        <v>Other</v>
      </c>
      <c r="F224" s="1" t="str">
        <f t="shared" si="60"/>
        <v>Title I</v>
      </c>
      <c r="G224" s="1" t="str">
        <f t="shared" si="60"/>
        <v>Title II</v>
      </c>
      <c r="H224" s="1" t="str">
        <f t="shared" si="60"/>
        <v>Title III</v>
      </c>
      <c r="I224" s="1" t="str">
        <f t="shared" si="60"/>
        <v>Total (23-24)</v>
      </c>
      <c r="J224" s="2"/>
      <c r="K224" s="2"/>
    </row>
    <row r="226" spans="1:11" s="18" customFormat="1" x14ac:dyDescent="0.25">
      <c r="A226" s="10"/>
      <c r="B226" s="112"/>
      <c r="C226" s="112"/>
      <c r="D226" s="112"/>
      <c r="E226" s="112"/>
      <c r="F226" s="112"/>
      <c r="G226" s="112"/>
      <c r="H226" s="112"/>
      <c r="I226" s="112"/>
    </row>
    <row r="227" spans="1:11" s="18" customFormat="1" x14ac:dyDescent="0.25">
      <c r="A227" s="113" t="s">
        <v>214</v>
      </c>
      <c r="B227" s="114"/>
      <c r="C227" s="114"/>
      <c r="D227" s="114"/>
      <c r="E227" s="114"/>
      <c r="F227" s="114"/>
      <c r="G227" s="114"/>
      <c r="H227" s="114"/>
      <c r="I227" s="114">
        <f>I98-I213</f>
        <v>82499.617190222023</v>
      </c>
    </row>
    <row r="228" spans="1:11" x14ac:dyDescent="0.25">
      <c r="A228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x14ac:dyDescent="0.25">
      <c r="A229" s="115" t="str">
        <f>A215</f>
        <v>Scheduled Lease Payment</v>
      </c>
      <c r="B229" s="116"/>
      <c r="C229" s="116"/>
      <c r="D229" s="116"/>
      <c r="E229" s="116"/>
      <c r="F229" s="116"/>
      <c r="G229" s="116"/>
      <c r="H229" s="116"/>
      <c r="I229" s="116">
        <f>I215</f>
        <v>82500</v>
      </c>
      <c r="J229" s="10"/>
      <c r="K229" s="10"/>
    </row>
    <row r="230" spans="1:11" x14ac:dyDescent="0.25">
      <c r="A230" s="115" t="str">
        <f>A216</f>
        <v>Scheduled Bond Payment - Principal</v>
      </c>
      <c r="B230" s="116"/>
      <c r="C230" s="116"/>
      <c r="D230" s="116"/>
      <c r="E230" s="116"/>
      <c r="F230" s="116"/>
      <c r="G230" s="116"/>
      <c r="H230" s="116"/>
      <c r="I230" s="116">
        <f t="shared" ref="I230:I231" si="61">I216</f>
        <v>0</v>
      </c>
      <c r="J230" s="10"/>
      <c r="K230" s="10"/>
    </row>
    <row r="231" spans="1:11" x14ac:dyDescent="0.25">
      <c r="A231" s="115" t="str">
        <f>A217</f>
        <v>Scheduled Bond Payment - Interest</v>
      </c>
      <c r="B231" s="116"/>
      <c r="C231" s="116"/>
      <c r="D231" s="116"/>
      <c r="E231" s="116"/>
      <c r="F231" s="116"/>
      <c r="G231" s="116"/>
      <c r="H231" s="116"/>
      <c r="I231" s="116">
        <f t="shared" si="61"/>
        <v>0</v>
      </c>
      <c r="J231" s="10"/>
      <c r="K231" s="10"/>
    </row>
    <row r="232" spans="1:11" x14ac:dyDescent="0.25">
      <c r="A232"/>
      <c r="B232" s="116"/>
      <c r="C232" s="116"/>
      <c r="D232" s="116"/>
      <c r="E232" s="116"/>
      <c r="F232" s="116"/>
      <c r="G232" s="116"/>
      <c r="H232" s="116"/>
      <c r="I232" s="116"/>
      <c r="J232" s="10"/>
      <c r="K232" s="10"/>
    </row>
    <row r="233" spans="1:11" x14ac:dyDescent="0.25">
      <c r="A233" s="113" t="s">
        <v>215</v>
      </c>
      <c r="B233" s="117"/>
      <c r="C233" s="117"/>
      <c r="D233" s="117"/>
      <c r="E233" s="117"/>
      <c r="F233" s="117"/>
      <c r="G233" s="117"/>
      <c r="H233" s="117"/>
      <c r="I233" s="117">
        <f>SUM(I229:I231)</f>
        <v>82500</v>
      </c>
      <c r="J233" s="10"/>
      <c r="K233" s="10"/>
    </row>
    <row r="234" spans="1:11" x14ac:dyDescent="0.25">
      <c r="A234" s="118" t="s">
        <v>216</v>
      </c>
      <c r="B234" s="119"/>
      <c r="C234" s="119"/>
      <c r="D234" s="119"/>
      <c r="E234" s="119"/>
      <c r="F234" s="119"/>
      <c r="G234" s="119"/>
      <c r="H234" s="119"/>
      <c r="I234" s="119">
        <f>I227/I233</f>
        <v>0.99999535988147903</v>
      </c>
      <c r="J234" s="120"/>
      <c r="K234" s="120"/>
    </row>
    <row r="235" spans="1:11" x14ac:dyDescent="0.25">
      <c r="A235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x14ac:dyDescent="0.25">
      <c r="A236" s="121" t="s">
        <v>217</v>
      </c>
      <c r="B236" s="122"/>
      <c r="C236" s="122"/>
      <c r="D236" s="122"/>
      <c r="E236" s="122"/>
      <c r="F236" s="122"/>
      <c r="G236" s="122"/>
      <c r="H236" s="122"/>
      <c r="I236" s="122"/>
      <c r="J236" s="10"/>
      <c r="K236" s="10"/>
    </row>
    <row r="237" spans="1:11" x14ac:dyDescent="0.25">
      <c r="A237" t="s">
        <v>218</v>
      </c>
      <c r="B237" s="123"/>
      <c r="C237" s="123"/>
      <c r="D237" s="123"/>
      <c r="E237" s="123"/>
      <c r="F237" s="123"/>
      <c r="G237" s="123"/>
      <c r="H237" s="123"/>
      <c r="I237" s="124"/>
      <c r="J237" s="10"/>
      <c r="K237" s="10"/>
    </row>
    <row r="238" spans="1:11" x14ac:dyDescent="0.25">
      <c r="A238" s="10" t="s">
        <v>219</v>
      </c>
      <c r="B238" s="123"/>
      <c r="C238" s="123"/>
      <c r="D238" s="123"/>
      <c r="E238" s="123"/>
      <c r="F238" s="123"/>
      <c r="G238" s="123"/>
      <c r="H238" s="123"/>
      <c r="I238" s="123"/>
      <c r="J238" s="10"/>
      <c r="K238" s="10"/>
    </row>
    <row r="239" spans="1:11" x14ac:dyDescent="0.25">
      <c r="A239" s="10" t="s">
        <v>220</v>
      </c>
      <c r="B239" s="123"/>
      <c r="C239" s="123"/>
      <c r="D239" s="123"/>
      <c r="E239" s="123"/>
      <c r="F239" s="123"/>
      <c r="G239" s="123"/>
      <c r="H239" s="123"/>
      <c r="I239" s="123"/>
      <c r="J239" s="120"/>
      <c r="K239" s="120"/>
    </row>
    <row r="240" spans="1:11" x14ac:dyDescent="0.25">
      <c r="A240" s="125" t="s">
        <v>221</v>
      </c>
      <c r="B240" s="126"/>
      <c r="C240" s="126"/>
      <c r="D240" s="126"/>
      <c r="E240" s="126"/>
      <c r="F240" s="126"/>
      <c r="G240" s="126"/>
      <c r="H240" s="126"/>
      <c r="I240" s="126">
        <f>SUM(I237:I239)</f>
        <v>0</v>
      </c>
      <c r="J240" s="10"/>
      <c r="K240" s="10"/>
    </row>
    <row r="241" spans="1:11" x14ac:dyDescent="0.25">
      <c r="A241" s="127" t="s">
        <v>222</v>
      </c>
      <c r="B241" s="128"/>
      <c r="C241" s="128"/>
      <c r="D241" s="128"/>
      <c r="E241" s="128"/>
      <c r="F241" s="128"/>
      <c r="G241" s="128"/>
      <c r="H241" s="128"/>
      <c r="I241" s="128">
        <f>I240/((SUM(I213:I219))/365)</f>
        <v>0</v>
      </c>
      <c r="J241" s="10"/>
      <c r="K241" s="10"/>
    </row>
    <row r="242" spans="1:11" x14ac:dyDescent="0.25">
      <c r="A242"/>
      <c r="B242" s="129"/>
    </row>
    <row r="243" spans="1:11" x14ac:dyDescent="0.25">
      <c r="C243" s="130"/>
      <c r="D243" s="130"/>
      <c r="E243" s="130"/>
      <c r="F243" s="130"/>
      <c r="G243" s="130"/>
      <c r="H243" s="130"/>
      <c r="I243" s="130"/>
    </row>
  </sheetData>
  <pageMargins left="0.7" right="0.7" top="0.75" bottom="0.75" header="0.3" footer="0.3"/>
  <pageSetup scale="49" orientation="portrait" r:id="rId1"/>
  <headerFooter>
    <oddFooter>&amp;LPage &amp;P&amp;C
&amp;R
 &amp;G</oddFooter>
  </headerFooter>
  <rowBreaks count="2" manualBreakCount="2">
    <brk id="71" max="8" man="1"/>
    <brk id="156" max="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topLeftCell="A75" zoomScale="80" zoomScaleNormal="80" workbookViewId="0">
      <selection activeCell="B96" sqref="B96"/>
    </sheetView>
  </sheetViews>
  <sheetFormatPr defaultColWidth="8.7109375" defaultRowHeight="15" x14ac:dyDescent="0.25"/>
  <cols>
    <col min="1" max="1" width="56.5703125" style="10" customWidth="1"/>
    <col min="2" max="9" width="15.7109375" style="112" customWidth="1"/>
    <col min="10" max="10" width="44" style="18" customWidth="1"/>
    <col min="11" max="11" width="6.5703125" style="18" customWidth="1"/>
    <col min="12" max="16384" width="8.7109375" style="10"/>
  </cols>
  <sheetData>
    <row r="1" spans="1:11" s="5" customFormat="1" x14ac:dyDescent="0.25">
      <c r="A1" s="1" t="s">
        <v>246</v>
      </c>
      <c r="B1" s="1" t="s">
        <v>0</v>
      </c>
      <c r="C1" s="1" t="s">
        <v>1</v>
      </c>
      <c r="D1" s="1" t="s">
        <v>2</v>
      </c>
      <c r="E1" s="1" t="s">
        <v>223</v>
      </c>
      <c r="F1" s="1" t="s">
        <v>3</v>
      </c>
      <c r="G1" s="1" t="s">
        <v>4</v>
      </c>
      <c r="H1" s="1" t="s">
        <v>5</v>
      </c>
      <c r="I1" s="1" t="s">
        <v>6</v>
      </c>
      <c r="J1" s="2"/>
      <c r="K1" s="2"/>
    </row>
    <row r="2" spans="1:11" x14ac:dyDescent="0.25">
      <c r="A2" s="6" t="s">
        <v>11</v>
      </c>
      <c r="B2" s="7">
        <f>9414*1.026</f>
        <v>9658.764000000001</v>
      </c>
      <c r="C2" s="7"/>
      <c r="D2" s="7"/>
      <c r="E2" s="7"/>
      <c r="F2" s="7"/>
      <c r="G2" s="7"/>
      <c r="H2" s="7"/>
      <c r="I2" s="7">
        <f>SUM(B2:H2)</f>
        <v>9658.764000000001</v>
      </c>
      <c r="J2" s="8"/>
      <c r="K2" s="9"/>
    </row>
    <row r="3" spans="1:11" x14ac:dyDescent="0.25">
      <c r="A3" s="11" t="s">
        <v>12</v>
      </c>
      <c r="B3" s="12">
        <f t="shared" ref="B3" si="0">B4+B5+B6+B7+B8+B9+B10+B11+B12+B13+B14+B15+B16</f>
        <v>165</v>
      </c>
      <c r="C3" s="12"/>
      <c r="D3" s="12"/>
      <c r="E3" s="12"/>
      <c r="F3" s="12"/>
      <c r="G3" s="12"/>
      <c r="H3" s="12"/>
      <c r="I3" s="12">
        <f t="shared" ref="I3:I16" si="1">SUM(B3:H3)</f>
        <v>165</v>
      </c>
      <c r="J3" s="8"/>
      <c r="K3" s="9"/>
    </row>
    <row r="4" spans="1:11" x14ac:dyDescent="0.25">
      <c r="A4" s="13" t="s">
        <v>13</v>
      </c>
      <c r="B4" s="7">
        <v>0</v>
      </c>
      <c r="C4" s="14"/>
      <c r="D4" s="14"/>
      <c r="E4" s="14"/>
      <c r="F4" s="14"/>
      <c r="G4" s="14"/>
      <c r="H4" s="14"/>
      <c r="I4" s="14">
        <f t="shared" si="1"/>
        <v>0</v>
      </c>
      <c r="J4" s="15">
        <f>B4/25</f>
        <v>0</v>
      </c>
      <c r="K4" s="16"/>
    </row>
    <row r="5" spans="1:11" x14ac:dyDescent="0.25">
      <c r="A5" s="11" t="s">
        <v>14</v>
      </c>
      <c r="B5" s="7">
        <v>0</v>
      </c>
      <c r="C5" s="14"/>
      <c r="D5" s="14"/>
      <c r="E5" s="14"/>
      <c r="F5" s="14"/>
      <c r="G5" s="14"/>
      <c r="H5" s="14"/>
      <c r="I5" s="14">
        <f t="shared" si="1"/>
        <v>0</v>
      </c>
      <c r="J5" s="15">
        <f>B5/26</f>
        <v>0</v>
      </c>
      <c r="K5" s="16"/>
    </row>
    <row r="6" spans="1:11" x14ac:dyDescent="0.25">
      <c r="A6" s="11" t="s">
        <v>15</v>
      </c>
      <c r="B6" s="7">
        <v>0</v>
      </c>
      <c r="C6" s="14"/>
      <c r="D6" s="14"/>
      <c r="E6" s="14"/>
      <c r="F6" s="14"/>
      <c r="G6" s="14"/>
      <c r="H6" s="14"/>
      <c r="I6" s="14">
        <f t="shared" si="1"/>
        <v>0</v>
      </c>
      <c r="J6" s="15">
        <f>B6/26</f>
        <v>0</v>
      </c>
      <c r="K6" s="16"/>
    </row>
    <row r="7" spans="1:11" x14ac:dyDescent="0.25">
      <c r="A7" s="17" t="s">
        <v>16</v>
      </c>
      <c r="B7" s="7">
        <v>0</v>
      </c>
      <c r="C7" s="14"/>
      <c r="D7" s="14"/>
      <c r="E7" s="14"/>
      <c r="F7" s="14"/>
      <c r="G7" s="14"/>
      <c r="H7" s="14"/>
      <c r="I7" s="14">
        <f t="shared" si="1"/>
        <v>0</v>
      </c>
      <c r="J7" s="15">
        <f>B7/26</f>
        <v>0</v>
      </c>
      <c r="K7" s="16"/>
    </row>
    <row r="8" spans="1:11" x14ac:dyDescent="0.25">
      <c r="A8" s="17" t="s">
        <v>17</v>
      </c>
      <c r="B8" s="7">
        <v>0</v>
      </c>
      <c r="C8" s="14"/>
      <c r="D8" s="14"/>
      <c r="E8" s="14"/>
      <c r="F8" s="14"/>
      <c r="G8" s="14"/>
      <c r="H8" s="14"/>
      <c r="I8" s="14">
        <f>SUM(B8:H8)</f>
        <v>0</v>
      </c>
      <c r="J8" s="15">
        <f>B8/27</f>
        <v>0</v>
      </c>
      <c r="K8" s="16"/>
    </row>
    <row r="9" spans="1:11" x14ac:dyDescent="0.25">
      <c r="A9" s="17" t="s">
        <v>18</v>
      </c>
      <c r="B9" s="7">
        <v>0</v>
      </c>
      <c r="C9" s="14"/>
      <c r="D9" s="14"/>
      <c r="E9" s="14"/>
      <c r="F9" s="14"/>
      <c r="G9" s="14"/>
      <c r="H9" s="14"/>
      <c r="I9" s="14">
        <f t="shared" si="1"/>
        <v>0</v>
      </c>
      <c r="J9" s="15">
        <f>B9/27</f>
        <v>0</v>
      </c>
      <c r="K9" s="16"/>
    </row>
    <row r="10" spans="1:11" x14ac:dyDescent="0.25">
      <c r="A10" s="17" t="s">
        <v>19</v>
      </c>
      <c r="B10" s="7">
        <f>30</f>
        <v>30</v>
      </c>
      <c r="C10" s="7"/>
      <c r="D10" s="7"/>
      <c r="E10" s="7"/>
      <c r="F10" s="7"/>
      <c r="G10" s="7"/>
      <c r="H10" s="7"/>
      <c r="I10" s="14">
        <f t="shared" si="1"/>
        <v>30</v>
      </c>
      <c r="J10" s="15">
        <v>1</v>
      </c>
      <c r="K10" s="16"/>
    </row>
    <row r="11" spans="1:11" x14ac:dyDescent="0.25">
      <c r="A11" s="17" t="s">
        <v>20</v>
      </c>
      <c r="B11" s="7">
        <f>30</f>
        <v>30</v>
      </c>
      <c r="C11" s="7"/>
      <c r="D11" s="7"/>
      <c r="E11" s="7"/>
      <c r="F11" s="7"/>
      <c r="G11" s="7"/>
      <c r="H11" s="7"/>
      <c r="I11" s="14">
        <f t="shared" si="1"/>
        <v>30</v>
      </c>
      <c r="J11" s="15">
        <v>1</v>
      </c>
      <c r="K11" s="16"/>
    </row>
    <row r="12" spans="1:11" x14ac:dyDescent="0.25">
      <c r="A12" s="17" t="s">
        <v>21</v>
      </c>
      <c r="B12" s="7">
        <f>30</f>
        <v>30</v>
      </c>
      <c r="C12" s="7"/>
      <c r="D12" s="7"/>
      <c r="E12" s="7"/>
      <c r="F12" s="7"/>
      <c r="G12" s="7"/>
      <c r="H12" s="7"/>
      <c r="I12" s="14">
        <f t="shared" si="1"/>
        <v>30</v>
      </c>
      <c r="J12" s="15">
        <v>1</v>
      </c>
      <c r="K12" s="16"/>
    </row>
    <row r="13" spans="1:11" x14ac:dyDescent="0.25">
      <c r="A13" s="17" t="s">
        <v>22</v>
      </c>
      <c r="B13" s="7">
        <f>25</f>
        <v>25</v>
      </c>
      <c r="C13" s="7"/>
      <c r="D13" s="7"/>
      <c r="E13" s="7"/>
      <c r="F13" s="7"/>
      <c r="G13" s="7"/>
      <c r="H13" s="7"/>
      <c r="I13" s="14">
        <f t="shared" si="1"/>
        <v>25</v>
      </c>
      <c r="J13" s="15">
        <v>1</v>
      </c>
    </row>
    <row r="14" spans="1:11" x14ac:dyDescent="0.25">
      <c r="A14" s="17" t="s">
        <v>23</v>
      </c>
      <c r="B14" s="7">
        <f>25</f>
        <v>25</v>
      </c>
      <c r="C14" s="7"/>
      <c r="D14" s="7"/>
      <c r="E14" s="7"/>
      <c r="F14" s="7"/>
      <c r="G14" s="7"/>
      <c r="H14" s="7"/>
      <c r="I14" s="14">
        <f t="shared" si="1"/>
        <v>25</v>
      </c>
      <c r="J14" s="15">
        <v>1</v>
      </c>
    </row>
    <row r="15" spans="1:11" x14ac:dyDescent="0.25">
      <c r="A15" s="17" t="s">
        <v>24</v>
      </c>
      <c r="B15" s="7">
        <v>15</v>
      </c>
      <c r="C15" s="7"/>
      <c r="D15" s="7"/>
      <c r="E15" s="7"/>
      <c r="F15" s="7"/>
      <c r="G15" s="7"/>
      <c r="H15" s="7"/>
      <c r="I15" s="14">
        <f t="shared" si="1"/>
        <v>15</v>
      </c>
      <c r="J15" s="15">
        <v>1</v>
      </c>
    </row>
    <row r="16" spans="1:11" x14ac:dyDescent="0.25">
      <c r="A16" s="17" t="s">
        <v>25</v>
      </c>
      <c r="B16" s="7">
        <v>10</v>
      </c>
      <c r="C16" s="7"/>
      <c r="D16" s="7"/>
      <c r="E16" s="7"/>
      <c r="F16" s="7"/>
      <c r="G16" s="7"/>
      <c r="H16" s="7"/>
      <c r="I16" s="14">
        <f t="shared" si="1"/>
        <v>10</v>
      </c>
      <c r="J16" s="15">
        <v>1</v>
      </c>
    </row>
    <row r="17" spans="1:11" x14ac:dyDescent="0.25">
      <c r="A17" s="20" t="s">
        <v>12</v>
      </c>
      <c r="B17" s="12">
        <f t="shared" ref="B17:H17" si="2">SUM(B4:B16)</f>
        <v>165</v>
      </c>
      <c r="C17" s="12">
        <f t="shared" si="2"/>
        <v>0</v>
      </c>
      <c r="D17" s="12">
        <f t="shared" si="2"/>
        <v>0</v>
      </c>
      <c r="E17" s="12"/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>SUM(I4:I16)</f>
        <v>165</v>
      </c>
      <c r="J17" s="15">
        <f>SUM(J4:J16)</f>
        <v>7</v>
      </c>
      <c r="K17" s="21"/>
    </row>
    <row r="18" spans="1:11" x14ac:dyDescent="0.25">
      <c r="A18" s="17"/>
      <c r="B18" s="7"/>
      <c r="C18" s="22"/>
      <c r="D18" s="22"/>
      <c r="E18" s="22"/>
      <c r="F18" s="22"/>
      <c r="G18" s="22"/>
      <c r="H18" s="22"/>
      <c r="I18" s="22"/>
      <c r="J18" s="10"/>
      <c r="K18" s="10"/>
    </row>
    <row r="19" spans="1:11" x14ac:dyDescent="0.25">
      <c r="A19" s="23" t="s">
        <v>26</v>
      </c>
      <c r="B19" s="24" t="str">
        <f>B1</f>
        <v>Operating</v>
      </c>
      <c r="C19" s="24" t="str">
        <f>C1</f>
        <v>SPED</v>
      </c>
      <c r="D19" s="24" t="str">
        <f>D1</f>
        <v>NSLP</v>
      </c>
      <c r="E19" s="24" t="str">
        <f>E1</f>
        <v>Other</v>
      </c>
      <c r="F19" s="24" t="str">
        <f t="shared" ref="F19:G19" si="3">F1</f>
        <v>Title I</v>
      </c>
      <c r="G19" s="24" t="str">
        <f t="shared" si="3"/>
        <v>Title II</v>
      </c>
      <c r="H19" s="24" t="str">
        <f>H1</f>
        <v>Title III</v>
      </c>
      <c r="I19" s="24" t="str">
        <f>I1</f>
        <v>Total (23-24)</v>
      </c>
      <c r="J19" s="25"/>
      <c r="K19" s="25"/>
    </row>
    <row r="20" spans="1:11" x14ac:dyDescent="0.25">
      <c r="A20" s="17" t="s">
        <v>27</v>
      </c>
      <c r="B20" s="7"/>
      <c r="C20" s="7">
        <f>('25-26'!C20/'25-26'!B17)*'26-27'!B17</f>
        <v>20.777777777777775</v>
      </c>
      <c r="D20" s="7"/>
      <c r="E20" s="7"/>
      <c r="F20" s="7"/>
      <c r="G20" s="7"/>
      <c r="H20" s="7"/>
      <c r="I20" s="7">
        <f>SUM(B20:H20)</f>
        <v>20.777777777777775</v>
      </c>
      <c r="J20" s="26" t="s">
        <v>28</v>
      </c>
      <c r="K20" s="27"/>
    </row>
    <row r="21" spans="1:11" x14ac:dyDescent="0.25">
      <c r="A21" s="17" t="s">
        <v>29</v>
      </c>
      <c r="B21" s="7">
        <f>('25-26'!B21/'25-26'!B17)*'26-27'!B17</f>
        <v>28.111111111111111</v>
      </c>
      <c r="C21" s="7"/>
      <c r="D21" s="7"/>
      <c r="E21" s="7"/>
      <c r="F21" s="7"/>
      <c r="G21" s="7"/>
      <c r="H21" s="7"/>
      <c r="I21" s="7">
        <f>SUM(B21:H21)</f>
        <v>28.111111111111111</v>
      </c>
      <c r="J21" s="26"/>
      <c r="K21" s="27"/>
    </row>
    <row r="22" spans="1:11" x14ac:dyDescent="0.25">
      <c r="A22" s="17" t="s">
        <v>30</v>
      </c>
      <c r="B22" s="14">
        <v>0</v>
      </c>
      <c r="C22" s="14"/>
      <c r="D22" s="14"/>
      <c r="E22" s="14"/>
      <c r="F22" s="14"/>
      <c r="G22" s="14"/>
      <c r="H22" s="14"/>
      <c r="I22" s="7">
        <f>SUM(B22:H22)</f>
        <v>0</v>
      </c>
      <c r="J22" s="19"/>
    </row>
    <row r="23" spans="1:11" x14ac:dyDescent="0.25">
      <c r="A23" s="17" t="s">
        <v>31</v>
      </c>
      <c r="B23" s="14">
        <f>B17-(C20+B21)</f>
        <v>116.11111111111111</v>
      </c>
      <c r="C23" s="29"/>
      <c r="D23" s="29">
        <v>1</v>
      </c>
      <c r="E23" s="29"/>
      <c r="F23" s="29"/>
      <c r="G23" s="29"/>
      <c r="H23" s="29"/>
      <c r="I23" s="29">
        <f>SUM(C23:H23)</f>
        <v>1</v>
      </c>
      <c r="J23" s="30"/>
      <c r="K23" s="31"/>
    </row>
    <row r="24" spans="1:11" x14ac:dyDescent="0.25">
      <c r="A24" s="17" t="s">
        <v>351</v>
      </c>
      <c r="B24" s="7">
        <v>2</v>
      </c>
      <c r="C24" s="7"/>
      <c r="D24" s="7"/>
      <c r="E24" s="7"/>
      <c r="F24" s="7"/>
      <c r="G24" s="7"/>
      <c r="H24" s="7"/>
      <c r="I24" s="7">
        <f>SUM(B24:H24)</f>
        <v>2</v>
      </c>
      <c r="J24" s="30"/>
      <c r="K24" s="31"/>
    </row>
    <row r="25" spans="1:11" x14ac:dyDescent="0.25">
      <c r="A25" s="17"/>
      <c r="B25" s="7"/>
      <c r="C25" s="7"/>
      <c r="D25" s="7"/>
      <c r="E25" s="7"/>
      <c r="F25" s="7"/>
      <c r="G25" s="7"/>
      <c r="H25" s="7"/>
      <c r="I25" s="7"/>
      <c r="J25" s="25"/>
      <c r="K25" s="10"/>
    </row>
    <row r="26" spans="1:11" x14ac:dyDescent="0.25">
      <c r="A26" s="33" t="s">
        <v>32</v>
      </c>
      <c r="B26" s="24" t="str">
        <f>B1</f>
        <v>Operating</v>
      </c>
      <c r="C26" s="24" t="str">
        <f>C1</f>
        <v>SPED</v>
      </c>
      <c r="D26" s="24" t="str">
        <f>D1</f>
        <v>NSLP</v>
      </c>
      <c r="E26" s="24" t="str">
        <f>E1</f>
        <v>Other</v>
      </c>
      <c r="F26" s="24" t="str">
        <f t="shared" ref="F26:G26" si="4">F1</f>
        <v>Title I</v>
      </c>
      <c r="G26" s="24" t="str">
        <f t="shared" si="4"/>
        <v>Title II</v>
      </c>
      <c r="H26" s="24" t="str">
        <f>H1</f>
        <v>Title III</v>
      </c>
      <c r="I26" s="24" t="str">
        <f>I1</f>
        <v>Total (23-24)</v>
      </c>
      <c r="J26" s="25"/>
      <c r="K26" s="25"/>
    </row>
    <row r="27" spans="1:11" x14ac:dyDescent="0.25">
      <c r="A27" s="34" t="s">
        <v>33</v>
      </c>
      <c r="B27" s="35">
        <v>7</v>
      </c>
      <c r="C27" s="35"/>
      <c r="D27" s="35"/>
      <c r="E27" s="35"/>
      <c r="F27" s="35"/>
      <c r="G27" s="35"/>
      <c r="H27" s="35"/>
      <c r="I27" s="35">
        <f>SUM(B27:H27)</f>
        <v>7</v>
      </c>
      <c r="J27" s="15">
        <f>I27/6</f>
        <v>1.1666666666666667</v>
      </c>
      <c r="K27" s="16"/>
    </row>
    <row r="28" spans="1:11" x14ac:dyDescent="0.25">
      <c r="A28" s="34" t="s">
        <v>34</v>
      </c>
      <c r="B28" s="37">
        <v>0</v>
      </c>
      <c r="C28" s="37">
        <v>1</v>
      </c>
      <c r="D28" s="37"/>
      <c r="E28" s="37"/>
      <c r="F28" s="37"/>
      <c r="G28" s="37"/>
      <c r="H28" s="37"/>
      <c r="I28" s="35">
        <f>SUM(B28:H28)</f>
        <v>1</v>
      </c>
      <c r="J28" s="15">
        <f>I20/21</f>
        <v>0.98941798941798931</v>
      </c>
      <c r="K28" s="16"/>
    </row>
    <row r="29" spans="1:11" x14ac:dyDescent="0.25">
      <c r="A29" s="34" t="s">
        <v>35</v>
      </c>
      <c r="B29" s="35">
        <v>0</v>
      </c>
      <c r="C29" s="35"/>
      <c r="D29" s="35"/>
      <c r="E29" s="35"/>
      <c r="F29" s="35"/>
      <c r="G29" s="35"/>
      <c r="H29" s="35"/>
      <c r="I29" s="35">
        <f t="shared" ref="I29:I35" si="5">SUM(B29:H29)</f>
        <v>0</v>
      </c>
      <c r="J29" s="19"/>
    </row>
    <row r="30" spans="1:11" x14ac:dyDescent="0.25">
      <c r="A30" s="34" t="s">
        <v>36</v>
      </c>
      <c r="B30" s="35">
        <v>0</v>
      </c>
      <c r="C30" s="35"/>
      <c r="D30" s="35"/>
      <c r="E30" s="35"/>
      <c r="F30" s="35"/>
      <c r="G30" s="35"/>
      <c r="H30" s="35"/>
      <c r="I30" s="35">
        <f t="shared" si="5"/>
        <v>0</v>
      </c>
      <c r="J30" s="19"/>
    </row>
    <row r="31" spans="1:11" x14ac:dyDescent="0.25">
      <c r="A31" s="34" t="s">
        <v>37</v>
      </c>
      <c r="B31" s="35">
        <v>0</v>
      </c>
      <c r="C31" s="35"/>
      <c r="D31" s="35"/>
      <c r="E31" s="35"/>
      <c r="F31" s="35"/>
      <c r="G31" s="35"/>
      <c r="H31" s="35"/>
      <c r="I31" s="35">
        <f t="shared" si="5"/>
        <v>0</v>
      </c>
      <c r="J31" s="19"/>
    </row>
    <row r="32" spans="1:11" x14ac:dyDescent="0.25">
      <c r="A32" s="39" t="s">
        <v>38</v>
      </c>
      <c r="B32" s="35">
        <v>0</v>
      </c>
      <c r="C32" s="35"/>
      <c r="D32" s="35"/>
      <c r="E32" s="35"/>
      <c r="F32" s="35"/>
      <c r="G32" s="35"/>
      <c r="H32" s="35"/>
      <c r="I32" s="35">
        <f t="shared" si="5"/>
        <v>0</v>
      </c>
      <c r="J32" s="19"/>
    </row>
    <row r="33" spans="1:12" x14ac:dyDescent="0.25">
      <c r="A33" s="39" t="s">
        <v>39</v>
      </c>
      <c r="B33" s="35">
        <v>0</v>
      </c>
      <c r="C33" s="35"/>
      <c r="D33" s="35"/>
      <c r="E33" s="35"/>
      <c r="F33" s="35"/>
      <c r="G33" s="35"/>
      <c r="H33" s="35"/>
      <c r="I33" s="35">
        <f t="shared" si="5"/>
        <v>0</v>
      </c>
      <c r="J33" s="19"/>
    </row>
    <row r="34" spans="1:12" x14ac:dyDescent="0.25">
      <c r="A34" s="39" t="s">
        <v>40</v>
      </c>
      <c r="B34" s="35">
        <v>1</v>
      </c>
      <c r="C34" s="35"/>
      <c r="D34" s="35"/>
      <c r="E34" s="35"/>
      <c r="F34" s="35"/>
      <c r="G34" s="35"/>
      <c r="H34" s="35"/>
      <c r="I34" s="35">
        <f t="shared" si="5"/>
        <v>1</v>
      </c>
      <c r="J34" s="19"/>
    </row>
    <row r="35" spans="1:12" x14ac:dyDescent="0.25">
      <c r="A35" s="40" t="s">
        <v>41</v>
      </c>
      <c r="B35" s="35">
        <v>0</v>
      </c>
      <c r="C35" s="35"/>
      <c r="D35" s="35"/>
      <c r="E35" s="35"/>
      <c r="F35" s="35"/>
      <c r="G35" s="35"/>
      <c r="H35" s="35"/>
      <c r="I35" s="35">
        <f t="shared" si="5"/>
        <v>0</v>
      </c>
      <c r="J35" s="19"/>
    </row>
    <row r="36" spans="1:12" x14ac:dyDescent="0.25">
      <c r="A36" s="33" t="s">
        <v>42</v>
      </c>
      <c r="B36" s="41">
        <f>SUM(B27:B35)</f>
        <v>8</v>
      </c>
      <c r="C36" s="41">
        <f t="shared" ref="C36:H36" si="6">SUM(C27:C35)</f>
        <v>1</v>
      </c>
      <c r="D36" s="41">
        <f t="shared" si="6"/>
        <v>0</v>
      </c>
      <c r="E36" s="41">
        <f t="shared" si="6"/>
        <v>0</v>
      </c>
      <c r="F36" s="41">
        <f t="shared" si="6"/>
        <v>0</v>
      </c>
      <c r="G36" s="41">
        <f t="shared" si="6"/>
        <v>0</v>
      </c>
      <c r="H36" s="41">
        <f t="shared" si="6"/>
        <v>0</v>
      </c>
      <c r="I36" s="41">
        <f>SUM(I27:I35)</f>
        <v>9</v>
      </c>
      <c r="J36" s="10"/>
      <c r="K36" s="10"/>
    </row>
    <row r="37" spans="1:12" x14ac:dyDescent="0.25">
      <c r="A37" s="42"/>
      <c r="B37" s="7"/>
      <c r="C37" s="7"/>
      <c r="D37" s="7"/>
      <c r="E37" s="7"/>
      <c r="F37" s="7"/>
      <c r="G37" s="7"/>
      <c r="H37" s="7"/>
      <c r="I37" s="7"/>
      <c r="J37" s="10"/>
      <c r="K37" s="10"/>
    </row>
    <row r="38" spans="1:12" x14ac:dyDescent="0.25">
      <c r="A38" s="33" t="s">
        <v>43</v>
      </c>
      <c r="B38" s="24" t="str">
        <f>B1</f>
        <v>Operating</v>
      </c>
      <c r="C38" s="24" t="str">
        <f>C1</f>
        <v>SPED</v>
      </c>
      <c r="D38" s="24" t="str">
        <f>D1</f>
        <v>NSLP</v>
      </c>
      <c r="E38" s="24" t="str">
        <f>E1</f>
        <v>Other</v>
      </c>
      <c r="F38" s="24" t="str">
        <f t="shared" ref="F38:G38" si="7">F1</f>
        <v>Title I</v>
      </c>
      <c r="G38" s="24" t="str">
        <f t="shared" si="7"/>
        <v>Title II</v>
      </c>
      <c r="H38" s="24" t="str">
        <f>H1</f>
        <v>Title III</v>
      </c>
      <c r="I38" s="24" t="str">
        <f>I1</f>
        <v>Total (23-24)</v>
      </c>
      <c r="J38" s="25"/>
      <c r="K38" s="25"/>
    </row>
    <row r="39" spans="1:12" x14ac:dyDescent="0.25">
      <c r="A39" s="34" t="s">
        <v>349</v>
      </c>
      <c r="B39" s="37">
        <v>0</v>
      </c>
      <c r="C39" s="37"/>
      <c r="D39" s="37"/>
      <c r="E39" s="37"/>
      <c r="F39" s="37"/>
      <c r="G39" s="37"/>
      <c r="H39" s="37"/>
      <c r="I39" s="35">
        <f t="shared" ref="I39:I45" si="8">SUM(B39:H39)</f>
        <v>0</v>
      </c>
      <c r="J39" s="19"/>
      <c r="L39" s="10">
        <v>0</v>
      </c>
    </row>
    <row r="40" spans="1:12" x14ac:dyDescent="0.25">
      <c r="A40" s="34" t="s">
        <v>348</v>
      </c>
      <c r="B40" s="37">
        <v>1</v>
      </c>
      <c r="C40" s="37"/>
      <c r="D40" s="37"/>
      <c r="E40" s="37"/>
      <c r="F40" s="37"/>
      <c r="G40" s="37"/>
      <c r="H40" s="37"/>
      <c r="I40" s="35">
        <f t="shared" si="8"/>
        <v>1</v>
      </c>
      <c r="J40" s="19"/>
    </row>
    <row r="41" spans="1:12" x14ac:dyDescent="0.25">
      <c r="A41" s="34" t="s">
        <v>44</v>
      </c>
      <c r="B41" s="37">
        <v>0</v>
      </c>
      <c r="C41" s="37"/>
      <c r="D41" s="37"/>
      <c r="E41" s="37"/>
      <c r="F41" s="37"/>
      <c r="G41" s="37"/>
      <c r="H41" s="37"/>
      <c r="I41" s="35">
        <f t="shared" si="8"/>
        <v>0</v>
      </c>
      <c r="J41" s="19"/>
    </row>
    <row r="42" spans="1:12" x14ac:dyDescent="0.25">
      <c r="A42" s="40" t="s">
        <v>45</v>
      </c>
      <c r="B42" s="37">
        <v>0</v>
      </c>
      <c r="C42" s="37"/>
      <c r="D42" s="37"/>
      <c r="E42" s="37">
        <v>0</v>
      </c>
      <c r="F42" s="37"/>
      <c r="G42" s="37"/>
      <c r="H42" s="37"/>
      <c r="I42" s="35">
        <f t="shared" si="8"/>
        <v>0</v>
      </c>
      <c r="J42" s="19"/>
    </row>
    <row r="43" spans="1:12" x14ac:dyDescent="0.25">
      <c r="A43" s="43" t="s">
        <v>46</v>
      </c>
      <c r="B43" s="37">
        <v>0</v>
      </c>
      <c r="C43" s="37"/>
      <c r="D43" s="37"/>
      <c r="E43" s="37"/>
      <c r="F43" s="37"/>
      <c r="G43" s="37"/>
      <c r="H43" s="37"/>
      <c r="I43" s="35">
        <f t="shared" si="8"/>
        <v>0</v>
      </c>
      <c r="J43" s="19"/>
    </row>
    <row r="44" spans="1:12" x14ac:dyDescent="0.25">
      <c r="A44" s="43" t="s">
        <v>47</v>
      </c>
      <c r="B44" s="37">
        <v>0</v>
      </c>
      <c r="C44" s="37"/>
      <c r="D44" s="37"/>
      <c r="E44" s="37"/>
      <c r="F44" s="37"/>
      <c r="G44" s="37"/>
      <c r="H44" s="37"/>
      <c r="I44" s="35">
        <f t="shared" si="8"/>
        <v>0</v>
      </c>
      <c r="J44" s="19"/>
    </row>
    <row r="45" spans="1:12" x14ac:dyDescent="0.25">
      <c r="A45" s="43" t="s">
        <v>354</v>
      </c>
      <c r="B45" s="37">
        <v>1</v>
      </c>
      <c r="C45" s="37"/>
      <c r="D45" s="37"/>
      <c r="E45" s="37">
        <v>0</v>
      </c>
      <c r="F45" s="37"/>
      <c r="G45" s="37"/>
      <c r="H45" s="37"/>
      <c r="I45" s="35">
        <f t="shared" si="8"/>
        <v>1</v>
      </c>
      <c r="J45" s="19"/>
    </row>
    <row r="46" spans="1:12" x14ac:dyDescent="0.25">
      <c r="A46" s="43" t="s">
        <v>48</v>
      </c>
      <c r="B46" s="37">
        <v>0</v>
      </c>
      <c r="C46" s="37"/>
      <c r="D46" s="37"/>
      <c r="E46" s="37"/>
      <c r="F46" s="37"/>
      <c r="G46" s="37"/>
      <c r="H46" s="37"/>
      <c r="I46" s="35"/>
      <c r="J46" s="19"/>
    </row>
    <row r="47" spans="1:12" x14ac:dyDescent="0.25">
      <c r="A47" s="34" t="s">
        <v>49</v>
      </c>
      <c r="B47" s="37">
        <v>1</v>
      </c>
      <c r="C47" s="37"/>
      <c r="D47" s="37"/>
      <c r="E47" s="37"/>
      <c r="F47" s="37"/>
      <c r="G47" s="37"/>
      <c r="H47" s="37"/>
      <c r="I47" s="35">
        <f t="shared" ref="I47:I61" si="9">SUM(B47:H47)</f>
        <v>1</v>
      </c>
      <c r="J47" s="19"/>
    </row>
    <row r="48" spans="1:12" x14ac:dyDescent="0.25">
      <c r="A48" s="34" t="s">
        <v>50</v>
      </c>
      <c r="B48" s="37">
        <v>1</v>
      </c>
      <c r="C48" s="37"/>
      <c r="D48" s="37"/>
      <c r="E48" s="37"/>
      <c r="F48" s="37"/>
      <c r="G48" s="37"/>
      <c r="H48" s="37"/>
      <c r="I48" s="35">
        <f t="shared" si="9"/>
        <v>1</v>
      </c>
      <c r="J48" s="19"/>
    </row>
    <row r="49" spans="1:11" x14ac:dyDescent="0.25">
      <c r="A49" s="34" t="s">
        <v>51</v>
      </c>
      <c r="B49" s="37">
        <v>0</v>
      </c>
      <c r="C49" s="37"/>
      <c r="D49" s="37"/>
      <c r="E49" s="37"/>
      <c r="F49" s="37"/>
      <c r="G49" s="37"/>
      <c r="H49" s="37"/>
      <c r="I49" s="35">
        <f t="shared" si="9"/>
        <v>0</v>
      </c>
      <c r="J49" s="19"/>
    </row>
    <row r="50" spans="1:11" x14ac:dyDescent="0.25">
      <c r="A50" s="34" t="s">
        <v>52</v>
      </c>
      <c r="B50" s="37">
        <v>0</v>
      </c>
      <c r="C50" s="37"/>
      <c r="D50" s="37"/>
      <c r="E50" s="37"/>
      <c r="F50" s="37"/>
      <c r="G50" s="37"/>
      <c r="H50" s="37"/>
      <c r="I50" s="35">
        <f t="shared" si="9"/>
        <v>0</v>
      </c>
      <c r="J50" s="19"/>
    </row>
    <row r="51" spans="1:11" x14ac:dyDescent="0.25">
      <c r="A51" s="34" t="s">
        <v>53</v>
      </c>
      <c r="B51" s="37">
        <v>0</v>
      </c>
      <c r="C51" s="37"/>
      <c r="D51" s="37"/>
      <c r="E51" s="37"/>
      <c r="F51" s="37">
        <v>1</v>
      </c>
      <c r="G51" s="37"/>
      <c r="H51" s="37"/>
      <c r="I51" s="35">
        <f t="shared" si="9"/>
        <v>1</v>
      </c>
      <c r="J51" s="19"/>
    </row>
    <row r="52" spans="1:11" x14ac:dyDescent="0.25">
      <c r="A52" s="34" t="s">
        <v>54</v>
      </c>
      <c r="B52" s="37">
        <v>0</v>
      </c>
      <c r="C52" s="37"/>
      <c r="D52" s="37"/>
      <c r="E52" s="37"/>
      <c r="F52" s="37"/>
      <c r="G52" s="37"/>
      <c r="H52" s="37"/>
      <c r="I52" s="35">
        <f t="shared" si="9"/>
        <v>0</v>
      </c>
      <c r="J52" s="19"/>
    </row>
    <row r="53" spans="1:11" x14ac:dyDescent="0.25">
      <c r="A53" s="34" t="s">
        <v>55</v>
      </c>
      <c r="B53" s="37"/>
      <c r="C53" s="37"/>
      <c r="D53" s="37">
        <v>1</v>
      </c>
      <c r="E53" s="37"/>
      <c r="F53" s="37"/>
      <c r="G53" s="37"/>
      <c r="H53" s="37"/>
      <c r="I53" s="35">
        <f t="shared" si="9"/>
        <v>1</v>
      </c>
      <c r="J53" s="19"/>
    </row>
    <row r="54" spans="1:11" x14ac:dyDescent="0.25">
      <c r="A54" s="34" t="s">
        <v>56</v>
      </c>
      <c r="B54" s="37"/>
      <c r="C54" s="37"/>
      <c r="D54" s="37"/>
      <c r="E54" s="37"/>
      <c r="F54" s="37"/>
      <c r="G54" s="37"/>
      <c r="H54" s="37"/>
      <c r="I54" s="35">
        <f t="shared" si="9"/>
        <v>0</v>
      </c>
      <c r="J54" s="8"/>
      <c r="K54" s="9"/>
    </row>
    <row r="55" spans="1:11" x14ac:dyDescent="0.25">
      <c r="A55" s="40" t="s">
        <v>57</v>
      </c>
      <c r="B55" s="37"/>
      <c r="C55" s="37"/>
      <c r="D55" s="37"/>
      <c r="E55" s="37"/>
      <c r="F55" s="37"/>
      <c r="G55" s="37"/>
      <c r="H55" s="37"/>
      <c r="I55" s="35">
        <f t="shared" si="9"/>
        <v>0</v>
      </c>
      <c r="J55" s="8"/>
      <c r="K55" s="9"/>
    </row>
    <row r="56" spans="1:11" x14ac:dyDescent="0.25">
      <c r="A56" s="40" t="s">
        <v>58</v>
      </c>
      <c r="B56" s="37"/>
      <c r="C56" s="37"/>
      <c r="D56" s="37"/>
      <c r="E56" s="37"/>
      <c r="F56" s="37"/>
      <c r="G56" s="37"/>
      <c r="H56" s="37"/>
      <c r="I56" s="35">
        <f t="shared" si="9"/>
        <v>0</v>
      </c>
      <c r="J56" s="8"/>
      <c r="K56" s="9"/>
    </row>
    <row r="57" spans="1:11" x14ac:dyDescent="0.25">
      <c r="A57" s="40" t="s">
        <v>59</v>
      </c>
      <c r="B57" s="37"/>
      <c r="C57" s="37"/>
      <c r="D57" s="37"/>
      <c r="E57" s="37"/>
      <c r="F57" s="37"/>
      <c r="G57" s="37"/>
      <c r="H57" s="37"/>
      <c r="I57" s="35">
        <f t="shared" si="9"/>
        <v>0</v>
      </c>
      <c r="J57" s="8"/>
      <c r="K57" s="9"/>
    </row>
    <row r="58" spans="1:11" x14ac:dyDescent="0.25">
      <c r="A58" s="40" t="s">
        <v>60</v>
      </c>
      <c r="B58" s="37"/>
      <c r="C58" s="37"/>
      <c r="D58" s="37"/>
      <c r="E58" s="37"/>
      <c r="F58" s="37"/>
      <c r="G58" s="37"/>
      <c r="H58" s="37"/>
      <c r="I58" s="35">
        <f t="shared" si="9"/>
        <v>0</v>
      </c>
      <c r="J58" s="8"/>
      <c r="K58" s="9"/>
    </row>
    <row r="59" spans="1:11" x14ac:dyDescent="0.25">
      <c r="A59" s="40" t="s">
        <v>61</v>
      </c>
      <c r="B59" s="37"/>
      <c r="C59" s="37"/>
      <c r="D59" s="37"/>
      <c r="E59" s="37"/>
      <c r="F59" s="37"/>
      <c r="G59" s="37"/>
      <c r="H59" s="37"/>
      <c r="I59" s="35">
        <f t="shared" si="9"/>
        <v>0</v>
      </c>
      <c r="J59" s="8"/>
      <c r="K59" s="9"/>
    </row>
    <row r="60" spans="1:11" x14ac:dyDescent="0.25">
      <c r="A60" s="40" t="s">
        <v>341</v>
      </c>
      <c r="B60" s="37"/>
      <c r="C60" s="37"/>
      <c r="D60" s="37"/>
      <c r="E60" s="37">
        <v>0</v>
      </c>
      <c r="F60" s="37"/>
      <c r="G60" s="37"/>
      <c r="H60" s="37"/>
      <c r="I60" s="35">
        <f t="shared" si="9"/>
        <v>0</v>
      </c>
      <c r="J60" s="8"/>
      <c r="K60" s="9"/>
    </row>
    <row r="61" spans="1:11" x14ac:dyDescent="0.25">
      <c r="A61" s="34" t="s">
        <v>63</v>
      </c>
      <c r="B61" s="35"/>
      <c r="C61" s="35"/>
      <c r="D61" s="35"/>
      <c r="E61" s="35"/>
      <c r="F61" s="35"/>
      <c r="G61" s="35"/>
      <c r="H61" s="35"/>
      <c r="I61" s="35">
        <f t="shared" si="9"/>
        <v>0</v>
      </c>
      <c r="J61" s="8"/>
      <c r="K61" s="9"/>
    </row>
    <row r="62" spans="1:11" x14ac:dyDescent="0.25">
      <c r="A62" s="33" t="s">
        <v>64</v>
      </c>
      <c r="B62" s="45">
        <f>SUM(B39:B61)</f>
        <v>4</v>
      </c>
      <c r="C62" s="45">
        <f>SUM(C39:C61)</f>
        <v>0</v>
      </c>
      <c r="D62" s="45">
        <f>SUM(D39:D61)</f>
        <v>1</v>
      </c>
      <c r="E62" s="45">
        <f>SUM(E39:E61)</f>
        <v>0</v>
      </c>
      <c r="F62" s="45">
        <f t="shared" ref="F62:H62" si="10">SUM(F39:F61)</f>
        <v>1</v>
      </c>
      <c r="G62" s="45">
        <f t="shared" si="10"/>
        <v>0</v>
      </c>
      <c r="H62" s="45">
        <f t="shared" si="10"/>
        <v>0</v>
      </c>
      <c r="I62" s="45">
        <f>SUM(I39:I61)</f>
        <v>6</v>
      </c>
      <c r="J62" s="10"/>
      <c r="K62" s="10"/>
    </row>
    <row r="63" spans="1:11" ht="15.75" thickBot="1" x14ac:dyDescent="0.3">
      <c r="A63" s="46"/>
      <c r="B63" s="47"/>
      <c r="C63" s="47"/>
      <c r="D63" s="47"/>
      <c r="E63" s="47"/>
      <c r="F63" s="47"/>
      <c r="G63" s="47"/>
      <c r="H63" s="47"/>
      <c r="I63" s="47"/>
      <c r="J63" s="10"/>
      <c r="K63" s="10"/>
    </row>
    <row r="64" spans="1:11" x14ac:dyDescent="0.25">
      <c r="A64" s="48" t="s">
        <v>65</v>
      </c>
      <c r="B64" s="49">
        <f>B36</f>
        <v>8</v>
      </c>
      <c r="C64" s="49">
        <f>C36</f>
        <v>1</v>
      </c>
      <c r="D64" s="49">
        <f>D36</f>
        <v>0</v>
      </c>
      <c r="E64" s="49">
        <f>E36</f>
        <v>0</v>
      </c>
      <c r="F64" s="49">
        <f t="shared" ref="F64:H64" si="11">F36</f>
        <v>0</v>
      </c>
      <c r="G64" s="49">
        <f t="shared" si="11"/>
        <v>0</v>
      </c>
      <c r="H64" s="49">
        <f t="shared" si="11"/>
        <v>0</v>
      </c>
      <c r="I64" s="49">
        <f>I36</f>
        <v>9</v>
      </c>
      <c r="J64" s="10"/>
      <c r="K64" s="10"/>
    </row>
    <row r="65" spans="1:11" x14ac:dyDescent="0.25">
      <c r="A65" s="50" t="s">
        <v>66</v>
      </c>
      <c r="B65" s="51">
        <f>B62</f>
        <v>4</v>
      </c>
      <c r="C65" s="51">
        <f t="shared" ref="C65:I65" si="12">C62</f>
        <v>0</v>
      </c>
      <c r="D65" s="51">
        <f t="shared" si="12"/>
        <v>1</v>
      </c>
      <c r="E65" s="51">
        <f t="shared" si="12"/>
        <v>0</v>
      </c>
      <c r="F65" s="51">
        <f t="shared" si="12"/>
        <v>1</v>
      </c>
      <c r="G65" s="51">
        <f t="shared" si="12"/>
        <v>0</v>
      </c>
      <c r="H65" s="51">
        <f t="shared" si="12"/>
        <v>0</v>
      </c>
      <c r="I65" s="51">
        <f t="shared" si="12"/>
        <v>6</v>
      </c>
      <c r="J65" s="10"/>
      <c r="K65" s="10"/>
    </row>
    <row r="66" spans="1:11" ht="15.75" thickBot="1" x14ac:dyDescent="0.3">
      <c r="A66" s="52" t="s">
        <v>67</v>
      </c>
      <c r="B66" s="53">
        <f>SUM(B64:B65)</f>
        <v>12</v>
      </c>
      <c r="C66" s="53">
        <f t="shared" ref="C66:I66" si="13">SUM(C64:C65)</f>
        <v>1</v>
      </c>
      <c r="D66" s="53">
        <f t="shared" si="13"/>
        <v>1</v>
      </c>
      <c r="E66" s="53">
        <f t="shared" si="13"/>
        <v>0</v>
      </c>
      <c r="F66" s="53">
        <f t="shared" si="13"/>
        <v>1</v>
      </c>
      <c r="G66" s="53">
        <f t="shared" si="13"/>
        <v>0</v>
      </c>
      <c r="H66" s="53">
        <f t="shared" si="13"/>
        <v>0</v>
      </c>
      <c r="I66" s="53">
        <f t="shared" si="13"/>
        <v>15</v>
      </c>
      <c r="J66" s="10"/>
      <c r="K66" s="10"/>
    </row>
    <row r="67" spans="1:11" x14ac:dyDescent="0.25">
      <c r="A67" s="40"/>
      <c r="B67" s="54"/>
      <c r="C67" s="54"/>
      <c r="D67" s="54"/>
      <c r="E67" s="54"/>
      <c r="F67" s="54"/>
      <c r="G67" s="54"/>
      <c r="H67" s="54"/>
      <c r="I67" s="54"/>
      <c r="J67" s="10"/>
      <c r="K67" s="10"/>
    </row>
    <row r="68" spans="1:11" x14ac:dyDescent="0.25">
      <c r="A68" s="55" t="s">
        <v>68</v>
      </c>
      <c r="B68" s="56"/>
      <c r="C68" s="56"/>
      <c r="D68" s="56"/>
      <c r="E68" s="56"/>
      <c r="F68" s="56"/>
      <c r="G68" s="56"/>
      <c r="H68" s="56"/>
      <c r="I68" s="57">
        <f>I144/(I213+I215+I216+I217+I218+I219)</f>
        <v>0.56887924328880568</v>
      </c>
      <c r="J68" s="10"/>
      <c r="K68" s="10"/>
    </row>
    <row r="69" spans="1:11" x14ac:dyDescent="0.25">
      <c r="A69" s="55" t="s">
        <v>69</v>
      </c>
      <c r="B69" s="56"/>
      <c r="C69" s="56"/>
      <c r="D69" s="56"/>
      <c r="E69" s="56"/>
      <c r="F69" s="56"/>
      <c r="G69" s="56"/>
      <c r="H69" s="56"/>
      <c r="I69" s="57">
        <f>(I116+I117+I120+I130)/I134</f>
        <v>0.66232521656978649</v>
      </c>
      <c r="J69" s="10"/>
      <c r="K69" s="10"/>
    </row>
    <row r="70" spans="1:11" x14ac:dyDescent="0.25">
      <c r="A70" s="55" t="s">
        <v>70</v>
      </c>
      <c r="B70" s="56"/>
      <c r="C70" s="56"/>
      <c r="D70" s="56"/>
      <c r="E70" s="56"/>
      <c r="F70" s="56"/>
      <c r="G70" s="56"/>
      <c r="H70" s="56"/>
      <c r="I70" s="57">
        <f>(I108+I110+I111+I114+I118+I119+I121+I122++I125+I126+I127+I128+I129+I131+I132)/I134</f>
        <v>0.19666712287237137</v>
      </c>
      <c r="J70" s="10"/>
      <c r="K70" s="10"/>
    </row>
    <row r="71" spans="1:11" x14ac:dyDescent="0.25">
      <c r="A71" s="55" t="s">
        <v>71</v>
      </c>
      <c r="B71" s="56"/>
      <c r="C71" s="56"/>
      <c r="D71" s="56"/>
      <c r="E71" s="56"/>
      <c r="F71" s="56"/>
      <c r="G71" s="56"/>
      <c r="H71" s="56"/>
      <c r="I71" s="57">
        <f>(I215+I216+I217+I218)/(I98)</f>
        <v>4.0393672923206191E-2</v>
      </c>
      <c r="J71" s="10"/>
      <c r="K71" s="10"/>
    </row>
    <row r="72" spans="1:11" ht="15.75" thickBot="1" x14ac:dyDescent="0.3">
      <c r="B72" s="54"/>
      <c r="C72" s="54"/>
      <c r="D72" s="54"/>
      <c r="E72" s="54"/>
      <c r="F72" s="54"/>
      <c r="G72" s="54"/>
      <c r="H72" s="54"/>
      <c r="I72" s="54"/>
      <c r="J72" s="10"/>
      <c r="K72" s="10"/>
    </row>
    <row r="73" spans="1:11" ht="15.75" thickBot="1" x14ac:dyDescent="0.3">
      <c r="A73" s="58" t="s">
        <v>72</v>
      </c>
      <c r="B73" s="59" t="str">
        <f>B1</f>
        <v>Operating</v>
      </c>
      <c r="C73" s="59" t="str">
        <f>C1</f>
        <v>SPED</v>
      </c>
      <c r="D73" s="59" t="str">
        <f>D1</f>
        <v>NSLP</v>
      </c>
      <c r="E73" s="59" t="str">
        <f>E1</f>
        <v>Other</v>
      </c>
      <c r="F73" s="59" t="str">
        <f t="shared" ref="F73:G73" si="14">F1</f>
        <v>Title I</v>
      </c>
      <c r="G73" s="59" t="str">
        <f t="shared" si="14"/>
        <v>Title II</v>
      </c>
      <c r="H73" s="59" t="str">
        <f>H1</f>
        <v>Title III</v>
      </c>
      <c r="I73" s="59" t="str">
        <f>I1</f>
        <v>Total (23-24)</v>
      </c>
      <c r="J73" s="10"/>
      <c r="K73" s="10"/>
    </row>
    <row r="74" spans="1:11" x14ac:dyDescent="0.25">
      <c r="A74" s="60" t="s">
        <v>73</v>
      </c>
      <c r="B74" s="61"/>
      <c r="C74" s="61"/>
      <c r="D74" s="61"/>
      <c r="E74" s="61"/>
      <c r="F74" s="61"/>
      <c r="G74" s="61"/>
      <c r="H74" s="61"/>
      <c r="I74" s="62"/>
      <c r="J74" s="10"/>
      <c r="K74" s="10"/>
    </row>
    <row r="75" spans="1:11" x14ac:dyDescent="0.25">
      <c r="A75" s="40" t="s">
        <v>74</v>
      </c>
      <c r="B75" s="63">
        <f>(B2*B3)</f>
        <v>1593696.06</v>
      </c>
      <c r="C75" s="63"/>
      <c r="D75" s="63"/>
      <c r="E75" s="63"/>
      <c r="F75" s="63"/>
      <c r="G75" s="63"/>
      <c r="H75" s="63"/>
      <c r="I75" s="64">
        <f t="shared" ref="I75:I96" si="15">SUM(B75:H75)</f>
        <v>1593696.06</v>
      </c>
      <c r="J75" s="19"/>
    </row>
    <row r="76" spans="1:11" x14ac:dyDescent="0.25">
      <c r="A76" s="40" t="s">
        <v>75</v>
      </c>
      <c r="B76" s="47">
        <f>4236*B21</f>
        <v>119078.66666666667</v>
      </c>
      <c r="C76" s="47"/>
      <c r="D76" s="47"/>
      <c r="E76" s="47"/>
      <c r="F76" s="47"/>
      <c r="G76" s="47"/>
      <c r="H76" s="47"/>
      <c r="I76" s="7">
        <f>SUM(B76:H76)</f>
        <v>119078.66666666667</v>
      </c>
      <c r="J76" s="142">
        <f>0.45*9414</f>
        <v>4236.3</v>
      </c>
      <c r="K76" s="9"/>
    </row>
    <row r="77" spans="1:11" x14ac:dyDescent="0.25">
      <c r="A77" s="40" t="s">
        <v>76</v>
      </c>
      <c r="B77" s="7">
        <f>1075*B22</f>
        <v>0</v>
      </c>
      <c r="C77" s="7"/>
      <c r="D77" s="7"/>
      <c r="E77" s="7"/>
      <c r="F77" s="7"/>
      <c r="G77" s="7"/>
      <c r="H77" s="7"/>
      <c r="I77" s="7">
        <f>SUM(B77:H77)</f>
        <v>0</v>
      </c>
      <c r="J77" s="142">
        <f>0.12*9414</f>
        <v>1129.68</v>
      </c>
      <c r="K77" s="9"/>
    </row>
    <row r="78" spans="1:11" x14ac:dyDescent="0.25">
      <c r="A78" s="40" t="s">
        <v>77</v>
      </c>
      <c r="B78" s="7">
        <f>3294*2</f>
        <v>6588</v>
      </c>
      <c r="C78" s="7"/>
      <c r="D78" s="7"/>
      <c r="E78" s="7"/>
      <c r="F78" s="7"/>
      <c r="G78" s="7"/>
      <c r="H78" s="7"/>
      <c r="I78" s="7">
        <f>SUM(B78:H78)</f>
        <v>6588</v>
      </c>
      <c r="J78" s="142">
        <f>0.35*9414</f>
        <v>3294.8999999999996</v>
      </c>
    </row>
    <row r="79" spans="1:11" x14ac:dyDescent="0.25">
      <c r="A79" s="40" t="s">
        <v>78</v>
      </c>
      <c r="B79" s="47"/>
      <c r="C79" s="47">
        <v>0</v>
      </c>
      <c r="D79" s="47"/>
      <c r="E79" s="47"/>
      <c r="F79" s="47"/>
      <c r="G79" s="47"/>
      <c r="H79" s="47"/>
      <c r="I79" s="47">
        <f>SUM(B79:H79)</f>
        <v>0</v>
      </c>
      <c r="J79" s="8"/>
      <c r="K79" s="66"/>
    </row>
    <row r="80" spans="1:11" x14ac:dyDescent="0.25">
      <c r="A80" s="40" t="s">
        <v>79</v>
      </c>
      <c r="B80" s="47">
        <v>0</v>
      </c>
      <c r="C80" s="47">
        <f>3600*C20</f>
        <v>74799.999999999985</v>
      </c>
      <c r="D80" s="47"/>
      <c r="E80" s="47"/>
      <c r="F80" s="47"/>
      <c r="G80" s="47"/>
      <c r="H80" s="47"/>
      <c r="I80" s="47">
        <f>SUM(B80:H80)</f>
        <v>74799.999999999985</v>
      </c>
      <c r="J80" s="8">
        <v>3600</v>
      </c>
      <c r="K80" s="66"/>
    </row>
    <row r="81" spans="1:11" x14ac:dyDescent="0.25">
      <c r="A81" s="67" t="s">
        <v>80</v>
      </c>
      <c r="B81" s="68">
        <f>SUM(B75:B80)</f>
        <v>1719362.7266666668</v>
      </c>
      <c r="C81" s="68">
        <f>SUM(C75:C80)</f>
        <v>74799.999999999985</v>
      </c>
      <c r="D81" s="68">
        <f>SUM(D75:D80)</f>
        <v>0</v>
      </c>
      <c r="E81" s="68">
        <f t="shared" ref="E81:G81" si="16">SUM(E75:E80)</f>
        <v>0</v>
      </c>
      <c r="F81" s="68">
        <f t="shared" si="16"/>
        <v>0</v>
      </c>
      <c r="G81" s="68">
        <f t="shared" si="16"/>
        <v>0</v>
      </c>
      <c r="H81" s="68">
        <f>SUM(H75:H80)</f>
        <v>0</v>
      </c>
      <c r="I81" s="68">
        <f>SUM(I75:I80)</f>
        <v>1794162.7266666668</v>
      </c>
      <c r="J81" s="10"/>
      <c r="K81" s="10"/>
    </row>
    <row r="82" spans="1:11" x14ac:dyDescent="0.25">
      <c r="A82" s="69" t="s">
        <v>81</v>
      </c>
      <c r="B82" s="61"/>
      <c r="C82" s="61"/>
      <c r="D82" s="61"/>
      <c r="E82" s="61"/>
      <c r="F82" s="61"/>
      <c r="G82" s="61"/>
      <c r="H82" s="61"/>
      <c r="I82" s="62"/>
      <c r="J82" s="10"/>
      <c r="K82" s="10"/>
    </row>
    <row r="83" spans="1:11" x14ac:dyDescent="0.25">
      <c r="A83" s="40" t="s">
        <v>82</v>
      </c>
      <c r="B83" s="7"/>
      <c r="C83" s="7">
        <f>1287*C20</f>
        <v>26740.999999999996</v>
      </c>
      <c r="D83" s="7"/>
      <c r="E83" s="7"/>
      <c r="F83" s="7"/>
      <c r="G83" s="7"/>
      <c r="H83" s="7"/>
      <c r="I83" s="7">
        <f>SUM(B83:H83)</f>
        <v>26740.999999999996</v>
      </c>
      <c r="J83" s="8">
        <v>1287</v>
      </c>
      <c r="K83" s="9"/>
    </row>
    <row r="84" spans="1:11" x14ac:dyDescent="0.25">
      <c r="A84" s="40" t="s">
        <v>83</v>
      </c>
      <c r="B84" s="7"/>
      <c r="C84" s="7"/>
      <c r="D84" s="14">
        <f>((B17*D23)*2.26*180)</f>
        <v>67122</v>
      </c>
      <c r="E84" s="14"/>
      <c r="F84" s="7"/>
      <c r="G84" s="7"/>
      <c r="H84" s="14"/>
      <c r="I84" s="7">
        <f t="shared" si="15"/>
        <v>67122</v>
      </c>
      <c r="J84" s="70">
        <v>2.2599999999999998</v>
      </c>
      <c r="K84" s="71"/>
    </row>
    <row r="85" spans="1:11" x14ac:dyDescent="0.25">
      <c r="A85" s="40" t="s">
        <v>84</v>
      </c>
      <c r="B85" s="47"/>
      <c r="C85" s="47"/>
      <c r="D85" s="14">
        <f>((B17*D23)*4.37*180)</f>
        <v>129789.00000000001</v>
      </c>
      <c r="E85" s="73"/>
      <c r="F85" s="47"/>
      <c r="G85" s="47"/>
      <c r="H85" s="14"/>
      <c r="I85" s="7">
        <f t="shared" si="15"/>
        <v>129789.00000000001</v>
      </c>
      <c r="J85" s="70">
        <v>4.37</v>
      </c>
      <c r="K85" s="71"/>
    </row>
    <row r="86" spans="1:11" x14ac:dyDescent="0.25">
      <c r="A86" s="40" t="s">
        <v>3</v>
      </c>
      <c r="B86" s="47"/>
      <c r="C86" s="47"/>
      <c r="D86" s="47"/>
      <c r="E86" s="47"/>
      <c r="F86" s="47">
        <f>150*B17</f>
        <v>24750</v>
      </c>
      <c r="G86" s="47"/>
      <c r="H86" s="47"/>
      <c r="I86" s="7">
        <f t="shared" si="15"/>
        <v>24750</v>
      </c>
      <c r="J86" s="8"/>
      <c r="K86" s="9"/>
    </row>
    <row r="87" spans="1:11" x14ac:dyDescent="0.25">
      <c r="A87" s="40" t="s">
        <v>4</v>
      </c>
      <c r="B87" s="47"/>
      <c r="C87" s="47"/>
      <c r="D87" s="47"/>
      <c r="E87" s="47"/>
      <c r="F87" s="47"/>
      <c r="G87" s="47">
        <v>8000</v>
      </c>
      <c r="H87" s="47"/>
      <c r="I87" s="7">
        <f t="shared" si="15"/>
        <v>8000</v>
      </c>
      <c r="J87" s="8"/>
      <c r="K87" s="9"/>
    </row>
    <row r="88" spans="1:11" x14ac:dyDescent="0.25">
      <c r="A88" s="40" t="s">
        <v>5</v>
      </c>
      <c r="B88" s="47"/>
      <c r="C88" s="47"/>
      <c r="D88" s="47"/>
      <c r="E88" s="47"/>
      <c r="F88" s="47"/>
      <c r="G88" s="47"/>
      <c r="H88" s="47">
        <v>1500</v>
      </c>
      <c r="I88" s="7">
        <f t="shared" si="15"/>
        <v>1500</v>
      </c>
      <c r="J88" s="8"/>
      <c r="K88" s="9"/>
    </row>
    <row r="89" spans="1:11" x14ac:dyDescent="0.25">
      <c r="A89" s="40" t="s">
        <v>85</v>
      </c>
      <c r="B89" s="47"/>
      <c r="C89" s="47"/>
      <c r="D89" s="47"/>
      <c r="E89" s="47"/>
      <c r="F89" s="47"/>
      <c r="G89" s="47"/>
      <c r="H89" s="47"/>
      <c r="I89" s="7">
        <f t="shared" si="15"/>
        <v>0</v>
      </c>
      <c r="J89" s="8"/>
      <c r="K89" s="9"/>
    </row>
    <row r="90" spans="1:11" x14ac:dyDescent="0.25">
      <c r="A90" s="40" t="s">
        <v>350</v>
      </c>
      <c r="B90" s="47">
        <f>B160*0.7</f>
        <v>48620.25</v>
      </c>
      <c r="C90" s="47"/>
      <c r="D90" s="47"/>
      <c r="E90" s="47"/>
      <c r="F90" s="47"/>
      <c r="G90" s="47"/>
      <c r="H90" s="47"/>
      <c r="I90" s="7">
        <f t="shared" si="15"/>
        <v>48620.25</v>
      </c>
      <c r="J90" s="8"/>
      <c r="K90" s="9"/>
    </row>
    <row r="91" spans="1:11" x14ac:dyDescent="0.25">
      <c r="A91" s="67" t="s">
        <v>86</v>
      </c>
      <c r="B91" s="68">
        <f t="shared" ref="B91" si="17">SUM(B83:B90)</f>
        <v>48620.25</v>
      </c>
      <c r="C91" s="68">
        <f t="shared" ref="C91:H91" si="18">SUM(C83:C90)</f>
        <v>26740.999999999996</v>
      </c>
      <c r="D91" s="68">
        <f t="shared" si="18"/>
        <v>196911</v>
      </c>
      <c r="E91" s="68">
        <f t="shared" si="18"/>
        <v>0</v>
      </c>
      <c r="F91" s="68">
        <f t="shared" si="18"/>
        <v>24750</v>
      </c>
      <c r="G91" s="68">
        <f t="shared" si="18"/>
        <v>8000</v>
      </c>
      <c r="H91" s="68">
        <f t="shared" si="18"/>
        <v>1500</v>
      </c>
      <c r="I91" s="68">
        <f>SUM(I83:I90)</f>
        <v>306522.25</v>
      </c>
      <c r="J91" s="10"/>
      <c r="K91" s="10"/>
    </row>
    <row r="92" spans="1:11" x14ac:dyDescent="0.25">
      <c r="A92" s="69" t="s">
        <v>87</v>
      </c>
      <c r="B92" s="61"/>
      <c r="C92" s="61"/>
      <c r="D92" s="61"/>
      <c r="E92" s="61"/>
      <c r="F92" s="61"/>
      <c r="G92" s="61"/>
      <c r="H92" s="61"/>
      <c r="I92" s="62"/>
      <c r="J92" s="10"/>
      <c r="K92" s="10"/>
    </row>
    <row r="93" spans="1:11" x14ac:dyDescent="0.25">
      <c r="A93" s="40" t="s">
        <v>88</v>
      </c>
      <c r="B93" s="7"/>
      <c r="C93" s="7"/>
      <c r="D93" s="7"/>
      <c r="E93" s="7"/>
      <c r="F93" s="7"/>
      <c r="G93" s="7"/>
      <c r="H93" s="7"/>
      <c r="I93" s="7">
        <f t="shared" si="15"/>
        <v>0</v>
      </c>
      <c r="J93" s="19"/>
    </row>
    <row r="94" spans="1:11" x14ac:dyDescent="0.25">
      <c r="A94" s="40" t="s">
        <v>89</v>
      </c>
      <c r="B94" s="14"/>
      <c r="C94" s="14"/>
      <c r="D94" s="14"/>
      <c r="E94" s="14"/>
      <c r="F94" s="14"/>
      <c r="G94" s="14"/>
      <c r="H94" s="14"/>
      <c r="I94" s="7">
        <f t="shared" si="15"/>
        <v>0</v>
      </c>
      <c r="J94" s="19"/>
    </row>
    <row r="95" spans="1:11" x14ac:dyDescent="0.25">
      <c r="A95" s="40" t="s">
        <v>90</v>
      </c>
      <c r="B95" s="47">
        <v>145954</v>
      </c>
      <c r="C95" s="47"/>
      <c r="D95" s="47"/>
      <c r="E95" s="47"/>
      <c r="F95" s="47"/>
      <c r="G95" s="47"/>
      <c r="H95" s="47"/>
      <c r="I95" s="47">
        <f t="shared" si="15"/>
        <v>145954</v>
      </c>
      <c r="J95" s="19"/>
    </row>
    <row r="96" spans="1:11" x14ac:dyDescent="0.25">
      <c r="A96" s="40" t="s">
        <v>91</v>
      </c>
      <c r="B96" s="47"/>
      <c r="C96" s="47"/>
      <c r="D96" s="47"/>
      <c r="E96" s="47"/>
      <c r="F96" s="47"/>
      <c r="G96" s="47"/>
      <c r="H96" s="47"/>
      <c r="I96" s="47">
        <f t="shared" si="15"/>
        <v>0</v>
      </c>
      <c r="J96" s="19"/>
    </row>
    <row r="97" spans="1:11" x14ac:dyDescent="0.25">
      <c r="A97" s="67" t="s">
        <v>92</v>
      </c>
      <c r="B97" s="68">
        <f>SUM(B93:B96)</f>
        <v>145954</v>
      </c>
      <c r="C97" s="68">
        <f t="shared" ref="C97:H97" si="19">SUM(C93:C96)</f>
        <v>0</v>
      </c>
      <c r="D97" s="68">
        <f t="shared" si="19"/>
        <v>0</v>
      </c>
      <c r="E97" s="68"/>
      <c r="F97" s="68"/>
      <c r="G97" s="68"/>
      <c r="H97" s="68">
        <f t="shared" si="19"/>
        <v>0</v>
      </c>
      <c r="I97" s="68">
        <f>SUM(I93:I96)</f>
        <v>145954</v>
      </c>
      <c r="J97" s="10"/>
      <c r="K97" s="10"/>
    </row>
    <row r="98" spans="1:11" x14ac:dyDescent="0.25">
      <c r="A98" s="74" t="s">
        <v>93</v>
      </c>
      <c r="B98" s="75">
        <f>B81+B91+B97</f>
        <v>1913936.9766666668</v>
      </c>
      <c r="C98" s="75">
        <f t="shared" ref="C98:I98" si="20">C81+C91+C97</f>
        <v>101540.99999999999</v>
      </c>
      <c r="D98" s="75">
        <f t="shared" si="20"/>
        <v>196911</v>
      </c>
      <c r="E98" s="75">
        <f t="shared" si="20"/>
        <v>0</v>
      </c>
      <c r="F98" s="75">
        <f t="shared" si="20"/>
        <v>24750</v>
      </c>
      <c r="G98" s="75">
        <f t="shared" si="20"/>
        <v>8000</v>
      </c>
      <c r="H98" s="75">
        <f t="shared" si="20"/>
        <v>1500</v>
      </c>
      <c r="I98" s="75">
        <f t="shared" si="20"/>
        <v>2246638.9766666666</v>
      </c>
      <c r="J98" s="10"/>
      <c r="K98" s="10"/>
    </row>
    <row r="99" spans="1:11" x14ac:dyDescent="0.25">
      <c r="A99" s="69" t="s">
        <v>94</v>
      </c>
      <c r="B99" s="61"/>
      <c r="C99" s="61"/>
      <c r="D99" s="61"/>
      <c r="E99" s="61"/>
      <c r="F99" s="61"/>
      <c r="G99" s="61"/>
      <c r="H99" s="61"/>
      <c r="I99" s="62"/>
      <c r="J99" s="10"/>
      <c r="K99" s="10"/>
    </row>
    <row r="100" spans="1:11" x14ac:dyDescent="0.25">
      <c r="A100" s="40" t="s">
        <v>95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f>SUM(B100:H100)</f>
        <v>0</v>
      </c>
      <c r="J100" s="19"/>
      <c r="K100" s="10"/>
    </row>
    <row r="101" spans="1:11" x14ac:dyDescent="0.25">
      <c r="A101" s="40" t="s">
        <v>96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7">
        <f t="shared" ref="I101:I103" si="21">SUM(B101:H101)</f>
        <v>0</v>
      </c>
      <c r="J101" s="19"/>
      <c r="K101" s="10"/>
    </row>
    <row r="102" spans="1:11" x14ac:dyDescent="0.25">
      <c r="A102" s="40"/>
      <c r="B102" s="47"/>
      <c r="C102" s="47"/>
      <c r="D102" s="47"/>
      <c r="E102" s="47"/>
      <c r="F102" s="47"/>
      <c r="G102" s="47"/>
      <c r="H102" s="47"/>
      <c r="I102" s="7">
        <f t="shared" si="21"/>
        <v>0</v>
      </c>
      <c r="J102" s="19"/>
      <c r="K102" s="10"/>
    </row>
    <row r="103" spans="1:11" x14ac:dyDescent="0.25">
      <c r="A103" s="40"/>
      <c r="B103" s="47"/>
      <c r="C103" s="47"/>
      <c r="D103" s="47"/>
      <c r="E103" s="47"/>
      <c r="F103" s="47"/>
      <c r="G103" s="47"/>
      <c r="H103" s="47"/>
      <c r="I103" s="7">
        <f t="shared" si="21"/>
        <v>0</v>
      </c>
      <c r="J103" s="19"/>
      <c r="K103" s="10"/>
    </row>
    <row r="104" spans="1:11" x14ac:dyDescent="0.25">
      <c r="A104" s="67" t="s">
        <v>97</v>
      </c>
      <c r="B104" s="68">
        <f>SUM(B100:B103)</f>
        <v>0</v>
      </c>
      <c r="C104" s="68">
        <f t="shared" ref="C104:I104" si="22">SUM(C100:C103)</f>
        <v>0</v>
      </c>
      <c r="D104" s="68">
        <f t="shared" si="22"/>
        <v>0</v>
      </c>
      <c r="E104" s="68">
        <f t="shared" si="22"/>
        <v>0</v>
      </c>
      <c r="F104" s="68">
        <f t="shared" si="22"/>
        <v>0</v>
      </c>
      <c r="G104" s="68">
        <f t="shared" si="22"/>
        <v>0</v>
      </c>
      <c r="H104" s="68">
        <f t="shared" si="22"/>
        <v>0</v>
      </c>
      <c r="I104" s="68">
        <f t="shared" si="22"/>
        <v>0</v>
      </c>
      <c r="J104" s="10"/>
      <c r="K104" s="10"/>
    </row>
    <row r="105" spans="1:11" ht="15.75" thickBot="1" x14ac:dyDescent="0.3">
      <c r="A105" s="40"/>
      <c r="B105" s="54"/>
      <c r="C105" s="54"/>
      <c r="D105" s="54"/>
      <c r="E105" s="54"/>
      <c r="F105" s="54"/>
      <c r="G105" s="54"/>
      <c r="H105" s="54"/>
      <c r="I105" s="54"/>
      <c r="J105" s="10"/>
      <c r="K105" s="10"/>
    </row>
    <row r="106" spans="1:11" ht="15.75" thickBot="1" x14ac:dyDescent="0.3">
      <c r="A106" s="76" t="s">
        <v>98</v>
      </c>
      <c r="B106" s="77" t="str">
        <f>B1</f>
        <v>Operating</v>
      </c>
      <c r="C106" s="77" t="str">
        <f>C1</f>
        <v>SPED</v>
      </c>
      <c r="D106" s="77" t="str">
        <f>D1</f>
        <v>NSLP</v>
      </c>
      <c r="E106" s="77" t="str">
        <f>E1</f>
        <v>Other</v>
      </c>
      <c r="F106" s="77" t="str">
        <f t="shared" ref="F106:G106" si="23">F1</f>
        <v>Title I</v>
      </c>
      <c r="G106" s="77" t="str">
        <f t="shared" si="23"/>
        <v>Title II</v>
      </c>
      <c r="H106" s="77" t="str">
        <f>H1</f>
        <v>Title III</v>
      </c>
      <c r="I106" s="77" t="str">
        <f>I1</f>
        <v>Total (23-24)</v>
      </c>
      <c r="J106" s="10"/>
      <c r="K106" s="10"/>
    </row>
    <row r="107" spans="1:11" x14ac:dyDescent="0.25">
      <c r="A107" s="60" t="s">
        <v>99</v>
      </c>
      <c r="B107" s="61"/>
      <c r="C107" s="61"/>
      <c r="D107" s="61"/>
      <c r="E107" s="61"/>
      <c r="F107" s="61"/>
      <c r="G107" s="61"/>
      <c r="H107" s="61"/>
      <c r="I107" s="62"/>
      <c r="J107" s="10"/>
      <c r="K107" s="10"/>
    </row>
    <row r="108" spans="1:11" x14ac:dyDescent="0.25">
      <c r="A108" s="34" t="s">
        <v>349</v>
      </c>
      <c r="B108" s="14">
        <f>'25-26'!B108*1.02</f>
        <v>0</v>
      </c>
      <c r="C108" s="14">
        <f>'25-26'!C108*1.02</f>
        <v>0</v>
      </c>
      <c r="D108" s="7"/>
      <c r="E108" s="7"/>
      <c r="F108" s="7"/>
      <c r="G108" s="7"/>
      <c r="H108" s="7"/>
      <c r="I108" s="7">
        <f t="shared" ref="I108:I122" si="24">SUM(B108:H108)</f>
        <v>0</v>
      </c>
      <c r="J108" s="19"/>
    </row>
    <row r="109" spans="1:11" x14ac:dyDescent="0.25">
      <c r="A109" s="34" t="s">
        <v>348</v>
      </c>
      <c r="B109" s="14">
        <f>'25-26'!B109*1.02</f>
        <v>117877.32000000002</v>
      </c>
      <c r="C109" s="14"/>
      <c r="D109" s="7"/>
      <c r="E109" s="7"/>
      <c r="F109" s="7"/>
      <c r="G109" s="7"/>
      <c r="H109" s="7"/>
      <c r="I109" s="7">
        <f t="shared" si="24"/>
        <v>117877.32000000002</v>
      </c>
      <c r="J109" s="19"/>
    </row>
    <row r="110" spans="1:11" x14ac:dyDescent="0.25">
      <c r="A110" s="40" t="s">
        <v>100</v>
      </c>
      <c r="B110" s="14">
        <v>0</v>
      </c>
      <c r="C110" s="14">
        <f>'25-26'!C110*1.02</f>
        <v>0</v>
      </c>
      <c r="D110" s="7"/>
      <c r="E110" s="7"/>
      <c r="F110" s="7"/>
      <c r="G110" s="7"/>
      <c r="H110" s="7"/>
      <c r="I110" s="7">
        <f t="shared" si="24"/>
        <v>0</v>
      </c>
      <c r="J110" s="19"/>
    </row>
    <row r="111" spans="1:11" x14ac:dyDescent="0.25">
      <c r="A111" s="40" t="s">
        <v>45</v>
      </c>
      <c r="B111" s="14">
        <f>'25-26'!B111*1.02</f>
        <v>0</v>
      </c>
      <c r="C111" s="14">
        <f>'25-26'!C111*1.02</f>
        <v>0</v>
      </c>
      <c r="D111" s="7"/>
      <c r="E111" s="7">
        <v>0</v>
      </c>
      <c r="F111" s="7"/>
      <c r="G111" s="7"/>
      <c r="H111" s="7"/>
      <c r="I111" s="7">
        <f t="shared" si="24"/>
        <v>0</v>
      </c>
      <c r="J111" s="19"/>
    </row>
    <row r="112" spans="1:11" x14ac:dyDescent="0.25">
      <c r="A112" s="43" t="s">
        <v>46</v>
      </c>
      <c r="B112" s="14">
        <f>'25-26'!B112*1.02</f>
        <v>0</v>
      </c>
      <c r="C112" s="14">
        <f>'25-26'!C112*1.02</f>
        <v>0</v>
      </c>
      <c r="D112" s="7"/>
      <c r="E112" s="7"/>
      <c r="F112" s="7"/>
      <c r="G112" s="7"/>
      <c r="H112" s="7"/>
      <c r="I112" s="7">
        <f>SUM(B112:H112)</f>
        <v>0</v>
      </c>
      <c r="J112" s="19"/>
    </row>
    <row r="113" spans="1:11" x14ac:dyDescent="0.25">
      <c r="A113" s="43" t="s">
        <v>47</v>
      </c>
      <c r="B113" s="14">
        <v>0</v>
      </c>
      <c r="C113" s="14">
        <f>'25-26'!C113*1.02</f>
        <v>0</v>
      </c>
      <c r="D113" s="7"/>
      <c r="E113" s="7"/>
      <c r="F113" s="7"/>
      <c r="G113" s="7"/>
      <c r="H113" s="7"/>
      <c r="I113" s="7">
        <f>SUM(B113:H113)</f>
        <v>0</v>
      </c>
      <c r="J113" s="19"/>
    </row>
    <row r="114" spans="1:11" x14ac:dyDescent="0.25">
      <c r="A114" s="40" t="s">
        <v>345</v>
      </c>
      <c r="B114" s="14">
        <f>'25-26'!B114*1.02</f>
        <v>53580.6</v>
      </c>
      <c r="C114" s="14">
        <f>'25-26'!C114*1.02</f>
        <v>0</v>
      </c>
      <c r="D114" s="7"/>
      <c r="E114" s="7"/>
      <c r="F114" s="7"/>
      <c r="G114" s="7"/>
      <c r="H114" s="7"/>
      <c r="I114" s="7">
        <f>SUM(B114:H114)</f>
        <v>53580.6</v>
      </c>
      <c r="J114" s="19"/>
    </row>
    <row r="115" spans="1:11" x14ac:dyDescent="0.25">
      <c r="A115" s="40" t="s">
        <v>101</v>
      </c>
      <c r="B115" s="14">
        <f>'25-26'!B115*1.02</f>
        <v>0</v>
      </c>
      <c r="C115" s="14">
        <f>'25-26'!C115*1.02</f>
        <v>0</v>
      </c>
      <c r="D115" s="7"/>
      <c r="E115" s="7"/>
      <c r="F115" s="7"/>
      <c r="G115" s="7"/>
      <c r="H115" s="7"/>
      <c r="I115" s="7">
        <f t="shared" si="24"/>
        <v>0</v>
      </c>
      <c r="J115" s="19"/>
    </row>
    <row r="116" spans="1:11" x14ac:dyDescent="0.25">
      <c r="A116" s="40" t="s">
        <v>102</v>
      </c>
      <c r="B116" s="14">
        <f>59000*B36</f>
        <v>472000</v>
      </c>
      <c r="C116" s="7"/>
      <c r="D116" s="7"/>
      <c r="E116" s="7"/>
      <c r="F116" s="7"/>
      <c r="G116" s="7"/>
      <c r="H116" s="7"/>
      <c r="I116" s="7">
        <f t="shared" si="24"/>
        <v>472000</v>
      </c>
      <c r="J116" s="19">
        <f>I116/B36</f>
        <v>59000</v>
      </c>
    </row>
    <row r="117" spans="1:11" x14ac:dyDescent="0.25">
      <c r="A117" s="40" t="s">
        <v>34</v>
      </c>
      <c r="B117" s="7"/>
      <c r="C117" s="7">
        <f>59000*I28</f>
        <v>59000</v>
      </c>
      <c r="D117" s="7"/>
      <c r="E117" s="7"/>
      <c r="F117" s="7"/>
      <c r="G117" s="7"/>
      <c r="H117" s="7"/>
      <c r="I117" s="7">
        <f t="shared" si="24"/>
        <v>59000</v>
      </c>
      <c r="J117" s="19"/>
    </row>
    <row r="118" spans="1:11" x14ac:dyDescent="0.25">
      <c r="A118" s="40" t="s">
        <v>103</v>
      </c>
      <c r="B118" s="14">
        <f>'25-26'!B118*1.02</f>
        <v>85266.023616000006</v>
      </c>
      <c r="C118" s="7"/>
      <c r="D118" s="7"/>
      <c r="E118" s="7"/>
      <c r="F118" s="7"/>
      <c r="G118" s="7"/>
      <c r="H118" s="7"/>
      <c r="I118" s="7">
        <f t="shared" si="24"/>
        <v>85266.023616000006</v>
      </c>
      <c r="J118" s="19"/>
    </row>
    <row r="119" spans="1:11" x14ac:dyDescent="0.25">
      <c r="A119" s="40" t="s">
        <v>104</v>
      </c>
      <c r="B119" s="14">
        <f>(17*8*190)*(B50+B49)</f>
        <v>0</v>
      </c>
      <c r="C119" s="7"/>
      <c r="D119" s="7"/>
      <c r="E119" s="7"/>
      <c r="F119" s="7"/>
      <c r="G119" s="7"/>
      <c r="H119" s="7"/>
      <c r="I119" s="7">
        <f t="shared" si="24"/>
        <v>0</v>
      </c>
      <c r="J119" s="19"/>
    </row>
    <row r="120" spans="1:11" x14ac:dyDescent="0.25">
      <c r="A120" s="40" t="s">
        <v>105</v>
      </c>
      <c r="B120" s="14">
        <f t="shared" ref="B120:E120" si="25">(15.5*8*180)*B51</f>
        <v>0</v>
      </c>
      <c r="C120" s="14">
        <f>(16.5*8*180)*C51</f>
        <v>0</v>
      </c>
      <c r="D120" s="14">
        <f t="shared" si="25"/>
        <v>0</v>
      </c>
      <c r="E120" s="14">
        <f t="shared" si="25"/>
        <v>0</v>
      </c>
      <c r="F120" s="14">
        <f>(15.75*8*180)*F51</f>
        <v>22680</v>
      </c>
      <c r="G120" s="7"/>
      <c r="H120" s="7"/>
      <c r="I120" s="7">
        <f t="shared" si="24"/>
        <v>22680</v>
      </c>
      <c r="J120" s="19"/>
    </row>
    <row r="121" spans="1:11" x14ac:dyDescent="0.25">
      <c r="A121" s="40" t="s">
        <v>106</v>
      </c>
      <c r="B121" s="14">
        <f>(17.5*8*210)*B52</f>
        <v>0</v>
      </c>
      <c r="C121" s="7"/>
      <c r="D121" s="7"/>
      <c r="E121" s="7"/>
      <c r="F121" s="7"/>
      <c r="G121" s="7"/>
      <c r="H121" s="7"/>
      <c r="I121" s="7">
        <f t="shared" si="24"/>
        <v>0</v>
      </c>
      <c r="J121" s="19"/>
    </row>
    <row r="122" spans="1:11" x14ac:dyDescent="0.25">
      <c r="A122" s="40" t="s">
        <v>55</v>
      </c>
      <c r="B122" s="7"/>
      <c r="C122" s="7"/>
      <c r="D122" s="7"/>
      <c r="E122" s="7"/>
      <c r="F122" s="7"/>
      <c r="G122" s="7"/>
      <c r="H122" s="7"/>
      <c r="I122" s="7">
        <f t="shared" si="24"/>
        <v>0</v>
      </c>
      <c r="J122" s="19"/>
    </row>
    <row r="123" spans="1:11" x14ac:dyDescent="0.25">
      <c r="A123" s="78" t="s">
        <v>107</v>
      </c>
      <c r="B123" s="79">
        <f>SUM(B108:B122)</f>
        <v>728723.943616</v>
      </c>
      <c r="C123" s="79">
        <f t="shared" ref="C123:D123" si="26">SUM(C108:C122)</f>
        <v>59000</v>
      </c>
      <c r="D123" s="79">
        <f t="shared" si="26"/>
        <v>0</v>
      </c>
      <c r="E123" s="79">
        <f t="shared" ref="E123:H123" si="27">SUM(E108:E122)</f>
        <v>0</v>
      </c>
      <c r="F123" s="79">
        <f t="shared" si="27"/>
        <v>22680</v>
      </c>
      <c r="G123" s="79">
        <f t="shared" si="27"/>
        <v>0</v>
      </c>
      <c r="H123" s="79">
        <f t="shared" si="27"/>
        <v>0</v>
      </c>
      <c r="I123" s="79">
        <f>SUM(I108:I122)</f>
        <v>810403.943616</v>
      </c>
      <c r="J123" s="10"/>
      <c r="K123" s="10"/>
    </row>
    <row r="124" spans="1:11" x14ac:dyDescent="0.25">
      <c r="A124" s="80" t="s">
        <v>108</v>
      </c>
      <c r="B124" s="61"/>
      <c r="C124" s="61"/>
      <c r="D124" s="61"/>
      <c r="E124" s="61"/>
      <c r="F124" s="61"/>
      <c r="G124" s="61"/>
      <c r="H124" s="61"/>
      <c r="I124" s="62"/>
      <c r="J124" s="10"/>
      <c r="K124" s="10"/>
    </row>
    <row r="125" spans="1:11" x14ac:dyDescent="0.25">
      <c r="A125" s="40" t="s">
        <v>57</v>
      </c>
      <c r="B125" s="7">
        <v>0</v>
      </c>
      <c r="C125" s="7"/>
      <c r="D125" s="7"/>
      <c r="E125" s="7"/>
      <c r="F125" s="7"/>
      <c r="G125" s="7"/>
      <c r="H125" s="7"/>
      <c r="I125" s="35">
        <f t="shared" ref="I125:I132" si="28">SUM(B125:H125)</f>
        <v>0</v>
      </c>
      <c r="J125" s="19"/>
    </row>
    <row r="126" spans="1:11" x14ac:dyDescent="0.25">
      <c r="A126" s="40" t="s">
        <v>58</v>
      </c>
      <c r="B126" s="7">
        <v>0</v>
      </c>
      <c r="C126" s="7"/>
      <c r="D126" s="7"/>
      <c r="E126" s="7"/>
      <c r="F126" s="7"/>
      <c r="G126" s="7"/>
      <c r="H126" s="7"/>
      <c r="I126" s="35">
        <f t="shared" si="28"/>
        <v>0</v>
      </c>
      <c r="J126" s="19"/>
    </row>
    <row r="127" spans="1:11" x14ac:dyDescent="0.25">
      <c r="A127" s="40" t="s">
        <v>59</v>
      </c>
      <c r="B127" s="7">
        <v>0</v>
      </c>
      <c r="C127" s="7"/>
      <c r="D127" s="7"/>
      <c r="E127" s="7"/>
      <c r="F127" s="7"/>
      <c r="G127" s="7"/>
      <c r="H127" s="7"/>
      <c r="I127" s="7">
        <f t="shared" si="28"/>
        <v>0</v>
      </c>
      <c r="J127" s="19"/>
    </row>
    <row r="128" spans="1:11" x14ac:dyDescent="0.25">
      <c r="A128" s="40" t="s">
        <v>109</v>
      </c>
      <c r="B128" s="7">
        <v>0</v>
      </c>
      <c r="C128" s="7"/>
      <c r="D128" s="7"/>
      <c r="E128" s="7"/>
      <c r="F128" s="7"/>
      <c r="G128" s="7"/>
      <c r="H128" s="7"/>
      <c r="I128" s="35">
        <f t="shared" si="28"/>
        <v>0</v>
      </c>
      <c r="J128" s="19"/>
    </row>
    <row r="129" spans="1:11" x14ac:dyDescent="0.25">
      <c r="A129" s="40" t="s">
        <v>61</v>
      </c>
      <c r="B129" s="7">
        <v>0</v>
      </c>
      <c r="C129" s="7"/>
      <c r="D129" s="7"/>
      <c r="E129" s="7"/>
      <c r="F129" s="7"/>
      <c r="G129" s="7"/>
      <c r="H129" s="7"/>
      <c r="I129" s="35">
        <f t="shared" si="28"/>
        <v>0</v>
      </c>
      <c r="J129" s="19"/>
    </row>
    <row r="130" spans="1:11" x14ac:dyDescent="0.25">
      <c r="A130" s="40" t="s">
        <v>256</v>
      </c>
      <c r="B130" s="7">
        <v>0</v>
      </c>
      <c r="C130" s="7"/>
      <c r="D130" s="7"/>
      <c r="E130" s="7"/>
      <c r="F130" s="7"/>
      <c r="G130" s="7"/>
      <c r="H130" s="7"/>
      <c r="I130" s="35">
        <f t="shared" si="28"/>
        <v>0</v>
      </c>
      <c r="J130" s="19"/>
    </row>
    <row r="131" spans="1:11" x14ac:dyDescent="0.25">
      <c r="A131" s="40" t="s">
        <v>110</v>
      </c>
      <c r="B131" s="7">
        <f>(12.5*6*185)*B53</f>
        <v>0</v>
      </c>
      <c r="C131" s="7">
        <f>(12.5*6*185)*C53</f>
        <v>0</v>
      </c>
      <c r="D131" s="7">
        <f>(17.75*8*180)*D53</f>
        <v>25560</v>
      </c>
      <c r="E131" s="7"/>
      <c r="F131" s="7"/>
      <c r="G131" s="7"/>
      <c r="H131" s="7">
        <f>(13.75*8*180)*H53</f>
        <v>0</v>
      </c>
      <c r="I131" s="7">
        <f>SUM(B131:H131)</f>
        <v>25560</v>
      </c>
      <c r="J131" s="19"/>
    </row>
    <row r="132" spans="1:11" x14ac:dyDescent="0.25">
      <c r="A132" s="40" t="s">
        <v>62</v>
      </c>
      <c r="B132" s="47">
        <v>0</v>
      </c>
      <c r="C132" s="7"/>
      <c r="D132" s="7"/>
      <c r="E132" s="7"/>
      <c r="F132" s="7"/>
      <c r="G132" s="7">
        <v>0</v>
      </c>
      <c r="H132" s="7"/>
      <c r="I132" s="35">
        <f t="shared" si="28"/>
        <v>0</v>
      </c>
      <c r="J132" s="19"/>
    </row>
    <row r="133" spans="1:11" x14ac:dyDescent="0.25">
      <c r="A133" s="81" t="s">
        <v>111</v>
      </c>
      <c r="B133" s="82">
        <f>SUM(B125:B132)</f>
        <v>0</v>
      </c>
      <c r="C133" s="82">
        <f>SUM(C125:C132)</f>
        <v>0</v>
      </c>
      <c r="D133" s="82">
        <f>SUM(D125:D132)</f>
        <v>25560</v>
      </c>
      <c r="E133" s="82">
        <f>SUM(E125:E132)</f>
        <v>0</v>
      </c>
      <c r="F133" s="82">
        <f t="shared" ref="F133" si="29">SUM(F125:F132)</f>
        <v>0</v>
      </c>
      <c r="G133" s="82"/>
      <c r="H133" s="82">
        <f>SUM(H125:H132)</f>
        <v>0</v>
      </c>
      <c r="I133" s="82">
        <f>SUM(I125:I132)</f>
        <v>25560</v>
      </c>
      <c r="J133" s="25"/>
      <c r="K133" s="28"/>
    </row>
    <row r="134" spans="1:11" x14ac:dyDescent="0.25">
      <c r="A134" s="83" t="s">
        <v>112</v>
      </c>
      <c r="B134" s="84">
        <f>B123+B133</f>
        <v>728723.943616</v>
      </c>
      <c r="C134" s="84">
        <f>C123+C133</f>
        <v>59000</v>
      </c>
      <c r="D134" s="84">
        <f>D123+D133</f>
        <v>25560</v>
      </c>
      <c r="E134" s="84">
        <f>E123+E133</f>
        <v>0</v>
      </c>
      <c r="F134" s="84">
        <f t="shared" ref="F134:H134" si="30">F123+F133</f>
        <v>22680</v>
      </c>
      <c r="G134" s="84">
        <f t="shared" si="30"/>
        <v>0</v>
      </c>
      <c r="H134" s="84">
        <f t="shared" si="30"/>
        <v>0</v>
      </c>
      <c r="I134" s="84">
        <f>I123+I133</f>
        <v>835963.943616</v>
      </c>
      <c r="J134" s="28"/>
      <c r="K134" s="10"/>
    </row>
    <row r="135" spans="1:11" x14ac:dyDescent="0.25">
      <c r="A135" s="40" t="s">
        <v>113</v>
      </c>
      <c r="B135" s="64">
        <f>B134*0.335</f>
        <v>244122.52111136002</v>
      </c>
      <c r="C135" s="64">
        <f t="shared" ref="C135:F135" si="31">C134*0.335</f>
        <v>19765</v>
      </c>
      <c r="D135" s="64">
        <f t="shared" si="31"/>
        <v>8562.6</v>
      </c>
      <c r="E135" s="64">
        <f t="shared" si="31"/>
        <v>0</v>
      </c>
      <c r="F135" s="64">
        <f t="shared" si="31"/>
        <v>7597.8</v>
      </c>
      <c r="G135" s="64">
        <f t="shared" ref="G135:H135" si="32">G134*0.2975</f>
        <v>0</v>
      </c>
      <c r="H135" s="64">
        <f t="shared" si="32"/>
        <v>0</v>
      </c>
      <c r="I135" s="7">
        <f>SUM(B135:H135)</f>
        <v>280047.92111136002</v>
      </c>
      <c r="J135" s="85">
        <f>I135/I134</f>
        <v>0.33500000000000002</v>
      </c>
      <c r="K135" s="86"/>
    </row>
    <row r="136" spans="1:11" x14ac:dyDescent="0.25">
      <c r="A136" s="87" t="s">
        <v>114</v>
      </c>
      <c r="B136" s="14">
        <f>B134*0.1475</f>
        <v>107486.78168335999</v>
      </c>
      <c r="C136" s="14">
        <f t="shared" ref="C136:F136" si="33">C134*0.1475</f>
        <v>8702.5</v>
      </c>
      <c r="D136" s="14">
        <f t="shared" si="33"/>
        <v>3770.1</v>
      </c>
      <c r="E136" s="14">
        <f t="shared" si="33"/>
        <v>0</v>
      </c>
      <c r="F136" s="14">
        <f t="shared" si="33"/>
        <v>3345.2999999999997</v>
      </c>
      <c r="G136" s="14">
        <f t="shared" ref="G136:H136" si="34">(((6400*(G66*0.8))+((275*(G66*0.8)))+((60*(G66*0.8)))))+(G134*0.0145)+(G134*0.031)</f>
        <v>0</v>
      </c>
      <c r="H136" s="14">
        <f t="shared" si="34"/>
        <v>0</v>
      </c>
      <c r="I136" s="7">
        <f>SUM(B136:H136)</f>
        <v>123304.68168336</v>
      </c>
      <c r="J136" s="85">
        <f>I136/I134</f>
        <v>0.14749999999999999</v>
      </c>
      <c r="K136" s="86"/>
    </row>
    <row r="137" spans="1:11" x14ac:dyDescent="0.25">
      <c r="A137" s="40" t="s">
        <v>115</v>
      </c>
      <c r="B137" s="7">
        <f>((1100*B36)+(2750*B39)+(2200*B41)+(1650*B42)+(1650*B43)+(1650*B44)+(1650*B45)+(1650*B46)+(1100*B47)+(1100*B48)+(500*B49)+(500*B50)+(500*B51)+(500*B52)+(500*B53)+(500*B54)+(1100*B55)+(1100*B56)+(1100*B57)+(1100*B58)+(1100*B59)+(1100*B60))*0.9</f>
        <v>11385</v>
      </c>
      <c r="C137" s="7">
        <f>((1100*C36)+(2750*C39)+(2200*C41)+(1650*C42)+(1650*C43)+(1650*C44)+(1650*C45)+(1650*C46)+(1100*C47)+(1100*C48)+(500*C49)+(500*C50)+(500*C51)+(500*C52)+(500*C53)+(500*C54)+(1100*C55)+(1100*C56)+(1100*C57)+(1100*C58)+(1100*C59)+(1100*C60))</f>
        <v>1100</v>
      </c>
      <c r="D137" s="7">
        <f t="shared" ref="D137" si="35">((1100*D36)+(2750*D39)+(2200*D41)+(1650*D42)+(1650*D43)+(1650*D44)+(1650*D45)+(1650*D46)+(1100*D47)+(1100*D48)+(500*D49)+(500*D50)+(500*D51)+(500*D52)+(500*D53)+(500*D54)+(1100*D55)+(1100*D56)+(1100*D57)+(1100*D58)+(1100*D59)+(1100*D60))*0.9</f>
        <v>450</v>
      </c>
      <c r="E137" s="7"/>
      <c r="F137" s="7"/>
      <c r="G137" s="7">
        <f t="shared" ref="G137:H137" si="36">((1000*G36)+(2000*G39)+(1750*G41)+(1500*G42)+(1500*G43)+(1500*G44)+(1000*G47)+(1000*G48)+(500*G49)+(500*G50)+(500*G51)+(500*G52)+(500*G53)+(500*G54)+(1000*G55)+(1000*G56)+(1000*G57)+(1000*G58)+(1000*G59)+(1000*G60))*0.7</f>
        <v>0</v>
      </c>
      <c r="H137" s="7">
        <f t="shared" si="36"/>
        <v>0</v>
      </c>
      <c r="I137" s="7">
        <f t="shared" ref="I137:I142" si="37">SUM(B137:H137)</f>
        <v>12935</v>
      </c>
      <c r="J137" s="19"/>
    </row>
    <row r="138" spans="1:11" x14ac:dyDescent="0.25">
      <c r="A138" s="87" t="s">
        <v>116</v>
      </c>
      <c r="B138" s="88">
        <f>125*B66+125*6</f>
        <v>2250</v>
      </c>
      <c r="C138" s="89">
        <f>125*C66</f>
        <v>125</v>
      </c>
      <c r="D138" s="89">
        <f t="shared" ref="D138:H138" si="38">125*D66</f>
        <v>125</v>
      </c>
      <c r="E138" s="89"/>
      <c r="F138" s="89"/>
      <c r="G138" s="89">
        <f t="shared" si="38"/>
        <v>0</v>
      </c>
      <c r="H138" s="89">
        <f t="shared" si="38"/>
        <v>0</v>
      </c>
      <c r="I138" s="7">
        <f t="shared" si="37"/>
        <v>2500</v>
      </c>
      <c r="J138" s="19"/>
    </row>
    <row r="139" spans="1:11" x14ac:dyDescent="0.25">
      <c r="A139" s="40" t="s">
        <v>117</v>
      </c>
      <c r="B139" s="7">
        <v>0</v>
      </c>
      <c r="C139" s="14"/>
      <c r="D139" s="14"/>
      <c r="E139" s="14"/>
      <c r="F139" s="14"/>
      <c r="G139" s="14"/>
      <c r="H139" s="14"/>
      <c r="I139" s="7">
        <f t="shared" si="37"/>
        <v>0</v>
      </c>
      <c r="J139" s="19"/>
    </row>
    <row r="140" spans="1:11" x14ac:dyDescent="0.25">
      <c r="A140" s="40" t="s">
        <v>118</v>
      </c>
      <c r="B140" s="7"/>
      <c r="C140" s="14"/>
      <c r="D140" s="14"/>
      <c r="E140" s="14"/>
      <c r="F140" s="14"/>
      <c r="G140" s="14"/>
      <c r="H140" s="14"/>
      <c r="I140" s="7">
        <f t="shared" si="37"/>
        <v>0</v>
      </c>
      <c r="J140" s="19"/>
    </row>
    <row r="141" spans="1:11" x14ac:dyDescent="0.25">
      <c r="A141" s="40" t="s">
        <v>119</v>
      </c>
      <c r="B141" s="14">
        <v>5000</v>
      </c>
      <c r="C141" s="14"/>
      <c r="D141" s="14"/>
      <c r="E141" s="14"/>
      <c r="F141" s="14"/>
      <c r="G141" s="14"/>
      <c r="H141" s="14"/>
      <c r="I141" s="7">
        <f t="shared" si="37"/>
        <v>5000</v>
      </c>
      <c r="J141" s="19"/>
    </row>
    <row r="142" spans="1:11" x14ac:dyDescent="0.25">
      <c r="A142" s="40" t="s">
        <v>120</v>
      </c>
      <c r="B142" s="47">
        <f>(185*11*B36)-B132</f>
        <v>16280</v>
      </c>
      <c r="C142" s="47">
        <f t="shared" ref="C142:G142" si="39">(185*11*C36)-C132</f>
        <v>2035</v>
      </c>
      <c r="D142" s="47">
        <f t="shared" si="39"/>
        <v>0</v>
      </c>
      <c r="E142" s="47">
        <f t="shared" si="39"/>
        <v>0</v>
      </c>
      <c r="F142" s="47">
        <f t="shared" si="39"/>
        <v>0</v>
      </c>
      <c r="G142" s="47">
        <f t="shared" si="39"/>
        <v>0</v>
      </c>
      <c r="H142" s="47">
        <f t="shared" ref="H142" si="40">(175*11*H36)-H132</f>
        <v>0</v>
      </c>
      <c r="I142" s="7">
        <f t="shared" si="37"/>
        <v>18315</v>
      </c>
      <c r="J142" s="19" t="s">
        <v>121</v>
      </c>
    </row>
    <row r="143" spans="1:11" x14ac:dyDescent="0.25">
      <c r="A143" s="91" t="s">
        <v>122</v>
      </c>
      <c r="B143" s="92">
        <f>SUM(B135:B142)</f>
        <v>386524.30279472005</v>
      </c>
      <c r="C143" s="92">
        <f t="shared" ref="C143:H143" si="41">SUM(C135:C142)</f>
        <v>31727.5</v>
      </c>
      <c r="D143" s="92">
        <f t="shared" si="41"/>
        <v>12907.7</v>
      </c>
      <c r="E143" s="92">
        <f t="shared" si="41"/>
        <v>0</v>
      </c>
      <c r="F143" s="92">
        <f t="shared" si="41"/>
        <v>10943.1</v>
      </c>
      <c r="G143" s="92">
        <f t="shared" si="41"/>
        <v>0</v>
      </c>
      <c r="H143" s="92">
        <f t="shared" si="41"/>
        <v>0</v>
      </c>
      <c r="I143" s="92">
        <f>SUM(I135:I142)</f>
        <v>442102.60279472003</v>
      </c>
      <c r="J143" s="10"/>
      <c r="K143" s="10"/>
    </row>
    <row r="144" spans="1:11" x14ac:dyDescent="0.25">
      <c r="A144" s="83" t="s">
        <v>123</v>
      </c>
      <c r="B144" s="84">
        <f>B134+B143</f>
        <v>1115248.2464107201</v>
      </c>
      <c r="C144" s="84">
        <f>C134+C143</f>
        <v>90727.5</v>
      </c>
      <c r="D144" s="84">
        <f>D134+D143</f>
        <v>38467.699999999997</v>
      </c>
      <c r="E144" s="84">
        <f>E134+E143</f>
        <v>0</v>
      </c>
      <c r="F144" s="84">
        <f t="shared" ref="F144:G144" si="42">F134+F143</f>
        <v>33623.1</v>
      </c>
      <c r="G144" s="84">
        <f t="shared" si="42"/>
        <v>0</v>
      </c>
      <c r="H144" s="84">
        <f>H134+H143</f>
        <v>0</v>
      </c>
      <c r="I144" s="84">
        <f>I134+I143</f>
        <v>1278066.5464107201</v>
      </c>
      <c r="J144" s="10"/>
      <c r="K144" s="10"/>
    </row>
    <row r="145" spans="1:11" x14ac:dyDescent="0.25">
      <c r="A145" s="93" t="s">
        <v>124</v>
      </c>
      <c r="B145" s="24" t="str">
        <f>B1</f>
        <v>Operating</v>
      </c>
      <c r="C145" s="24" t="str">
        <f>C1</f>
        <v>SPED</v>
      </c>
      <c r="D145" s="24" t="str">
        <f>D1</f>
        <v>NSLP</v>
      </c>
      <c r="E145" s="24" t="str">
        <f>E1</f>
        <v>Other</v>
      </c>
      <c r="F145" s="24" t="str">
        <f t="shared" ref="F145:G145" si="43">F1</f>
        <v>Title I</v>
      </c>
      <c r="G145" s="24" t="str">
        <f t="shared" si="43"/>
        <v>Title II</v>
      </c>
      <c r="H145" s="24" t="str">
        <f>H1</f>
        <v>Title III</v>
      </c>
      <c r="I145" s="24" t="str">
        <f>I1</f>
        <v>Total (23-24)</v>
      </c>
      <c r="J145" s="10"/>
      <c r="K145" s="10"/>
    </row>
    <row r="146" spans="1:11" x14ac:dyDescent="0.25">
      <c r="A146" s="94" t="s">
        <v>125</v>
      </c>
      <c r="B146" s="7">
        <f>205*B17</f>
        <v>33825</v>
      </c>
      <c r="C146" s="14"/>
      <c r="D146" s="14"/>
      <c r="E146" s="14"/>
      <c r="F146" s="14"/>
      <c r="G146" s="14"/>
      <c r="H146" s="14"/>
      <c r="I146" s="7">
        <f t="shared" ref="I146:I154" si="44">SUM(B146:H146)</f>
        <v>33825</v>
      </c>
      <c r="J146" s="8" t="s">
        <v>126</v>
      </c>
    </row>
    <row r="147" spans="1:11" x14ac:dyDescent="0.25">
      <c r="A147" s="95" t="s">
        <v>127</v>
      </c>
      <c r="B147" s="7">
        <v>5000</v>
      </c>
      <c r="C147" s="14"/>
      <c r="D147" s="14"/>
      <c r="E147" s="14"/>
      <c r="F147" s="14"/>
      <c r="G147" s="14"/>
      <c r="H147" s="14"/>
      <c r="I147" s="7">
        <f t="shared" si="44"/>
        <v>5000</v>
      </c>
      <c r="J147" s="19"/>
    </row>
    <row r="148" spans="1:11" x14ac:dyDescent="0.25">
      <c r="A148" s="40" t="s">
        <v>128</v>
      </c>
      <c r="B148" s="14">
        <v>0</v>
      </c>
      <c r="C148" s="14"/>
      <c r="D148" s="14"/>
      <c r="E148" s="14"/>
      <c r="F148" s="14"/>
      <c r="G148" s="14"/>
      <c r="H148" s="14"/>
      <c r="I148" s="7">
        <f t="shared" si="44"/>
        <v>0</v>
      </c>
      <c r="J148" s="19"/>
    </row>
    <row r="149" spans="1:11" x14ac:dyDescent="0.25">
      <c r="A149" s="40" t="s">
        <v>129</v>
      </c>
      <c r="B149" s="7">
        <f>30*B17</f>
        <v>4950</v>
      </c>
      <c r="C149" s="14"/>
      <c r="D149" s="14"/>
      <c r="E149" s="14"/>
      <c r="F149" s="14"/>
      <c r="G149" s="14"/>
      <c r="H149" s="14"/>
      <c r="I149" s="7">
        <f t="shared" si="44"/>
        <v>4950</v>
      </c>
      <c r="J149" s="8" t="s">
        <v>130</v>
      </c>
    </row>
    <row r="150" spans="1:11" x14ac:dyDescent="0.25">
      <c r="A150" s="40" t="s">
        <v>131</v>
      </c>
      <c r="B150" s="7">
        <f>40*B17</f>
        <v>6600</v>
      </c>
      <c r="C150" s="14"/>
      <c r="D150" s="14"/>
      <c r="E150" s="14"/>
      <c r="F150" s="14"/>
      <c r="G150" s="14"/>
      <c r="H150" s="14"/>
      <c r="I150" s="7">
        <f t="shared" si="44"/>
        <v>6600</v>
      </c>
      <c r="J150" s="8" t="s">
        <v>132</v>
      </c>
    </row>
    <row r="151" spans="1:11" x14ac:dyDescent="0.25">
      <c r="A151" s="40" t="s">
        <v>133</v>
      </c>
      <c r="B151" s="7">
        <f>10*B17</f>
        <v>1650</v>
      </c>
      <c r="C151" s="14"/>
      <c r="D151" s="14"/>
      <c r="E151" s="14"/>
      <c r="F151" s="14"/>
      <c r="G151" s="14"/>
      <c r="H151" s="14"/>
      <c r="I151" s="7">
        <f t="shared" si="44"/>
        <v>1650</v>
      </c>
      <c r="J151" s="8" t="s">
        <v>134</v>
      </c>
    </row>
    <row r="152" spans="1:11" x14ac:dyDescent="0.25">
      <c r="A152" s="40" t="s">
        <v>135</v>
      </c>
      <c r="B152" s="7">
        <f>8*B17</f>
        <v>1320</v>
      </c>
      <c r="C152" s="14"/>
      <c r="D152" s="14"/>
      <c r="E152" s="14"/>
      <c r="F152" s="14"/>
      <c r="G152" s="14"/>
      <c r="H152" s="14"/>
      <c r="I152" s="7">
        <f t="shared" si="44"/>
        <v>1320</v>
      </c>
      <c r="J152" s="8" t="s">
        <v>136</v>
      </c>
    </row>
    <row r="153" spans="1:11" x14ac:dyDescent="0.25">
      <c r="A153" s="40" t="s">
        <v>137</v>
      </c>
      <c r="B153" s="7">
        <f>129*B20</f>
        <v>0</v>
      </c>
      <c r="C153" s="14">
        <f>150*(C20)</f>
        <v>3116.6666666666661</v>
      </c>
      <c r="D153" s="14"/>
      <c r="E153" s="14"/>
      <c r="F153" s="14"/>
      <c r="G153" s="14"/>
      <c r="H153" s="14"/>
      <c r="I153" s="7">
        <f t="shared" si="44"/>
        <v>3116.6666666666661</v>
      </c>
      <c r="J153" s="8" t="s">
        <v>138</v>
      </c>
    </row>
    <row r="154" spans="1:11" x14ac:dyDescent="0.25">
      <c r="A154" s="40" t="s">
        <v>139</v>
      </c>
      <c r="B154" s="7">
        <v>10000</v>
      </c>
      <c r="C154" s="7"/>
      <c r="D154" s="7"/>
      <c r="E154" s="7"/>
      <c r="F154" s="7"/>
      <c r="G154" s="7"/>
      <c r="H154" s="7"/>
      <c r="I154" s="7">
        <f t="shared" si="44"/>
        <v>10000</v>
      </c>
      <c r="J154" s="19"/>
    </row>
    <row r="155" spans="1:11" x14ac:dyDescent="0.25">
      <c r="A155" s="96" t="s">
        <v>140</v>
      </c>
      <c r="B155" s="97">
        <f>B17*45</f>
        <v>7425</v>
      </c>
      <c r="C155" s="7"/>
      <c r="D155" s="7"/>
      <c r="E155" s="7"/>
      <c r="F155" s="7"/>
      <c r="G155" s="7"/>
      <c r="H155" s="7"/>
      <c r="I155" s="7">
        <f>SUM(B155:H155)</f>
        <v>7425</v>
      </c>
      <c r="J155" s="19" t="s">
        <v>141</v>
      </c>
    </row>
    <row r="156" spans="1:11" x14ac:dyDescent="0.25">
      <c r="A156" s="83" t="s">
        <v>142</v>
      </c>
      <c r="B156" s="84">
        <f>SUM(B146:B155)</f>
        <v>70770</v>
      </c>
      <c r="C156" s="84">
        <f t="shared" ref="C156:H156" si="45">SUM(C146:C155)</f>
        <v>3116.6666666666661</v>
      </c>
      <c r="D156" s="84">
        <f t="shared" si="45"/>
        <v>0</v>
      </c>
      <c r="E156" s="84">
        <f t="shared" si="45"/>
        <v>0</v>
      </c>
      <c r="F156" s="84">
        <f t="shared" si="45"/>
        <v>0</v>
      </c>
      <c r="G156" s="84">
        <f t="shared" si="45"/>
        <v>0</v>
      </c>
      <c r="H156" s="84">
        <f t="shared" si="45"/>
        <v>0</v>
      </c>
      <c r="I156" s="84">
        <f>SUM(I146:I155)</f>
        <v>73886.666666666657</v>
      </c>
      <c r="J156" s="10"/>
      <c r="K156" s="10"/>
    </row>
    <row r="157" spans="1:11" x14ac:dyDescent="0.25">
      <c r="A157" s="93" t="s">
        <v>143</v>
      </c>
      <c r="B157" s="24" t="str">
        <f t="shared" ref="B157:I157" si="46">B1</f>
        <v>Operating</v>
      </c>
      <c r="C157" s="24" t="str">
        <f t="shared" si="46"/>
        <v>SPED</v>
      </c>
      <c r="D157" s="24" t="str">
        <f t="shared" si="46"/>
        <v>NSLP</v>
      </c>
      <c r="E157" s="24" t="str">
        <f t="shared" si="46"/>
        <v>Other</v>
      </c>
      <c r="F157" s="24" t="str">
        <f t="shared" si="46"/>
        <v>Title I</v>
      </c>
      <c r="G157" s="24" t="str">
        <f t="shared" si="46"/>
        <v>Title II</v>
      </c>
      <c r="H157" s="24" t="str">
        <f t="shared" si="46"/>
        <v>Title III</v>
      </c>
      <c r="I157" s="24" t="str">
        <f t="shared" si="46"/>
        <v>Total (23-24)</v>
      </c>
      <c r="J157" s="10"/>
      <c r="K157" s="10"/>
    </row>
    <row r="158" spans="1:11" x14ac:dyDescent="0.25">
      <c r="A158" s="40" t="s">
        <v>144</v>
      </c>
      <c r="B158" s="14">
        <f>12000*1.03</f>
        <v>12360</v>
      </c>
      <c r="C158" s="14"/>
      <c r="D158" s="14"/>
      <c r="E158" s="14"/>
      <c r="F158" s="14"/>
      <c r="G158" s="14"/>
      <c r="H158" s="14"/>
      <c r="I158" s="7">
        <f>SUM(B158:H158)</f>
        <v>12360</v>
      </c>
      <c r="J158" s="19"/>
    </row>
    <row r="159" spans="1:11" x14ac:dyDescent="0.25">
      <c r="A159" s="40" t="s">
        <v>145</v>
      </c>
      <c r="B159" s="14">
        <v>0</v>
      </c>
      <c r="C159" s="14">
        <f>485*B17</f>
        <v>80025</v>
      </c>
      <c r="D159" s="7"/>
      <c r="E159" s="7"/>
      <c r="F159" s="7"/>
      <c r="G159" s="7"/>
      <c r="H159" s="7"/>
      <c r="I159" s="7">
        <f t="shared" ref="I159:I171" si="47">SUM(B159:H159)</f>
        <v>80025</v>
      </c>
      <c r="J159" s="19" t="s">
        <v>259</v>
      </c>
    </row>
    <row r="160" spans="1:11" x14ac:dyDescent="0.25">
      <c r="A160" s="40" t="s">
        <v>343</v>
      </c>
      <c r="B160" s="14">
        <f>'25-26'!B160*1.05</f>
        <v>69457.5</v>
      </c>
      <c r="C160" s="7"/>
      <c r="D160" s="7"/>
      <c r="E160" s="7"/>
      <c r="F160" s="7"/>
      <c r="G160" s="7"/>
      <c r="H160" s="7"/>
      <c r="I160" s="7">
        <f t="shared" si="47"/>
        <v>69457.5</v>
      </c>
      <c r="J160" s="19"/>
    </row>
    <row r="161" spans="1:11" x14ac:dyDescent="0.25">
      <c r="A161" s="40" t="s">
        <v>147</v>
      </c>
      <c r="B161" s="14"/>
      <c r="C161" s="7"/>
      <c r="D161" s="7"/>
      <c r="E161" s="7"/>
      <c r="F161" s="7"/>
      <c r="G161" s="7"/>
      <c r="H161" s="7"/>
      <c r="I161" s="7">
        <f t="shared" si="47"/>
        <v>0</v>
      </c>
      <c r="J161" s="19"/>
    </row>
    <row r="162" spans="1:11" x14ac:dyDescent="0.25">
      <c r="A162" s="40" t="s">
        <v>148</v>
      </c>
      <c r="B162" s="14">
        <f>495*B17</f>
        <v>81675</v>
      </c>
      <c r="C162" s="7"/>
      <c r="D162" s="7"/>
      <c r="E162" s="7"/>
      <c r="F162" s="7"/>
      <c r="G162" s="7"/>
      <c r="H162" s="7"/>
      <c r="I162" s="7">
        <f t="shared" si="47"/>
        <v>81675</v>
      </c>
      <c r="J162" s="19" t="s">
        <v>149</v>
      </c>
    </row>
    <row r="163" spans="1:11" x14ac:dyDescent="0.25">
      <c r="A163" s="40" t="s">
        <v>150</v>
      </c>
      <c r="B163" s="14">
        <f>'25-26'!B163*1.05</f>
        <v>8998.2191249999996</v>
      </c>
      <c r="C163" s="14"/>
      <c r="D163" s="14"/>
      <c r="E163" s="14"/>
      <c r="F163" s="14"/>
      <c r="G163" s="14"/>
      <c r="H163" s="14">
        <f>(240*H66)</f>
        <v>0</v>
      </c>
      <c r="I163" s="7">
        <f t="shared" si="47"/>
        <v>8998.2191249999996</v>
      </c>
      <c r="J163" s="19" t="s">
        <v>224</v>
      </c>
    </row>
    <row r="164" spans="1:11" x14ac:dyDescent="0.25">
      <c r="A164" s="40" t="s">
        <v>151</v>
      </c>
      <c r="B164" s="14">
        <f>'25-26'!B164*1.05</f>
        <v>65405.8125</v>
      </c>
      <c r="C164" s="7"/>
      <c r="D164" s="7"/>
      <c r="E164" s="7"/>
      <c r="F164" s="7"/>
      <c r="G164" s="7"/>
      <c r="H164" s="7"/>
      <c r="I164" s="7">
        <f t="shared" si="47"/>
        <v>65405.8125</v>
      </c>
      <c r="J164" s="19"/>
    </row>
    <row r="165" spans="1:11" x14ac:dyDescent="0.25">
      <c r="A165" s="40" t="s">
        <v>152</v>
      </c>
      <c r="B165" s="7">
        <f>5500</f>
        <v>5500</v>
      </c>
      <c r="C165" s="7"/>
      <c r="D165" s="7"/>
      <c r="E165" s="7"/>
      <c r="F165" s="7"/>
      <c r="G165" s="7"/>
      <c r="H165" s="7"/>
      <c r="I165" s="7">
        <f t="shared" si="47"/>
        <v>5500</v>
      </c>
      <c r="J165" s="19"/>
    </row>
    <row r="166" spans="1:11" x14ac:dyDescent="0.25">
      <c r="A166" s="40" t="s">
        <v>153</v>
      </c>
      <c r="B166" s="14">
        <f>50*B17+(60*12)</f>
        <v>8970</v>
      </c>
      <c r="C166" s="7"/>
      <c r="D166" s="7"/>
      <c r="E166" s="7"/>
      <c r="F166" s="7"/>
      <c r="G166" s="7"/>
      <c r="H166" s="7"/>
      <c r="I166" s="7">
        <f t="shared" si="47"/>
        <v>8970</v>
      </c>
      <c r="J166" s="19" t="s">
        <v>154</v>
      </c>
    </row>
    <row r="167" spans="1:11" x14ac:dyDescent="0.25">
      <c r="A167" s="40" t="s">
        <v>155</v>
      </c>
      <c r="B167" s="14">
        <f>15000</f>
        <v>15000</v>
      </c>
      <c r="C167" s="7"/>
      <c r="D167" s="7"/>
      <c r="E167" s="7"/>
      <c r="F167" s="7"/>
      <c r="G167" s="7"/>
      <c r="H167" s="7"/>
      <c r="I167" s="7">
        <f t="shared" si="47"/>
        <v>15000</v>
      </c>
      <c r="J167" s="19"/>
    </row>
    <row r="168" spans="1:11" x14ac:dyDescent="0.25">
      <c r="A168" s="40" t="s">
        <v>156</v>
      </c>
      <c r="B168" s="14">
        <f>(B75+B76+B77+B78)*0.0125</f>
        <v>21492.034083333336</v>
      </c>
      <c r="C168" s="7"/>
      <c r="D168" s="7"/>
      <c r="E168" s="7"/>
      <c r="F168" s="7"/>
      <c r="G168" s="7"/>
      <c r="H168" s="7"/>
      <c r="I168" s="7">
        <f t="shared" si="47"/>
        <v>21492.034083333336</v>
      </c>
      <c r="J168" s="98">
        <v>1.2500000000000001E-2</v>
      </c>
      <c r="K168" s="99"/>
    </row>
    <row r="169" spans="1:11" x14ac:dyDescent="0.25">
      <c r="A169" s="40" t="s">
        <v>157</v>
      </c>
      <c r="B169" s="14">
        <f>'25-26'!B169+500</f>
        <v>11500</v>
      </c>
      <c r="C169" s="7"/>
      <c r="D169" s="7"/>
      <c r="E169" s="7"/>
      <c r="F169" s="7"/>
      <c r="G169" s="7"/>
      <c r="H169" s="7"/>
      <c r="I169" s="7">
        <f t="shared" si="47"/>
        <v>11500</v>
      </c>
      <c r="J169" s="98" t="s">
        <v>158</v>
      </c>
      <c r="K169" s="99"/>
    </row>
    <row r="170" spans="1:11" x14ac:dyDescent="0.25">
      <c r="A170" s="40" t="s">
        <v>159</v>
      </c>
      <c r="B170" s="14">
        <v>0</v>
      </c>
      <c r="C170" s="7"/>
      <c r="D170" s="7"/>
      <c r="E170" s="7"/>
      <c r="F170" s="7"/>
      <c r="G170" s="7"/>
      <c r="H170" s="7"/>
      <c r="I170" s="7">
        <f t="shared" si="47"/>
        <v>0</v>
      </c>
      <c r="J170" s="98"/>
      <c r="K170" s="99"/>
    </row>
    <row r="171" spans="1:11" x14ac:dyDescent="0.25">
      <c r="A171" s="96" t="s">
        <v>161</v>
      </c>
      <c r="B171" s="14">
        <f>B75*0.0025</f>
        <v>3984.2401500000001</v>
      </c>
      <c r="C171" s="7"/>
      <c r="D171" s="7"/>
      <c r="E171" s="7"/>
      <c r="F171" s="7"/>
      <c r="G171" s="7">
        <f>G87</f>
        <v>8000</v>
      </c>
      <c r="H171" s="7">
        <f>H88</f>
        <v>1500</v>
      </c>
      <c r="I171" s="7">
        <f t="shared" si="47"/>
        <v>13484.24015</v>
      </c>
      <c r="J171" s="98" t="s">
        <v>160</v>
      </c>
      <c r="K171" s="99"/>
    </row>
    <row r="172" spans="1:11" x14ac:dyDescent="0.25">
      <c r="A172" s="83" t="s">
        <v>162</v>
      </c>
      <c r="B172" s="84">
        <f>SUM(B158:B171)</f>
        <v>304342.80585833336</v>
      </c>
      <c r="C172" s="84">
        <f t="shared" ref="C172:H172" si="48">SUM(C158:C171)</f>
        <v>80025</v>
      </c>
      <c r="D172" s="84">
        <f t="shared" si="48"/>
        <v>0</v>
      </c>
      <c r="E172" s="84">
        <f t="shared" si="48"/>
        <v>0</v>
      </c>
      <c r="F172" s="84">
        <f t="shared" si="48"/>
        <v>0</v>
      </c>
      <c r="G172" s="84">
        <f t="shared" si="48"/>
        <v>8000</v>
      </c>
      <c r="H172" s="84">
        <f t="shared" si="48"/>
        <v>1500</v>
      </c>
      <c r="I172" s="84">
        <f>SUM(I158:I171)</f>
        <v>393867.80585833336</v>
      </c>
      <c r="J172" s="10"/>
      <c r="K172" s="10"/>
    </row>
    <row r="173" spans="1:11" x14ac:dyDescent="0.25">
      <c r="A173" s="93" t="s">
        <v>163</v>
      </c>
      <c r="B173" s="24" t="str">
        <f t="shared" ref="B173:I173" si="49">B1</f>
        <v>Operating</v>
      </c>
      <c r="C173" s="24" t="str">
        <f t="shared" si="49"/>
        <v>SPED</v>
      </c>
      <c r="D173" s="24" t="str">
        <f t="shared" si="49"/>
        <v>NSLP</v>
      </c>
      <c r="E173" s="24" t="str">
        <f t="shared" si="49"/>
        <v>Other</v>
      </c>
      <c r="F173" s="24" t="str">
        <f t="shared" si="49"/>
        <v>Title I</v>
      </c>
      <c r="G173" s="24" t="str">
        <f t="shared" si="49"/>
        <v>Title II</v>
      </c>
      <c r="H173" s="24" t="str">
        <f t="shared" si="49"/>
        <v>Title III</v>
      </c>
      <c r="I173" s="24" t="str">
        <f t="shared" si="49"/>
        <v>Total (23-24)</v>
      </c>
      <c r="J173" s="10"/>
      <c r="K173" s="10"/>
    </row>
    <row r="174" spans="1:11" x14ac:dyDescent="0.25">
      <c r="A174" s="100" t="s">
        <v>164</v>
      </c>
      <c r="B174" s="14">
        <f>'25-26'!B174*1.03</f>
        <v>6556.362000000001</v>
      </c>
      <c r="C174" s="7"/>
      <c r="D174" s="7"/>
      <c r="E174" s="7"/>
      <c r="F174" s="7"/>
      <c r="G174" s="7"/>
      <c r="H174" s="7"/>
      <c r="I174" s="7">
        <f t="shared" ref="I174:I180" si="50">SUM(B174:H174)</f>
        <v>6556.362000000001</v>
      </c>
      <c r="J174" s="19"/>
    </row>
    <row r="175" spans="1:11" x14ac:dyDescent="0.25">
      <c r="A175" s="40" t="s">
        <v>165</v>
      </c>
      <c r="B175" s="14">
        <f>'25-26'!B175*1.03</f>
        <v>7649.0889999999999</v>
      </c>
      <c r="C175" s="7"/>
      <c r="D175" s="7"/>
      <c r="E175" s="7"/>
      <c r="F175" s="7"/>
      <c r="G175" s="7"/>
      <c r="H175" s="7"/>
      <c r="I175" s="7">
        <f t="shared" si="50"/>
        <v>7649.0889999999999</v>
      </c>
      <c r="J175" s="19"/>
    </row>
    <row r="176" spans="1:11" x14ac:dyDescent="0.25">
      <c r="A176" s="40" t="s">
        <v>166</v>
      </c>
      <c r="B176" s="97"/>
      <c r="C176" s="7"/>
      <c r="D176" s="7"/>
      <c r="E176" s="7"/>
      <c r="F176" s="7"/>
      <c r="G176" s="7"/>
      <c r="H176" s="7"/>
      <c r="I176" s="7">
        <f t="shared" si="50"/>
        <v>0</v>
      </c>
      <c r="J176" s="19"/>
    </row>
    <row r="177" spans="1:11" x14ac:dyDescent="0.25">
      <c r="A177" s="40" t="s">
        <v>167</v>
      </c>
      <c r="B177" s="97">
        <f>1000</f>
        <v>1000</v>
      </c>
      <c r="C177" s="7"/>
      <c r="D177" s="7"/>
      <c r="E177" s="7"/>
      <c r="F177" s="7"/>
      <c r="G177" s="7"/>
      <c r="H177" s="7"/>
      <c r="I177" s="7">
        <f t="shared" si="50"/>
        <v>1000</v>
      </c>
      <c r="J177" s="19"/>
    </row>
    <row r="178" spans="1:11" x14ac:dyDescent="0.25">
      <c r="A178" s="40" t="s">
        <v>168</v>
      </c>
      <c r="B178" s="14">
        <f>'25-26'!B178*1.03</f>
        <v>6009.9984999999997</v>
      </c>
      <c r="C178" s="7"/>
      <c r="D178" s="7"/>
      <c r="E178" s="7"/>
      <c r="F178" s="7"/>
      <c r="G178" s="7"/>
      <c r="H178" s="7"/>
      <c r="I178" s="7">
        <f t="shared" si="50"/>
        <v>6009.9984999999997</v>
      </c>
      <c r="J178" s="19"/>
    </row>
    <row r="179" spans="1:11" x14ac:dyDescent="0.25">
      <c r="A179" s="40" t="s">
        <v>169</v>
      </c>
      <c r="B179" s="14">
        <f>'25-26'!B179*1.06</f>
        <v>28584.384000000002</v>
      </c>
      <c r="C179" s="7"/>
      <c r="D179" s="7"/>
      <c r="E179" s="7"/>
      <c r="F179" s="7"/>
      <c r="G179" s="7"/>
      <c r="H179" s="7"/>
      <c r="I179" s="7">
        <f t="shared" si="50"/>
        <v>28584.384000000002</v>
      </c>
      <c r="J179" s="19"/>
    </row>
    <row r="180" spans="1:11" x14ac:dyDescent="0.25">
      <c r="A180" s="40" t="s">
        <v>170</v>
      </c>
      <c r="B180" s="88">
        <f>8500+(B17*2.5)</f>
        <v>8912.5</v>
      </c>
      <c r="C180" s="7"/>
      <c r="D180" s="7"/>
      <c r="E180" s="7"/>
      <c r="F180" s="7"/>
      <c r="G180" s="7"/>
      <c r="H180" s="7"/>
      <c r="I180" s="7">
        <f t="shared" si="50"/>
        <v>8912.5</v>
      </c>
      <c r="J180" s="19"/>
    </row>
    <row r="181" spans="1:11" x14ac:dyDescent="0.25">
      <c r="A181" s="40" t="s">
        <v>171</v>
      </c>
      <c r="B181" s="14">
        <f>'25-26'!B181*1.06</f>
        <v>12405.622656000003</v>
      </c>
      <c r="C181" s="7"/>
      <c r="D181" s="7"/>
      <c r="E181" s="7"/>
      <c r="F181" s="7"/>
      <c r="G181" s="7"/>
      <c r="H181" s="7"/>
      <c r="I181" s="7">
        <f>SUM(B181:H181)</f>
        <v>12405.622656000003</v>
      </c>
      <c r="J181" s="19"/>
    </row>
    <row r="182" spans="1:11" x14ac:dyDescent="0.25">
      <c r="A182" s="40" t="s">
        <v>172</v>
      </c>
      <c r="B182" s="14">
        <f>'25-26'!B182*1.06</f>
        <v>10854.919824000001</v>
      </c>
      <c r="C182" s="7"/>
      <c r="D182" s="7"/>
      <c r="E182" s="7"/>
      <c r="F182" s="7"/>
      <c r="G182" s="7"/>
      <c r="H182" s="7"/>
      <c r="I182" s="7">
        <f>SUM(B182:H182)</f>
        <v>10854.919824000001</v>
      </c>
      <c r="J182" s="19"/>
    </row>
    <row r="183" spans="1:11" x14ac:dyDescent="0.25">
      <c r="A183" s="40" t="s">
        <v>173</v>
      </c>
      <c r="B183" s="14">
        <f>'25-26'!B183*1.06</f>
        <v>15507.028320000001</v>
      </c>
      <c r="C183" s="7"/>
      <c r="D183" s="7"/>
      <c r="E183" s="7"/>
      <c r="F183" s="7"/>
      <c r="G183" s="7"/>
      <c r="H183" s="7"/>
      <c r="I183" s="7">
        <f>SUM(B183:H183)</f>
        <v>15507.028320000001</v>
      </c>
      <c r="J183" s="19"/>
    </row>
    <row r="184" spans="1:11" x14ac:dyDescent="0.25">
      <c r="A184" s="40" t="s">
        <v>174</v>
      </c>
      <c r="B184" s="7"/>
      <c r="C184" s="7"/>
      <c r="D184" s="14">
        <f>((B17*D23)*2.4*180)</f>
        <v>71280</v>
      </c>
      <c r="E184" s="7"/>
      <c r="F184" s="7"/>
      <c r="G184" s="7"/>
      <c r="H184" s="7"/>
      <c r="I184" s="7">
        <f t="shared" ref="I184:I197" si="51">SUM(B184:H184)</f>
        <v>71280</v>
      </c>
      <c r="J184" s="70">
        <v>2.4</v>
      </c>
      <c r="K184" s="101"/>
    </row>
    <row r="185" spans="1:11" x14ac:dyDescent="0.25">
      <c r="A185" s="40" t="s">
        <v>175</v>
      </c>
      <c r="B185" s="7"/>
      <c r="C185" s="7"/>
      <c r="D185" s="14">
        <f>((B17*D23)*3.75*180)</f>
        <v>111375</v>
      </c>
      <c r="E185" s="7"/>
      <c r="F185" s="7"/>
      <c r="G185" s="7"/>
      <c r="H185" s="7"/>
      <c r="I185" s="7">
        <f t="shared" si="51"/>
        <v>111375</v>
      </c>
      <c r="J185" s="70">
        <v>3.75</v>
      </c>
      <c r="K185" s="101"/>
    </row>
    <row r="186" spans="1:11" x14ac:dyDescent="0.25">
      <c r="A186" s="40" t="s">
        <v>176</v>
      </c>
      <c r="B186" s="7">
        <f>5000</f>
        <v>5000</v>
      </c>
      <c r="C186" s="7"/>
      <c r="D186" s="7"/>
      <c r="E186" s="7"/>
      <c r="F186" s="7"/>
      <c r="G186" s="7"/>
      <c r="H186" s="7"/>
      <c r="I186" s="7">
        <f t="shared" si="51"/>
        <v>5000</v>
      </c>
      <c r="J186" s="19"/>
    </row>
    <row r="187" spans="1:11" x14ac:dyDescent="0.25">
      <c r="A187" s="40" t="s">
        <v>177</v>
      </c>
      <c r="B187" s="7">
        <v>1500</v>
      </c>
      <c r="C187" s="7"/>
      <c r="D187" s="7"/>
      <c r="E187" s="7"/>
      <c r="F187" s="7"/>
      <c r="G187" s="7"/>
      <c r="H187" s="7"/>
      <c r="I187" s="7">
        <f t="shared" si="51"/>
        <v>1500</v>
      </c>
      <c r="J187" s="19"/>
    </row>
    <row r="188" spans="1:11" x14ac:dyDescent="0.25">
      <c r="A188" s="40" t="s">
        <v>178</v>
      </c>
      <c r="B188" s="7">
        <f>60*20</f>
        <v>1200</v>
      </c>
      <c r="C188" s="7">
        <v>0</v>
      </c>
      <c r="D188" s="7">
        <v>0</v>
      </c>
      <c r="E188" s="7"/>
      <c r="F188" s="7"/>
      <c r="G188" s="7"/>
      <c r="H188" s="7"/>
      <c r="I188" s="7">
        <f t="shared" si="51"/>
        <v>1200</v>
      </c>
      <c r="J188" s="19"/>
    </row>
    <row r="189" spans="1:11" x14ac:dyDescent="0.25">
      <c r="A189" s="40" t="s">
        <v>179</v>
      </c>
      <c r="B189" s="14">
        <f>10000</f>
        <v>10000</v>
      </c>
      <c r="C189" s="7"/>
      <c r="D189" s="7"/>
      <c r="E189" s="7"/>
      <c r="F189" s="7"/>
      <c r="G189" s="7"/>
      <c r="H189" s="7"/>
      <c r="I189" s="7">
        <f t="shared" si="51"/>
        <v>10000</v>
      </c>
      <c r="J189" s="19"/>
    </row>
    <row r="190" spans="1:11" x14ac:dyDescent="0.25">
      <c r="A190" s="40" t="s">
        <v>180</v>
      </c>
      <c r="B190" s="14">
        <v>0</v>
      </c>
      <c r="C190" s="7"/>
      <c r="D190" s="7"/>
      <c r="E190" s="7"/>
      <c r="F190" s="7"/>
      <c r="G190" s="7"/>
      <c r="H190" s="7"/>
      <c r="I190" s="7">
        <f t="shared" si="51"/>
        <v>0</v>
      </c>
      <c r="J190" s="19"/>
    </row>
    <row r="191" spans="1:11" x14ac:dyDescent="0.25">
      <c r="A191" s="40" t="s">
        <v>181</v>
      </c>
      <c r="B191" s="14">
        <v>5000</v>
      </c>
      <c r="C191" s="7"/>
      <c r="D191" s="7"/>
      <c r="E191" s="7"/>
      <c r="F191" s="7"/>
      <c r="G191" s="7"/>
      <c r="H191" s="7"/>
      <c r="I191" s="7">
        <f t="shared" si="51"/>
        <v>5000</v>
      </c>
      <c r="J191" s="19"/>
    </row>
    <row r="192" spans="1:11" x14ac:dyDescent="0.25">
      <c r="A192" s="40" t="s">
        <v>182</v>
      </c>
      <c r="B192" s="14">
        <v>0</v>
      </c>
      <c r="C192" s="7"/>
      <c r="D192" s="7"/>
      <c r="E192" s="7"/>
      <c r="F192" s="7"/>
      <c r="G192" s="7"/>
      <c r="H192" s="7"/>
      <c r="I192" s="7">
        <f t="shared" si="51"/>
        <v>0</v>
      </c>
      <c r="J192" s="19"/>
    </row>
    <row r="193" spans="1:11" x14ac:dyDescent="0.25">
      <c r="A193" s="40" t="s">
        <v>183</v>
      </c>
      <c r="B193" s="14">
        <v>0</v>
      </c>
      <c r="C193" s="14"/>
      <c r="D193" s="14"/>
      <c r="E193" s="14"/>
      <c r="F193" s="14"/>
      <c r="G193" s="14"/>
      <c r="H193" s="14"/>
      <c r="I193" s="7">
        <f t="shared" si="51"/>
        <v>0</v>
      </c>
      <c r="J193" s="19"/>
    </row>
    <row r="194" spans="1:11" x14ac:dyDescent="0.25">
      <c r="A194" s="40" t="s">
        <v>184</v>
      </c>
      <c r="B194" s="14">
        <v>0</v>
      </c>
      <c r="C194" s="14"/>
      <c r="D194" s="14"/>
      <c r="E194" s="14"/>
      <c r="F194" s="14"/>
      <c r="G194" s="14"/>
      <c r="H194" s="14"/>
      <c r="I194" s="7">
        <f t="shared" si="51"/>
        <v>0</v>
      </c>
      <c r="J194" s="19"/>
    </row>
    <row r="195" spans="1:11" x14ac:dyDescent="0.25">
      <c r="A195" s="40" t="s">
        <v>185</v>
      </c>
      <c r="B195" s="14">
        <v>0</v>
      </c>
      <c r="C195" s="14"/>
      <c r="D195" s="14"/>
      <c r="E195" s="14"/>
      <c r="F195" s="14"/>
      <c r="G195" s="14"/>
      <c r="H195" s="14"/>
      <c r="I195" s="7">
        <f t="shared" si="51"/>
        <v>0</v>
      </c>
      <c r="J195" s="19"/>
    </row>
    <row r="196" spans="1:11" x14ac:dyDescent="0.25">
      <c r="A196" s="40" t="s">
        <v>362</v>
      </c>
      <c r="B196" s="14"/>
      <c r="C196" s="14"/>
      <c r="D196" s="14"/>
      <c r="E196" s="14"/>
      <c r="F196" s="14"/>
      <c r="G196" s="14"/>
      <c r="H196" s="14"/>
      <c r="I196" s="7">
        <f t="shared" si="51"/>
        <v>0</v>
      </c>
      <c r="J196" s="19"/>
    </row>
    <row r="197" spans="1:11" x14ac:dyDescent="0.25">
      <c r="A197" s="40" t="s">
        <v>186</v>
      </c>
      <c r="B197" s="104">
        <v>10000</v>
      </c>
      <c r="C197" s="14"/>
      <c r="D197" s="14"/>
      <c r="E197" s="14"/>
      <c r="F197" s="14"/>
      <c r="G197" s="14"/>
      <c r="H197" s="14"/>
      <c r="I197" s="7">
        <f t="shared" si="51"/>
        <v>10000</v>
      </c>
      <c r="J197" s="19"/>
    </row>
    <row r="198" spans="1:11" x14ac:dyDescent="0.25">
      <c r="A198" s="96" t="s">
        <v>187</v>
      </c>
      <c r="B198" s="7">
        <f>((B2*B3)*0)+0</f>
        <v>0</v>
      </c>
      <c r="C198" s="7"/>
      <c r="D198" s="7"/>
      <c r="E198" s="7"/>
      <c r="F198" s="7"/>
      <c r="G198" s="7"/>
      <c r="H198" s="7"/>
      <c r="I198" s="7">
        <f>SUM(B198:H198)</f>
        <v>0</v>
      </c>
      <c r="J198" s="103"/>
      <c r="K198" s="66"/>
    </row>
    <row r="199" spans="1:11" x14ac:dyDescent="0.25">
      <c r="A199" s="83" t="s">
        <v>188</v>
      </c>
      <c r="B199" s="84">
        <f>SUM(B174:B198)</f>
        <v>130179.90430000001</v>
      </c>
      <c r="C199" s="84">
        <f t="shared" ref="C199:I199" si="52">SUM(C174:C198)</f>
        <v>0</v>
      </c>
      <c r="D199" s="84">
        <f t="shared" si="52"/>
        <v>182655</v>
      </c>
      <c r="E199" s="84">
        <f t="shared" si="52"/>
        <v>0</v>
      </c>
      <c r="F199" s="84">
        <f t="shared" si="52"/>
        <v>0</v>
      </c>
      <c r="G199" s="84">
        <f t="shared" si="52"/>
        <v>0</v>
      </c>
      <c r="H199" s="84">
        <f t="shared" si="52"/>
        <v>0</v>
      </c>
      <c r="I199" s="84">
        <f t="shared" si="52"/>
        <v>312834.90429999999</v>
      </c>
      <c r="J199" s="10"/>
      <c r="K199" s="10"/>
    </row>
    <row r="200" spans="1:11" x14ac:dyDescent="0.25">
      <c r="A200" s="93" t="s">
        <v>189</v>
      </c>
      <c r="B200" s="24" t="str">
        <f t="shared" ref="B200:I200" si="53">B1</f>
        <v>Operating</v>
      </c>
      <c r="C200" s="24" t="str">
        <f t="shared" si="53"/>
        <v>SPED</v>
      </c>
      <c r="D200" s="24" t="str">
        <f t="shared" si="53"/>
        <v>NSLP</v>
      </c>
      <c r="E200" s="24" t="str">
        <f t="shared" si="53"/>
        <v>Other</v>
      </c>
      <c r="F200" s="24" t="str">
        <f t="shared" si="53"/>
        <v>Title I</v>
      </c>
      <c r="G200" s="24" t="str">
        <f t="shared" si="53"/>
        <v>Title II</v>
      </c>
      <c r="H200" s="24" t="str">
        <f t="shared" si="53"/>
        <v>Title III</v>
      </c>
      <c r="I200" s="24" t="str">
        <f t="shared" si="53"/>
        <v>Total (23-24)</v>
      </c>
      <c r="J200" s="10"/>
      <c r="K200" s="10"/>
    </row>
    <row r="201" spans="1:11" x14ac:dyDescent="0.25">
      <c r="A201" s="100" t="s">
        <v>190</v>
      </c>
      <c r="B201" s="14">
        <f>'25-26'!B201*1.03</f>
        <v>46679.6</v>
      </c>
      <c r="C201" s="7"/>
      <c r="D201" s="7"/>
      <c r="E201" s="7"/>
      <c r="F201" s="7"/>
      <c r="G201" s="7"/>
      <c r="H201" s="7"/>
      <c r="I201" s="7">
        <f t="shared" ref="I201:I210" si="54">SUM(B201:H201)</f>
        <v>46679.6</v>
      </c>
      <c r="J201" s="8"/>
      <c r="K201" s="9"/>
    </row>
    <row r="202" spans="1:11" x14ac:dyDescent="0.25">
      <c r="A202" s="40" t="s">
        <v>193</v>
      </c>
      <c r="B202" s="14">
        <f>'25-26'!B202*1.03</f>
        <v>848.72</v>
      </c>
      <c r="C202" s="7"/>
      <c r="D202" s="7"/>
      <c r="E202" s="7"/>
      <c r="F202" s="7"/>
      <c r="G202" s="7"/>
      <c r="H202" s="7"/>
      <c r="I202" s="7">
        <f t="shared" si="54"/>
        <v>848.72</v>
      </c>
      <c r="J202" s="8"/>
    </row>
    <row r="203" spans="1:11" x14ac:dyDescent="0.25">
      <c r="A203" s="40" t="s">
        <v>196</v>
      </c>
      <c r="B203" s="14">
        <f>'25-26'!B203*1.03</f>
        <v>11669.9</v>
      </c>
      <c r="C203" s="7"/>
      <c r="D203" s="7"/>
      <c r="E203" s="7"/>
      <c r="F203" s="7"/>
      <c r="G203" s="7"/>
      <c r="H203" s="7"/>
      <c r="I203" s="7">
        <f t="shared" si="54"/>
        <v>11669.9</v>
      </c>
      <c r="J203" s="19"/>
    </row>
    <row r="204" spans="1:11" x14ac:dyDescent="0.25">
      <c r="A204" s="40" t="s">
        <v>198</v>
      </c>
      <c r="B204" s="14">
        <f>'25-26'!B204*1.03</f>
        <v>4243.6000000000004</v>
      </c>
      <c r="C204" s="7"/>
      <c r="D204" s="7"/>
      <c r="E204" s="7"/>
      <c r="F204" s="7"/>
      <c r="G204" s="7"/>
      <c r="H204" s="7"/>
      <c r="I204" s="7">
        <f t="shared" si="54"/>
        <v>4243.6000000000004</v>
      </c>
      <c r="J204" s="19"/>
    </row>
    <row r="205" spans="1:11" x14ac:dyDescent="0.25">
      <c r="A205" s="40" t="s">
        <v>199</v>
      </c>
      <c r="B205" s="14">
        <f>'25-26'!B205*1.03</f>
        <v>1060.9000000000001</v>
      </c>
      <c r="C205" s="7"/>
      <c r="D205" s="7"/>
      <c r="E205" s="7"/>
      <c r="F205" s="7"/>
      <c r="G205" s="7"/>
      <c r="H205" s="7"/>
      <c r="I205" s="7">
        <f t="shared" si="54"/>
        <v>1060.9000000000001</v>
      </c>
      <c r="J205" s="19"/>
    </row>
    <row r="206" spans="1:11" x14ac:dyDescent="0.25">
      <c r="A206" s="40" t="s">
        <v>201</v>
      </c>
      <c r="B206" s="14">
        <f>'25-26'!B206*1.03</f>
        <v>12730.800000000001</v>
      </c>
      <c r="C206" s="7"/>
      <c r="D206" s="7"/>
      <c r="E206" s="7"/>
      <c r="F206" s="7"/>
      <c r="G206" s="7"/>
      <c r="H206" s="7"/>
      <c r="I206" s="7">
        <f t="shared" si="54"/>
        <v>12730.800000000001</v>
      </c>
      <c r="J206" s="19"/>
    </row>
    <row r="207" spans="1:11" x14ac:dyDescent="0.25">
      <c r="A207" s="40" t="s">
        <v>203</v>
      </c>
      <c r="B207" s="14">
        <f>15000</f>
        <v>15000</v>
      </c>
      <c r="C207" s="7"/>
      <c r="D207" s="7"/>
      <c r="E207" s="7"/>
      <c r="F207" s="7"/>
      <c r="G207" s="7"/>
      <c r="H207" s="7"/>
      <c r="I207" s="7">
        <f t="shared" si="54"/>
        <v>15000</v>
      </c>
      <c r="J207" s="19"/>
    </row>
    <row r="208" spans="1:11" x14ac:dyDescent="0.25">
      <c r="A208" s="40" t="s">
        <v>204</v>
      </c>
      <c r="B208" s="14">
        <f>'25-26'!B208*1.05</f>
        <v>0</v>
      </c>
      <c r="C208" s="7"/>
      <c r="D208" s="7"/>
      <c r="E208" s="7"/>
      <c r="F208" s="7"/>
      <c r="G208" s="7"/>
      <c r="H208" s="7"/>
      <c r="I208" s="7">
        <f t="shared" si="54"/>
        <v>0</v>
      </c>
      <c r="J208" s="19"/>
    </row>
    <row r="209" spans="1:11" x14ac:dyDescent="0.25">
      <c r="A209" s="40" t="s">
        <v>205</v>
      </c>
      <c r="B209" s="14">
        <f>'25-26'!B209*1.05</f>
        <v>0</v>
      </c>
      <c r="C209" s="7"/>
      <c r="D209" s="7"/>
      <c r="E209" s="7"/>
      <c r="F209" s="7"/>
      <c r="G209" s="7"/>
      <c r="H209" s="7"/>
      <c r="I209" s="7">
        <f t="shared" si="54"/>
        <v>0</v>
      </c>
      <c r="J209" s="19"/>
    </row>
    <row r="210" spans="1:11" x14ac:dyDescent="0.25">
      <c r="A210" s="96" t="s">
        <v>206</v>
      </c>
      <c r="B210" s="14">
        <v>5000</v>
      </c>
      <c r="C210" s="7"/>
      <c r="D210" s="7"/>
      <c r="E210" s="7"/>
      <c r="F210" s="7"/>
      <c r="G210" s="7"/>
      <c r="H210" s="7"/>
      <c r="I210" s="7">
        <f t="shared" si="54"/>
        <v>5000</v>
      </c>
      <c r="J210" s="19"/>
    </row>
    <row r="211" spans="1:11" x14ac:dyDescent="0.25">
      <c r="A211" s="83" t="s">
        <v>207</v>
      </c>
      <c r="B211" s="84">
        <f t="shared" ref="B211:I211" si="55">SUM(B201:B210)</f>
        <v>97233.52</v>
      </c>
      <c r="C211" s="84">
        <f t="shared" si="55"/>
        <v>0</v>
      </c>
      <c r="D211" s="84">
        <f t="shared" si="55"/>
        <v>0</v>
      </c>
      <c r="E211" s="84">
        <f t="shared" si="55"/>
        <v>0</v>
      </c>
      <c r="F211" s="84">
        <f t="shared" si="55"/>
        <v>0</v>
      </c>
      <c r="G211" s="84">
        <f t="shared" si="55"/>
        <v>0</v>
      </c>
      <c r="H211" s="84">
        <f t="shared" si="55"/>
        <v>0</v>
      </c>
      <c r="I211" s="84">
        <f t="shared" si="55"/>
        <v>97233.52</v>
      </c>
      <c r="J211" s="10"/>
      <c r="K211" s="10"/>
    </row>
    <row r="212" spans="1:11" x14ac:dyDescent="0.25">
      <c r="A212" s="105"/>
      <c r="B212" s="7"/>
      <c r="C212" s="7"/>
      <c r="D212" s="7"/>
      <c r="E212" s="7"/>
      <c r="F212" s="7"/>
      <c r="G212" s="7"/>
      <c r="H212" s="7"/>
      <c r="I212" s="7"/>
      <c r="J212" s="10"/>
      <c r="K212" s="10"/>
    </row>
    <row r="213" spans="1:11" x14ac:dyDescent="0.25">
      <c r="A213" s="83" t="s">
        <v>208</v>
      </c>
      <c r="B213" s="84">
        <f>B144+B156+B172+B199+B211</f>
        <v>1717774.4765690535</v>
      </c>
      <c r="C213" s="84">
        <f t="shared" ref="C213:I213" si="56">C144+C156+C172+C199+C211</f>
        <v>173869.16666666669</v>
      </c>
      <c r="D213" s="84">
        <f t="shared" si="56"/>
        <v>221122.7</v>
      </c>
      <c r="E213" s="84">
        <f t="shared" si="56"/>
        <v>0</v>
      </c>
      <c r="F213" s="84">
        <f t="shared" si="56"/>
        <v>33623.1</v>
      </c>
      <c r="G213" s="84">
        <f t="shared" si="56"/>
        <v>8000</v>
      </c>
      <c r="H213" s="84">
        <f t="shared" si="56"/>
        <v>1500</v>
      </c>
      <c r="I213" s="84">
        <f t="shared" si="56"/>
        <v>2155889.44323572</v>
      </c>
      <c r="J213" s="10"/>
      <c r="K213" s="10"/>
    </row>
    <row r="214" spans="1:11" x14ac:dyDescent="0.25">
      <c r="A214" s="106"/>
      <c r="B214" s="64"/>
      <c r="C214" s="64"/>
      <c r="D214" s="64"/>
      <c r="E214" s="64"/>
      <c r="F214" s="64"/>
      <c r="G214" s="64"/>
      <c r="H214" s="64"/>
      <c r="I214" s="64"/>
      <c r="J214" s="10"/>
      <c r="K214" s="10"/>
    </row>
    <row r="215" spans="1:11" x14ac:dyDescent="0.25">
      <c r="A215" s="55" t="s">
        <v>209</v>
      </c>
      <c r="B215" s="12">
        <f>550*B17</f>
        <v>90750</v>
      </c>
      <c r="C215" s="12"/>
      <c r="D215" s="12"/>
      <c r="E215" s="12"/>
      <c r="F215" s="12"/>
      <c r="G215" s="12"/>
      <c r="H215" s="12"/>
      <c r="I215" s="12">
        <f t="shared" ref="I215:I220" si="57">SUM(B215:H215)</f>
        <v>90750</v>
      </c>
      <c r="J215" s="19"/>
    </row>
    <row r="216" spans="1:11" x14ac:dyDescent="0.25">
      <c r="A216" s="55" t="s">
        <v>210</v>
      </c>
      <c r="B216" s="12">
        <v>0</v>
      </c>
      <c r="C216" s="12"/>
      <c r="D216" s="12"/>
      <c r="E216" s="12"/>
      <c r="F216" s="12"/>
      <c r="G216" s="12"/>
      <c r="H216" s="12"/>
      <c r="I216" s="12">
        <f t="shared" si="57"/>
        <v>0</v>
      </c>
      <c r="J216" s="19"/>
    </row>
    <row r="217" spans="1:11" x14ac:dyDescent="0.25">
      <c r="A217" s="55" t="s">
        <v>211</v>
      </c>
      <c r="B217" s="12">
        <v>0</v>
      </c>
      <c r="C217" s="12"/>
      <c r="D217" s="12"/>
      <c r="E217" s="12"/>
      <c r="F217" s="12"/>
      <c r="G217" s="12"/>
      <c r="H217" s="12"/>
      <c r="I217" s="12">
        <f t="shared" si="57"/>
        <v>0</v>
      </c>
      <c r="J217" s="19"/>
    </row>
    <row r="218" spans="1:11" x14ac:dyDescent="0.25">
      <c r="A218" s="55" t="s">
        <v>212</v>
      </c>
      <c r="B218" s="12">
        <v>0</v>
      </c>
      <c r="C218" s="12"/>
      <c r="D218" s="12"/>
      <c r="E218" s="12"/>
      <c r="F218" s="12"/>
      <c r="G218" s="12"/>
      <c r="H218" s="12"/>
      <c r="I218" s="12">
        <f t="shared" si="57"/>
        <v>0</v>
      </c>
      <c r="J218" s="19"/>
    </row>
    <row r="219" spans="1:11" x14ac:dyDescent="0.25">
      <c r="A219" s="55"/>
      <c r="B219" s="12">
        <v>0</v>
      </c>
      <c r="C219" s="12">
        <v>0</v>
      </c>
      <c r="D219" s="12">
        <v>0</v>
      </c>
      <c r="E219" s="12"/>
      <c r="F219" s="12"/>
      <c r="G219" s="12"/>
      <c r="H219" s="12">
        <v>0</v>
      </c>
      <c r="I219" s="12">
        <f t="shared" si="57"/>
        <v>0</v>
      </c>
      <c r="J219" s="19"/>
    </row>
    <row r="220" spans="1:11" ht="15.75" thickBot="1" x14ac:dyDescent="0.3">
      <c r="A220" s="40"/>
      <c r="B220" s="47"/>
      <c r="C220" s="47"/>
      <c r="D220" s="47"/>
      <c r="E220" s="47"/>
      <c r="F220" s="47"/>
      <c r="G220" s="47"/>
      <c r="H220" s="47"/>
      <c r="I220" s="7">
        <f t="shared" si="57"/>
        <v>0</v>
      </c>
      <c r="J220" s="10"/>
      <c r="K220" s="10"/>
    </row>
    <row r="221" spans="1:11" ht="15.75" thickBot="1" x14ac:dyDescent="0.3">
      <c r="A221" s="107" t="s">
        <v>213</v>
      </c>
      <c r="B221" s="108">
        <f t="shared" ref="B221:I221" si="58">B98-B213-B215-B216-B218-B217</f>
        <v>105412.50009761332</v>
      </c>
      <c r="C221" s="108">
        <f t="shared" si="58"/>
        <v>-72328.166666666701</v>
      </c>
      <c r="D221" s="108">
        <f t="shared" si="58"/>
        <v>-24211.700000000012</v>
      </c>
      <c r="E221" s="108">
        <f t="shared" si="58"/>
        <v>0</v>
      </c>
      <c r="F221" s="108">
        <f t="shared" si="58"/>
        <v>-8873.0999999999985</v>
      </c>
      <c r="G221" s="108">
        <f t="shared" si="58"/>
        <v>0</v>
      </c>
      <c r="H221" s="108">
        <f t="shared" si="58"/>
        <v>0</v>
      </c>
      <c r="I221" s="108">
        <f t="shared" si="58"/>
        <v>-0.4665690534748137</v>
      </c>
      <c r="J221" s="10"/>
      <c r="K221" s="10"/>
    </row>
    <row r="222" spans="1:11" x14ac:dyDescent="0.25">
      <c r="A222" s="109"/>
      <c r="B222" s="110">
        <f t="shared" ref="B222:I222" si="59">B221/(B98)</f>
        <v>5.5076264988202936E-2</v>
      </c>
      <c r="C222" s="110">
        <f t="shared" si="59"/>
        <v>-0.71230504590920629</v>
      </c>
      <c r="D222" s="110">
        <f t="shared" si="59"/>
        <v>-0.12295757982032497</v>
      </c>
      <c r="E222" s="110" t="e">
        <f t="shared" si="59"/>
        <v>#DIV/0!</v>
      </c>
      <c r="F222" s="110">
        <f t="shared" si="59"/>
        <v>-0.35850909090909083</v>
      </c>
      <c r="G222" s="110">
        <f t="shared" si="59"/>
        <v>0</v>
      </c>
      <c r="H222" s="110">
        <f t="shared" si="59"/>
        <v>0</v>
      </c>
      <c r="I222" s="110">
        <f t="shared" si="59"/>
        <v>-2.0767424509257879E-7</v>
      </c>
      <c r="J222" s="28"/>
      <c r="K222" s="10"/>
    </row>
    <row r="223" spans="1:11" x14ac:dyDescent="0.25">
      <c r="B223" s="111"/>
      <c r="C223" s="111"/>
      <c r="D223" s="111"/>
      <c r="E223" s="111"/>
      <c r="F223" s="111"/>
      <c r="G223" s="111"/>
      <c r="H223" s="111"/>
      <c r="I223" s="111"/>
    </row>
    <row r="224" spans="1:11" x14ac:dyDescent="0.25">
      <c r="A224" s="1" t="str">
        <f t="shared" ref="A224:I224" si="60">A1</f>
        <v>Young Women's Leadership Academy (YWLA) - FY27</v>
      </c>
      <c r="B224" s="1" t="str">
        <f t="shared" si="60"/>
        <v>Operating</v>
      </c>
      <c r="C224" s="1" t="str">
        <f t="shared" si="60"/>
        <v>SPED</v>
      </c>
      <c r="D224" s="1" t="str">
        <f t="shared" si="60"/>
        <v>NSLP</v>
      </c>
      <c r="E224" s="1" t="str">
        <f t="shared" si="60"/>
        <v>Other</v>
      </c>
      <c r="F224" s="1" t="str">
        <f t="shared" si="60"/>
        <v>Title I</v>
      </c>
      <c r="G224" s="1" t="str">
        <f t="shared" si="60"/>
        <v>Title II</v>
      </c>
      <c r="H224" s="1" t="str">
        <f t="shared" si="60"/>
        <v>Title III</v>
      </c>
      <c r="I224" s="1" t="str">
        <f t="shared" si="60"/>
        <v>Total (23-24)</v>
      </c>
      <c r="J224" s="2"/>
      <c r="K224" s="2"/>
    </row>
    <row r="226" spans="1:11" s="18" customFormat="1" x14ac:dyDescent="0.25">
      <c r="A226" s="10"/>
      <c r="B226" s="112"/>
      <c r="C226" s="112"/>
      <c r="D226" s="112"/>
      <c r="E226" s="112"/>
      <c r="F226" s="112"/>
      <c r="G226" s="112"/>
      <c r="H226" s="112"/>
      <c r="I226" s="112"/>
    </row>
    <row r="227" spans="1:11" s="18" customFormat="1" x14ac:dyDescent="0.25">
      <c r="A227" s="113" t="s">
        <v>214</v>
      </c>
      <c r="B227" s="114"/>
      <c r="C227" s="114"/>
      <c r="D227" s="114"/>
      <c r="E227" s="114"/>
      <c r="F227" s="114"/>
      <c r="G227" s="114"/>
      <c r="H227" s="114"/>
      <c r="I227" s="114">
        <f>I98-I213</f>
        <v>90749.533430946525</v>
      </c>
    </row>
    <row r="228" spans="1:11" x14ac:dyDescent="0.25">
      <c r="A228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x14ac:dyDescent="0.25">
      <c r="A229" s="115" t="str">
        <f>A215</f>
        <v>Scheduled Lease Payment</v>
      </c>
      <c r="B229" s="116"/>
      <c r="C229" s="116"/>
      <c r="D229" s="116"/>
      <c r="E229" s="116"/>
      <c r="F229" s="116"/>
      <c r="G229" s="116"/>
      <c r="H229" s="116"/>
      <c r="I229" s="116">
        <f>I215</f>
        <v>90750</v>
      </c>
      <c r="J229" s="10"/>
      <c r="K229" s="10"/>
    </row>
    <row r="230" spans="1:11" x14ac:dyDescent="0.25">
      <c r="A230" s="115" t="str">
        <f>A216</f>
        <v>Scheduled Bond Payment - Principal</v>
      </c>
      <c r="B230" s="116"/>
      <c r="C230" s="116"/>
      <c r="D230" s="116"/>
      <c r="E230" s="116"/>
      <c r="F230" s="116"/>
      <c r="G230" s="116"/>
      <c r="H230" s="116"/>
      <c r="I230" s="116">
        <f t="shared" ref="I230:I231" si="61">I216</f>
        <v>0</v>
      </c>
      <c r="J230" s="10"/>
      <c r="K230" s="10"/>
    </row>
    <row r="231" spans="1:11" x14ac:dyDescent="0.25">
      <c r="A231" s="115" t="str">
        <f>A217</f>
        <v>Scheduled Bond Payment - Interest</v>
      </c>
      <c r="B231" s="116"/>
      <c r="C231" s="116"/>
      <c r="D231" s="116"/>
      <c r="E231" s="116"/>
      <c r="F231" s="116"/>
      <c r="G231" s="116"/>
      <c r="H231" s="116"/>
      <c r="I231" s="116">
        <f t="shared" si="61"/>
        <v>0</v>
      </c>
      <c r="J231" s="10"/>
      <c r="K231" s="10"/>
    </row>
    <row r="232" spans="1:11" x14ac:dyDescent="0.25">
      <c r="A232"/>
      <c r="B232" s="116"/>
      <c r="C232" s="116"/>
      <c r="D232" s="116"/>
      <c r="E232" s="116"/>
      <c r="F232" s="116"/>
      <c r="G232" s="116"/>
      <c r="H232" s="116"/>
      <c r="I232" s="116"/>
      <c r="J232" s="10"/>
      <c r="K232" s="10"/>
    </row>
    <row r="233" spans="1:11" x14ac:dyDescent="0.25">
      <c r="A233" s="113" t="s">
        <v>215</v>
      </c>
      <c r="B233" s="117"/>
      <c r="C233" s="117"/>
      <c r="D233" s="117"/>
      <c r="E233" s="117"/>
      <c r="F233" s="117"/>
      <c r="G233" s="117"/>
      <c r="H233" s="117"/>
      <c r="I233" s="117">
        <f>SUM(I229:I231)</f>
        <v>90750</v>
      </c>
      <c r="J233" s="10"/>
      <c r="K233" s="10"/>
    </row>
    <row r="234" spans="1:11" x14ac:dyDescent="0.25">
      <c r="A234" s="118" t="s">
        <v>216</v>
      </c>
      <c r="B234" s="119"/>
      <c r="C234" s="119"/>
      <c r="D234" s="119"/>
      <c r="E234" s="119"/>
      <c r="F234" s="119"/>
      <c r="G234" s="119"/>
      <c r="H234" s="119"/>
      <c r="I234" s="119">
        <f>I227/I233</f>
        <v>0.99999485874321237</v>
      </c>
      <c r="J234" s="120"/>
      <c r="K234" s="120"/>
    </row>
    <row r="235" spans="1:11" x14ac:dyDescent="0.25">
      <c r="A235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x14ac:dyDescent="0.25">
      <c r="A236" s="121" t="s">
        <v>217</v>
      </c>
      <c r="B236" s="122"/>
      <c r="C236" s="122"/>
      <c r="D236" s="122"/>
      <c r="E236" s="122"/>
      <c r="F236" s="122"/>
      <c r="G236" s="122"/>
      <c r="H236" s="122"/>
      <c r="I236" s="122"/>
      <c r="J236" s="10"/>
      <c r="K236" s="10"/>
    </row>
    <row r="237" spans="1:11" x14ac:dyDescent="0.25">
      <c r="A237" t="s">
        <v>218</v>
      </c>
      <c r="B237" s="123"/>
      <c r="C237" s="123"/>
      <c r="D237" s="123"/>
      <c r="E237" s="123"/>
      <c r="F237" s="123"/>
      <c r="G237" s="123"/>
      <c r="H237" s="123"/>
      <c r="I237" s="124"/>
      <c r="J237" s="10"/>
      <c r="K237" s="10"/>
    </row>
    <row r="238" spans="1:11" x14ac:dyDescent="0.25">
      <c r="A238" s="10" t="s">
        <v>219</v>
      </c>
      <c r="B238" s="123"/>
      <c r="C238" s="123"/>
      <c r="D238" s="123"/>
      <c r="E238" s="123"/>
      <c r="F238" s="123"/>
      <c r="G238" s="123"/>
      <c r="H238" s="123"/>
      <c r="I238" s="123"/>
      <c r="J238" s="10"/>
      <c r="K238" s="10"/>
    </row>
    <row r="239" spans="1:11" x14ac:dyDescent="0.25">
      <c r="A239" s="10" t="s">
        <v>220</v>
      </c>
      <c r="B239" s="123"/>
      <c r="C239" s="123"/>
      <c r="D239" s="123"/>
      <c r="E239" s="123"/>
      <c r="F239" s="123"/>
      <c r="G239" s="123"/>
      <c r="H239" s="123"/>
      <c r="I239" s="123"/>
      <c r="J239" s="120"/>
      <c r="K239" s="120"/>
    </row>
    <row r="240" spans="1:11" x14ac:dyDescent="0.25">
      <c r="A240" s="125" t="s">
        <v>221</v>
      </c>
      <c r="B240" s="126"/>
      <c r="C240" s="126"/>
      <c r="D240" s="126"/>
      <c r="E240" s="126"/>
      <c r="F240" s="126"/>
      <c r="G240" s="126"/>
      <c r="H240" s="126"/>
      <c r="I240" s="126">
        <f>SUM(I237:I239)</f>
        <v>0</v>
      </c>
      <c r="J240" s="10"/>
      <c r="K240" s="10"/>
    </row>
    <row r="241" spans="1:11" x14ac:dyDescent="0.25">
      <c r="A241" s="127" t="s">
        <v>222</v>
      </c>
      <c r="B241" s="128"/>
      <c r="C241" s="128"/>
      <c r="D241" s="128"/>
      <c r="E241" s="128"/>
      <c r="F241" s="128"/>
      <c r="G241" s="128"/>
      <c r="H241" s="128"/>
      <c r="I241" s="128">
        <f>I240/((SUM(I213:I219))/365)</f>
        <v>0</v>
      </c>
      <c r="J241" s="10"/>
      <c r="K241" s="10"/>
    </row>
    <row r="242" spans="1:11" x14ac:dyDescent="0.25">
      <c r="A242"/>
      <c r="B242" s="129"/>
    </row>
    <row r="243" spans="1:11" x14ac:dyDescent="0.25">
      <c r="C243" s="130"/>
      <c r="D243" s="130"/>
      <c r="E243" s="130"/>
      <c r="F243" s="130"/>
      <c r="G243" s="130"/>
      <c r="H243" s="130"/>
      <c r="I243" s="130"/>
    </row>
  </sheetData>
  <pageMargins left="0.7" right="0.7" top="0.75" bottom="0.75" header="0.3" footer="0.3"/>
  <pageSetup scale="49" orientation="portrait" r:id="rId1"/>
  <headerFooter>
    <oddFooter>&amp;LPage &amp;P&amp;C
&amp;R
 &amp;G</oddFooter>
  </headerFooter>
  <rowBreaks count="2" manualBreakCount="2">
    <brk id="71" max="8" man="1"/>
    <brk id="156" max="8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topLeftCell="A198" zoomScale="80" zoomScaleNormal="80" workbookViewId="0">
      <selection activeCell="B96" sqref="B96"/>
    </sheetView>
  </sheetViews>
  <sheetFormatPr defaultColWidth="8.7109375" defaultRowHeight="15" x14ac:dyDescent="0.25"/>
  <cols>
    <col min="1" max="1" width="56.5703125" style="10" customWidth="1"/>
    <col min="2" max="9" width="15.7109375" style="112" customWidth="1"/>
    <col min="10" max="10" width="44" style="18" customWidth="1"/>
    <col min="11" max="11" width="6.5703125" style="18" customWidth="1"/>
    <col min="12" max="16384" width="8.7109375" style="10"/>
  </cols>
  <sheetData>
    <row r="1" spans="1:11" s="5" customFormat="1" x14ac:dyDescent="0.25">
      <c r="A1" s="1" t="s">
        <v>247</v>
      </c>
      <c r="B1" s="1" t="s">
        <v>0</v>
      </c>
      <c r="C1" s="1" t="s">
        <v>1</v>
      </c>
      <c r="D1" s="1" t="s">
        <v>2</v>
      </c>
      <c r="E1" s="1" t="s">
        <v>223</v>
      </c>
      <c r="F1" s="1" t="s">
        <v>3</v>
      </c>
      <c r="G1" s="1" t="s">
        <v>4</v>
      </c>
      <c r="H1" s="1" t="s">
        <v>5</v>
      </c>
      <c r="I1" s="1" t="s">
        <v>6</v>
      </c>
      <c r="J1" s="2"/>
      <c r="K1" s="2"/>
    </row>
    <row r="2" spans="1:11" x14ac:dyDescent="0.25">
      <c r="A2" s="6" t="s">
        <v>11</v>
      </c>
      <c r="B2" s="7">
        <f>9414*1.039</f>
        <v>9781.1459999999988</v>
      </c>
      <c r="C2" s="7"/>
      <c r="D2" s="7"/>
      <c r="E2" s="7"/>
      <c r="F2" s="7"/>
      <c r="G2" s="7"/>
      <c r="H2" s="7"/>
      <c r="I2" s="7">
        <f>SUM(B2:H2)</f>
        <v>9781.1459999999988</v>
      </c>
      <c r="J2" s="8"/>
      <c r="K2" s="9"/>
    </row>
    <row r="3" spans="1:11" x14ac:dyDescent="0.25">
      <c r="A3" s="11" t="s">
        <v>12</v>
      </c>
      <c r="B3" s="12">
        <f t="shared" ref="B3" si="0">B4+B5+B6+B7+B8+B9+B10+B11+B12+B13+B14+B15+B16</f>
        <v>180</v>
      </c>
      <c r="C3" s="12"/>
      <c r="D3" s="12"/>
      <c r="E3" s="12"/>
      <c r="F3" s="12"/>
      <c r="G3" s="12"/>
      <c r="H3" s="12"/>
      <c r="I3" s="12">
        <f t="shared" ref="I3:I16" si="1">SUM(B3:H3)</f>
        <v>180</v>
      </c>
      <c r="J3" s="8"/>
      <c r="K3" s="9"/>
    </row>
    <row r="4" spans="1:11" x14ac:dyDescent="0.25">
      <c r="A4" s="13" t="s">
        <v>13</v>
      </c>
      <c r="B4" s="7">
        <v>0</v>
      </c>
      <c r="C4" s="14"/>
      <c r="D4" s="14"/>
      <c r="E4" s="14"/>
      <c r="F4" s="14"/>
      <c r="G4" s="14"/>
      <c r="H4" s="14"/>
      <c r="I4" s="14">
        <f t="shared" si="1"/>
        <v>0</v>
      </c>
      <c r="J4" s="15">
        <f>B4/25</f>
        <v>0</v>
      </c>
      <c r="K4" s="16"/>
    </row>
    <row r="5" spans="1:11" x14ac:dyDescent="0.25">
      <c r="A5" s="11" t="s">
        <v>14</v>
      </c>
      <c r="B5" s="7">
        <v>0</v>
      </c>
      <c r="C5" s="14"/>
      <c r="D5" s="14"/>
      <c r="E5" s="14"/>
      <c r="F5" s="14"/>
      <c r="G5" s="14"/>
      <c r="H5" s="14"/>
      <c r="I5" s="14">
        <f t="shared" si="1"/>
        <v>0</v>
      </c>
      <c r="J5" s="15">
        <f>B5/26</f>
        <v>0</v>
      </c>
      <c r="K5" s="16"/>
    </row>
    <row r="6" spans="1:11" x14ac:dyDescent="0.25">
      <c r="A6" s="11" t="s">
        <v>15</v>
      </c>
      <c r="B6" s="7">
        <v>0</v>
      </c>
      <c r="C6" s="14"/>
      <c r="D6" s="14"/>
      <c r="E6" s="14"/>
      <c r="F6" s="14"/>
      <c r="G6" s="14"/>
      <c r="H6" s="14"/>
      <c r="I6" s="14">
        <f t="shared" si="1"/>
        <v>0</v>
      </c>
      <c r="J6" s="15">
        <f>B6/26</f>
        <v>0</v>
      </c>
      <c r="K6" s="16"/>
    </row>
    <row r="7" spans="1:11" x14ac:dyDescent="0.25">
      <c r="A7" s="17" t="s">
        <v>16</v>
      </c>
      <c r="B7" s="7">
        <v>0</v>
      </c>
      <c r="C7" s="14"/>
      <c r="D7" s="14"/>
      <c r="E7" s="14"/>
      <c r="F7" s="14"/>
      <c r="G7" s="14"/>
      <c r="H7" s="14"/>
      <c r="I7" s="14">
        <f t="shared" si="1"/>
        <v>0</v>
      </c>
      <c r="J7" s="15">
        <f>B7/26</f>
        <v>0</v>
      </c>
      <c r="K7" s="16"/>
    </row>
    <row r="8" spans="1:11" x14ac:dyDescent="0.25">
      <c r="A8" s="17" t="s">
        <v>17</v>
      </c>
      <c r="B8" s="7">
        <v>0</v>
      </c>
      <c r="C8" s="14"/>
      <c r="D8" s="14"/>
      <c r="E8" s="14"/>
      <c r="F8" s="14"/>
      <c r="G8" s="14"/>
      <c r="H8" s="14"/>
      <c r="I8" s="14">
        <f>SUM(B8:H8)</f>
        <v>0</v>
      </c>
      <c r="J8" s="15">
        <f>B8/27</f>
        <v>0</v>
      </c>
      <c r="K8" s="16"/>
    </row>
    <row r="9" spans="1:11" x14ac:dyDescent="0.25">
      <c r="A9" s="17" t="s">
        <v>18</v>
      </c>
      <c r="B9" s="7">
        <v>0</v>
      </c>
      <c r="C9" s="14"/>
      <c r="D9" s="14"/>
      <c r="E9" s="14"/>
      <c r="F9" s="14"/>
      <c r="G9" s="14"/>
      <c r="H9" s="14"/>
      <c r="I9" s="14">
        <f t="shared" si="1"/>
        <v>0</v>
      </c>
      <c r="J9" s="15">
        <f>B9/27</f>
        <v>0</v>
      </c>
      <c r="K9" s="16"/>
    </row>
    <row r="10" spans="1:11" x14ac:dyDescent="0.25">
      <c r="A10" s="17" t="s">
        <v>19</v>
      </c>
      <c r="B10" s="7">
        <f>30</f>
        <v>30</v>
      </c>
      <c r="C10" s="7"/>
      <c r="D10" s="7"/>
      <c r="E10" s="7"/>
      <c r="F10" s="7"/>
      <c r="G10" s="7"/>
      <c r="H10" s="7"/>
      <c r="I10" s="14">
        <f t="shared" si="1"/>
        <v>30</v>
      </c>
      <c r="J10" s="15">
        <v>1</v>
      </c>
      <c r="K10" s="16"/>
    </row>
    <row r="11" spans="1:11" x14ac:dyDescent="0.25">
      <c r="A11" s="17" t="s">
        <v>20</v>
      </c>
      <c r="B11" s="7">
        <f>30</f>
        <v>30</v>
      </c>
      <c r="C11" s="7"/>
      <c r="D11" s="7"/>
      <c r="E11" s="7"/>
      <c r="F11" s="7"/>
      <c r="G11" s="7"/>
      <c r="H11" s="7"/>
      <c r="I11" s="14">
        <f t="shared" si="1"/>
        <v>30</v>
      </c>
      <c r="J11" s="15">
        <v>1</v>
      </c>
      <c r="K11" s="16"/>
    </row>
    <row r="12" spans="1:11" x14ac:dyDescent="0.25">
      <c r="A12" s="17" t="s">
        <v>21</v>
      </c>
      <c r="B12" s="7">
        <f>30</f>
        <v>30</v>
      </c>
      <c r="C12" s="7"/>
      <c r="D12" s="7"/>
      <c r="E12" s="7"/>
      <c r="F12" s="7"/>
      <c r="G12" s="7"/>
      <c r="H12" s="7"/>
      <c r="I12" s="14">
        <f t="shared" si="1"/>
        <v>30</v>
      </c>
      <c r="J12" s="15">
        <v>1</v>
      </c>
      <c r="K12" s="16"/>
    </row>
    <row r="13" spans="1:11" x14ac:dyDescent="0.25">
      <c r="A13" s="17" t="s">
        <v>22</v>
      </c>
      <c r="B13" s="7">
        <v>25</v>
      </c>
      <c r="C13" s="7"/>
      <c r="D13" s="7"/>
      <c r="E13" s="7"/>
      <c r="F13" s="7"/>
      <c r="G13" s="7"/>
      <c r="H13" s="7"/>
      <c r="I13" s="14">
        <f t="shared" si="1"/>
        <v>25</v>
      </c>
      <c r="J13" s="15">
        <v>1</v>
      </c>
    </row>
    <row r="14" spans="1:11" x14ac:dyDescent="0.25">
      <c r="A14" s="17" t="s">
        <v>23</v>
      </c>
      <c r="B14" s="7">
        <f>25</f>
        <v>25</v>
      </c>
      <c r="C14" s="7"/>
      <c r="D14" s="7"/>
      <c r="E14" s="7"/>
      <c r="F14" s="7"/>
      <c r="G14" s="7"/>
      <c r="H14" s="7"/>
      <c r="I14" s="14">
        <f t="shared" si="1"/>
        <v>25</v>
      </c>
      <c r="J14" s="15">
        <v>1</v>
      </c>
    </row>
    <row r="15" spans="1:11" x14ac:dyDescent="0.25">
      <c r="A15" s="17" t="s">
        <v>24</v>
      </c>
      <c r="B15" s="7">
        <f>25</f>
        <v>25</v>
      </c>
      <c r="C15" s="7"/>
      <c r="D15" s="7"/>
      <c r="E15" s="7"/>
      <c r="F15" s="7"/>
      <c r="G15" s="7"/>
      <c r="H15" s="7"/>
      <c r="I15" s="14">
        <f t="shared" si="1"/>
        <v>25</v>
      </c>
      <c r="J15" s="15">
        <v>1</v>
      </c>
    </row>
    <row r="16" spans="1:11" x14ac:dyDescent="0.25">
      <c r="A16" s="17" t="s">
        <v>25</v>
      </c>
      <c r="B16" s="7">
        <v>15</v>
      </c>
      <c r="C16" s="7"/>
      <c r="D16" s="7"/>
      <c r="E16" s="7"/>
      <c r="F16" s="7"/>
      <c r="G16" s="7"/>
      <c r="H16" s="7"/>
      <c r="I16" s="14">
        <f t="shared" si="1"/>
        <v>15</v>
      </c>
      <c r="J16" s="15">
        <v>1</v>
      </c>
    </row>
    <row r="17" spans="1:11" x14ac:dyDescent="0.25">
      <c r="A17" s="20" t="s">
        <v>12</v>
      </c>
      <c r="B17" s="12">
        <f t="shared" ref="B17:H17" si="2">SUM(B4:B16)</f>
        <v>180</v>
      </c>
      <c r="C17" s="12">
        <f t="shared" si="2"/>
        <v>0</v>
      </c>
      <c r="D17" s="12">
        <f t="shared" si="2"/>
        <v>0</v>
      </c>
      <c r="E17" s="12"/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>SUM(I4:I16)</f>
        <v>180</v>
      </c>
      <c r="J17" s="15">
        <f>SUM(J4:J16)</f>
        <v>7</v>
      </c>
      <c r="K17" s="21"/>
    </row>
    <row r="18" spans="1:11" x14ac:dyDescent="0.25">
      <c r="A18" s="17"/>
      <c r="B18" s="7"/>
      <c r="C18" s="22"/>
      <c r="D18" s="22"/>
      <c r="E18" s="22"/>
      <c r="F18" s="22"/>
      <c r="G18" s="22"/>
      <c r="H18" s="22"/>
      <c r="I18" s="22"/>
      <c r="J18" s="10"/>
      <c r="K18" s="10"/>
    </row>
    <row r="19" spans="1:11" x14ac:dyDescent="0.25">
      <c r="A19" s="23" t="s">
        <v>26</v>
      </c>
      <c r="B19" s="24" t="str">
        <f>B1</f>
        <v>Operating</v>
      </c>
      <c r="C19" s="24" t="str">
        <f>C1</f>
        <v>SPED</v>
      </c>
      <c r="D19" s="24" t="str">
        <f>D1</f>
        <v>NSLP</v>
      </c>
      <c r="E19" s="24" t="str">
        <f>E1</f>
        <v>Other</v>
      </c>
      <c r="F19" s="24" t="str">
        <f t="shared" ref="F19:G19" si="3">F1</f>
        <v>Title I</v>
      </c>
      <c r="G19" s="24" t="str">
        <f t="shared" si="3"/>
        <v>Title II</v>
      </c>
      <c r="H19" s="24" t="str">
        <f>H1</f>
        <v>Title III</v>
      </c>
      <c r="I19" s="24" t="str">
        <f>I1</f>
        <v>Total (23-24)</v>
      </c>
      <c r="J19" s="25"/>
      <c r="K19" s="25"/>
    </row>
    <row r="20" spans="1:11" x14ac:dyDescent="0.25">
      <c r="A20" s="17" t="s">
        <v>27</v>
      </c>
      <c r="B20" s="7"/>
      <c r="C20" s="7">
        <f>('26-27'!C20/'26-27'!B17)*'27-28'!B17</f>
        <v>22.666666666666664</v>
      </c>
      <c r="D20" s="7"/>
      <c r="E20" s="7"/>
      <c r="F20" s="7"/>
      <c r="G20" s="7"/>
      <c r="H20" s="7"/>
      <c r="I20" s="7">
        <f>SUM(B20:H20)</f>
        <v>22.666666666666664</v>
      </c>
      <c r="J20" s="26" t="s">
        <v>28</v>
      </c>
      <c r="K20" s="27"/>
    </row>
    <row r="21" spans="1:11" x14ac:dyDescent="0.25">
      <c r="A21" s="17" t="s">
        <v>29</v>
      </c>
      <c r="B21" s="7">
        <f>('26-27'!B21/'26-27'!B17)*'27-28'!B17</f>
        <v>30.666666666666664</v>
      </c>
      <c r="C21" s="7"/>
      <c r="D21" s="7"/>
      <c r="E21" s="7"/>
      <c r="F21" s="7"/>
      <c r="G21" s="7"/>
      <c r="H21" s="7"/>
      <c r="I21" s="7">
        <f>SUM(B21:H21)</f>
        <v>30.666666666666664</v>
      </c>
      <c r="J21" s="26"/>
      <c r="K21" s="27"/>
    </row>
    <row r="22" spans="1:11" x14ac:dyDescent="0.25">
      <c r="A22" s="17" t="s">
        <v>30</v>
      </c>
      <c r="B22" s="14">
        <v>0</v>
      </c>
      <c r="C22" s="14"/>
      <c r="D22" s="14"/>
      <c r="E22" s="14"/>
      <c r="F22" s="14"/>
      <c r="G22" s="14"/>
      <c r="H22" s="14"/>
      <c r="I22" s="7">
        <f>SUM(B22:H22)</f>
        <v>0</v>
      </c>
      <c r="J22" s="19"/>
    </row>
    <row r="23" spans="1:11" x14ac:dyDescent="0.25">
      <c r="A23" s="17" t="s">
        <v>31</v>
      </c>
      <c r="B23" s="14">
        <f>B17-(C20+B21)</f>
        <v>126.66666666666667</v>
      </c>
      <c r="C23" s="29"/>
      <c r="D23" s="29">
        <v>1</v>
      </c>
      <c r="E23" s="29"/>
      <c r="F23" s="29"/>
      <c r="G23" s="29"/>
      <c r="H23" s="29"/>
      <c r="I23" s="29">
        <f>SUM(C23:H23)</f>
        <v>1</v>
      </c>
      <c r="J23" s="30"/>
      <c r="K23" s="31"/>
    </row>
    <row r="24" spans="1:11" x14ac:dyDescent="0.25">
      <c r="A24" s="17" t="s">
        <v>351</v>
      </c>
      <c r="B24" s="7">
        <v>2</v>
      </c>
      <c r="C24" s="7"/>
      <c r="D24" s="7"/>
      <c r="E24" s="7"/>
      <c r="F24" s="7"/>
      <c r="G24" s="7"/>
      <c r="H24" s="7"/>
      <c r="I24" s="7">
        <f>SUM(B24:H24)</f>
        <v>2</v>
      </c>
      <c r="J24" s="30"/>
      <c r="K24" s="31"/>
    </row>
    <row r="25" spans="1:11" x14ac:dyDescent="0.25">
      <c r="A25" s="17"/>
      <c r="B25" s="7"/>
      <c r="C25" s="7"/>
      <c r="D25" s="7"/>
      <c r="E25" s="7"/>
      <c r="F25" s="7"/>
      <c r="G25" s="7"/>
      <c r="H25" s="7"/>
      <c r="I25" s="7"/>
      <c r="J25" s="25"/>
      <c r="K25" s="10"/>
    </row>
    <row r="26" spans="1:11" x14ac:dyDescent="0.25">
      <c r="A26" s="33" t="s">
        <v>32</v>
      </c>
      <c r="B26" s="24" t="str">
        <f>B1</f>
        <v>Operating</v>
      </c>
      <c r="C26" s="24" t="str">
        <f>C1</f>
        <v>SPED</v>
      </c>
      <c r="D26" s="24" t="str">
        <f>D1</f>
        <v>NSLP</v>
      </c>
      <c r="E26" s="24" t="str">
        <f>E1</f>
        <v>Other</v>
      </c>
      <c r="F26" s="24" t="str">
        <f t="shared" ref="F26:G26" si="4">F1</f>
        <v>Title I</v>
      </c>
      <c r="G26" s="24" t="str">
        <f t="shared" si="4"/>
        <v>Title II</v>
      </c>
      <c r="H26" s="24" t="str">
        <f>H1</f>
        <v>Title III</v>
      </c>
      <c r="I26" s="24" t="str">
        <f>I1</f>
        <v>Total (23-24)</v>
      </c>
      <c r="J26" s="25"/>
      <c r="K26" s="25"/>
    </row>
    <row r="27" spans="1:11" x14ac:dyDescent="0.25">
      <c r="A27" s="34" t="s">
        <v>33</v>
      </c>
      <c r="B27" s="35">
        <v>7</v>
      </c>
      <c r="C27" s="35"/>
      <c r="D27" s="35"/>
      <c r="E27" s="35"/>
      <c r="F27" s="35"/>
      <c r="G27" s="35"/>
      <c r="H27" s="35"/>
      <c r="I27" s="35">
        <f>SUM(B27:H27)</f>
        <v>7</v>
      </c>
      <c r="J27" s="15">
        <f>I27/6</f>
        <v>1.1666666666666667</v>
      </c>
      <c r="K27" s="16"/>
    </row>
    <row r="28" spans="1:11" x14ac:dyDescent="0.25">
      <c r="A28" s="34" t="s">
        <v>34</v>
      </c>
      <c r="B28" s="37">
        <v>0</v>
      </c>
      <c r="C28" s="37">
        <v>1</v>
      </c>
      <c r="D28" s="37"/>
      <c r="E28" s="37"/>
      <c r="F28" s="37"/>
      <c r="G28" s="37"/>
      <c r="H28" s="37"/>
      <c r="I28" s="35">
        <f>SUM(B28:H28)</f>
        <v>1</v>
      </c>
      <c r="J28" s="15">
        <f>I20/21</f>
        <v>1.0793650793650793</v>
      </c>
      <c r="K28" s="16"/>
    </row>
    <row r="29" spans="1:11" x14ac:dyDescent="0.25">
      <c r="A29" s="34" t="s">
        <v>35</v>
      </c>
      <c r="B29" s="35">
        <v>0</v>
      </c>
      <c r="C29" s="35"/>
      <c r="D29" s="35"/>
      <c r="E29" s="35"/>
      <c r="F29" s="35"/>
      <c r="G29" s="35"/>
      <c r="H29" s="35"/>
      <c r="I29" s="35">
        <f t="shared" ref="I29:I35" si="5">SUM(B29:H29)</f>
        <v>0</v>
      </c>
      <c r="J29" s="19"/>
    </row>
    <row r="30" spans="1:11" x14ac:dyDescent="0.25">
      <c r="A30" s="34" t="s">
        <v>36</v>
      </c>
      <c r="B30" s="35">
        <v>0</v>
      </c>
      <c r="C30" s="35"/>
      <c r="D30" s="35"/>
      <c r="E30" s="35"/>
      <c r="F30" s="35"/>
      <c r="G30" s="35"/>
      <c r="H30" s="35"/>
      <c r="I30" s="35">
        <f t="shared" si="5"/>
        <v>0</v>
      </c>
      <c r="J30" s="19"/>
    </row>
    <row r="31" spans="1:11" x14ac:dyDescent="0.25">
      <c r="A31" s="34" t="s">
        <v>37</v>
      </c>
      <c r="B31" s="35">
        <v>0</v>
      </c>
      <c r="C31" s="35"/>
      <c r="D31" s="35"/>
      <c r="E31" s="35"/>
      <c r="F31" s="35"/>
      <c r="G31" s="35"/>
      <c r="H31" s="35"/>
      <c r="I31" s="35">
        <f t="shared" si="5"/>
        <v>0</v>
      </c>
      <c r="J31" s="19"/>
    </row>
    <row r="32" spans="1:11" x14ac:dyDescent="0.25">
      <c r="A32" s="39" t="s">
        <v>38</v>
      </c>
      <c r="B32" s="35">
        <v>0</v>
      </c>
      <c r="C32" s="35"/>
      <c r="D32" s="35"/>
      <c r="E32" s="35"/>
      <c r="F32" s="35"/>
      <c r="G32" s="35"/>
      <c r="H32" s="35"/>
      <c r="I32" s="35">
        <f t="shared" si="5"/>
        <v>0</v>
      </c>
      <c r="J32" s="19"/>
    </row>
    <row r="33" spans="1:12" x14ac:dyDescent="0.25">
      <c r="A33" s="39" t="s">
        <v>39</v>
      </c>
      <c r="B33" s="35">
        <v>0</v>
      </c>
      <c r="C33" s="35"/>
      <c r="D33" s="35"/>
      <c r="E33" s="35"/>
      <c r="F33" s="35"/>
      <c r="G33" s="35"/>
      <c r="H33" s="35"/>
      <c r="I33" s="35">
        <f t="shared" si="5"/>
        <v>0</v>
      </c>
      <c r="J33" s="19"/>
    </row>
    <row r="34" spans="1:12" x14ac:dyDescent="0.25">
      <c r="A34" s="39" t="s">
        <v>40</v>
      </c>
      <c r="B34" s="35">
        <v>1</v>
      </c>
      <c r="C34" s="35"/>
      <c r="D34" s="35"/>
      <c r="E34" s="35"/>
      <c r="F34" s="35"/>
      <c r="G34" s="35"/>
      <c r="H34" s="35"/>
      <c r="I34" s="35">
        <f t="shared" si="5"/>
        <v>1</v>
      </c>
      <c r="J34" s="19"/>
    </row>
    <row r="35" spans="1:12" x14ac:dyDescent="0.25">
      <c r="A35" s="40" t="s">
        <v>41</v>
      </c>
      <c r="B35" s="35">
        <v>0</v>
      </c>
      <c r="C35" s="35"/>
      <c r="D35" s="35"/>
      <c r="E35" s="35"/>
      <c r="F35" s="35"/>
      <c r="G35" s="35"/>
      <c r="H35" s="35"/>
      <c r="I35" s="35">
        <f t="shared" si="5"/>
        <v>0</v>
      </c>
      <c r="J35" s="19"/>
    </row>
    <row r="36" spans="1:12" x14ac:dyDescent="0.25">
      <c r="A36" s="33" t="s">
        <v>42</v>
      </c>
      <c r="B36" s="41">
        <f>SUM(B27:B35)</f>
        <v>8</v>
      </c>
      <c r="C36" s="41">
        <f t="shared" ref="C36:H36" si="6">SUM(C27:C35)</f>
        <v>1</v>
      </c>
      <c r="D36" s="41">
        <f t="shared" si="6"/>
        <v>0</v>
      </c>
      <c r="E36" s="41">
        <f t="shared" si="6"/>
        <v>0</v>
      </c>
      <c r="F36" s="41">
        <f t="shared" si="6"/>
        <v>0</v>
      </c>
      <c r="G36" s="41">
        <f t="shared" si="6"/>
        <v>0</v>
      </c>
      <c r="H36" s="41">
        <f t="shared" si="6"/>
        <v>0</v>
      </c>
      <c r="I36" s="41">
        <f>SUM(I27:I35)</f>
        <v>9</v>
      </c>
      <c r="J36" s="10"/>
      <c r="K36" s="10"/>
    </row>
    <row r="37" spans="1:12" x14ac:dyDescent="0.25">
      <c r="A37" s="42"/>
      <c r="B37" s="7"/>
      <c r="C37" s="7"/>
      <c r="D37" s="7"/>
      <c r="E37" s="7"/>
      <c r="F37" s="7"/>
      <c r="G37" s="7"/>
      <c r="H37" s="7"/>
      <c r="I37" s="7"/>
      <c r="J37" s="10"/>
      <c r="K37" s="10"/>
    </row>
    <row r="38" spans="1:12" x14ac:dyDescent="0.25">
      <c r="A38" s="33" t="s">
        <v>43</v>
      </c>
      <c r="B38" s="24" t="str">
        <f>B1</f>
        <v>Operating</v>
      </c>
      <c r="C38" s="24" t="str">
        <f>C1</f>
        <v>SPED</v>
      </c>
      <c r="D38" s="24" t="str">
        <f>D1</f>
        <v>NSLP</v>
      </c>
      <c r="E38" s="24" t="str">
        <f>E1</f>
        <v>Other</v>
      </c>
      <c r="F38" s="24" t="str">
        <f t="shared" ref="F38:G38" si="7">F1</f>
        <v>Title I</v>
      </c>
      <c r="G38" s="24" t="str">
        <f t="shared" si="7"/>
        <v>Title II</v>
      </c>
      <c r="H38" s="24" t="str">
        <f>H1</f>
        <v>Title III</v>
      </c>
      <c r="I38" s="24" t="str">
        <f>I1</f>
        <v>Total (23-24)</v>
      </c>
      <c r="J38" s="25"/>
      <c r="K38" s="25"/>
    </row>
    <row r="39" spans="1:12" x14ac:dyDescent="0.25">
      <c r="A39" s="34" t="s">
        <v>349</v>
      </c>
      <c r="B39" s="37">
        <v>0</v>
      </c>
      <c r="C39" s="37"/>
      <c r="D39" s="37"/>
      <c r="E39" s="37"/>
      <c r="F39" s="37"/>
      <c r="G39" s="37"/>
      <c r="H39" s="37"/>
      <c r="I39" s="35">
        <f t="shared" ref="I39:I45" si="8">SUM(B39:H39)</f>
        <v>0</v>
      </c>
      <c r="J39" s="19"/>
      <c r="L39" s="10">
        <v>0</v>
      </c>
    </row>
    <row r="40" spans="1:12" x14ac:dyDescent="0.25">
      <c r="A40" s="34" t="s">
        <v>348</v>
      </c>
      <c r="B40" s="37">
        <v>1</v>
      </c>
      <c r="C40" s="37"/>
      <c r="D40" s="37"/>
      <c r="E40" s="37"/>
      <c r="F40" s="37"/>
      <c r="G40" s="37"/>
      <c r="H40" s="37"/>
      <c r="I40" s="35">
        <f t="shared" si="8"/>
        <v>1</v>
      </c>
      <c r="J40" s="19"/>
    </row>
    <row r="41" spans="1:12" x14ac:dyDescent="0.25">
      <c r="A41" s="34" t="s">
        <v>44</v>
      </c>
      <c r="B41" s="37">
        <v>0</v>
      </c>
      <c r="C41" s="37"/>
      <c r="D41" s="37"/>
      <c r="E41" s="37"/>
      <c r="F41" s="37"/>
      <c r="G41" s="37"/>
      <c r="H41" s="37"/>
      <c r="I41" s="35">
        <f t="shared" si="8"/>
        <v>0</v>
      </c>
      <c r="J41" s="19"/>
    </row>
    <row r="42" spans="1:12" x14ac:dyDescent="0.25">
      <c r="A42" s="40" t="s">
        <v>45</v>
      </c>
      <c r="B42" s="37">
        <v>0</v>
      </c>
      <c r="C42" s="37"/>
      <c r="D42" s="37"/>
      <c r="E42" s="37">
        <v>0</v>
      </c>
      <c r="F42" s="37"/>
      <c r="G42" s="37"/>
      <c r="H42" s="37"/>
      <c r="I42" s="35">
        <f t="shared" si="8"/>
        <v>0</v>
      </c>
      <c r="J42" s="19"/>
    </row>
    <row r="43" spans="1:12" x14ac:dyDescent="0.25">
      <c r="A43" s="43" t="s">
        <v>46</v>
      </c>
      <c r="B43" s="37">
        <v>0</v>
      </c>
      <c r="C43" s="37"/>
      <c r="D43" s="37"/>
      <c r="E43" s="37"/>
      <c r="F43" s="37"/>
      <c r="G43" s="37"/>
      <c r="H43" s="37"/>
      <c r="I43" s="35">
        <f t="shared" si="8"/>
        <v>0</v>
      </c>
      <c r="J43" s="19"/>
    </row>
    <row r="44" spans="1:12" x14ac:dyDescent="0.25">
      <c r="A44" s="43" t="s">
        <v>47</v>
      </c>
      <c r="B44" s="37">
        <v>0</v>
      </c>
      <c r="C44" s="37"/>
      <c r="D44" s="37"/>
      <c r="E44" s="37"/>
      <c r="F44" s="37"/>
      <c r="G44" s="37"/>
      <c r="H44" s="37"/>
      <c r="I44" s="35">
        <f t="shared" si="8"/>
        <v>0</v>
      </c>
      <c r="J44" s="19"/>
    </row>
    <row r="45" spans="1:12" x14ac:dyDescent="0.25">
      <c r="A45" s="43" t="s">
        <v>354</v>
      </c>
      <c r="B45" s="37">
        <v>1</v>
      </c>
      <c r="C45" s="37"/>
      <c r="D45" s="37"/>
      <c r="E45" s="37">
        <v>0</v>
      </c>
      <c r="F45" s="37"/>
      <c r="G45" s="37"/>
      <c r="H45" s="37"/>
      <c r="I45" s="35">
        <f t="shared" si="8"/>
        <v>1</v>
      </c>
      <c r="J45" s="19"/>
    </row>
    <row r="46" spans="1:12" x14ac:dyDescent="0.25">
      <c r="A46" s="43" t="s">
        <v>48</v>
      </c>
      <c r="B46" s="37">
        <v>0</v>
      </c>
      <c r="C46" s="37"/>
      <c r="D46" s="37"/>
      <c r="E46" s="37"/>
      <c r="F46" s="37"/>
      <c r="G46" s="37"/>
      <c r="H46" s="37"/>
      <c r="I46" s="35"/>
      <c r="J46" s="19"/>
    </row>
    <row r="47" spans="1:12" x14ac:dyDescent="0.25">
      <c r="A47" s="34" t="s">
        <v>49</v>
      </c>
      <c r="B47" s="37">
        <v>1</v>
      </c>
      <c r="C47" s="37"/>
      <c r="D47" s="37"/>
      <c r="E47" s="37"/>
      <c r="F47" s="37"/>
      <c r="G47" s="37"/>
      <c r="H47" s="37"/>
      <c r="I47" s="35">
        <f t="shared" ref="I47:I61" si="9">SUM(B47:H47)</f>
        <v>1</v>
      </c>
      <c r="J47" s="19"/>
    </row>
    <row r="48" spans="1:12" x14ac:dyDescent="0.25">
      <c r="A48" s="34" t="s">
        <v>50</v>
      </c>
      <c r="B48" s="37">
        <v>1</v>
      </c>
      <c r="C48" s="37"/>
      <c r="D48" s="37"/>
      <c r="E48" s="37"/>
      <c r="F48" s="37"/>
      <c r="G48" s="37"/>
      <c r="H48" s="37"/>
      <c r="I48" s="35">
        <f t="shared" si="9"/>
        <v>1</v>
      </c>
      <c r="J48" s="19"/>
    </row>
    <row r="49" spans="1:11" x14ac:dyDescent="0.25">
      <c r="A49" s="34" t="s">
        <v>51</v>
      </c>
      <c r="B49" s="37">
        <v>0</v>
      </c>
      <c r="C49" s="37"/>
      <c r="D49" s="37"/>
      <c r="E49" s="37"/>
      <c r="F49" s="37"/>
      <c r="G49" s="37"/>
      <c r="H49" s="37"/>
      <c r="I49" s="35">
        <f t="shared" si="9"/>
        <v>0</v>
      </c>
      <c r="J49" s="19"/>
    </row>
    <row r="50" spans="1:11" x14ac:dyDescent="0.25">
      <c r="A50" s="34" t="s">
        <v>52</v>
      </c>
      <c r="B50" s="37">
        <v>0</v>
      </c>
      <c r="C50" s="37"/>
      <c r="D50" s="37"/>
      <c r="E50" s="37"/>
      <c r="F50" s="37"/>
      <c r="G50" s="37"/>
      <c r="H50" s="37"/>
      <c r="I50" s="35">
        <f t="shared" si="9"/>
        <v>0</v>
      </c>
      <c r="J50" s="19"/>
    </row>
    <row r="51" spans="1:11" x14ac:dyDescent="0.25">
      <c r="A51" s="34" t="s">
        <v>53</v>
      </c>
      <c r="B51" s="37">
        <v>0</v>
      </c>
      <c r="C51" s="37"/>
      <c r="D51" s="37"/>
      <c r="E51" s="37"/>
      <c r="F51" s="37">
        <v>1</v>
      </c>
      <c r="G51" s="37"/>
      <c r="H51" s="37"/>
      <c r="I51" s="35">
        <f t="shared" si="9"/>
        <v>1</v>
      </c>
      <c r="J51" s="19"/>
    </row>
    <row r="52" spans="1:11" x14ac:dyDescent="0.25">
      <c r="A52" s="34" t="s">
        <v>54</v>
      </c>
      <c r="B52" s="37">
        <v>0</v>
      </c>
      <c r="C52" s="37"/>
      <c r="D52" s="37"/>
      <c r="E52" s="37"/>
      <c r="F52" s="37"/>
      <c r="G52" s="37"/>
      <c r="H52" s="37"/>
      <c r="I52" s="35">
        <f t="shared" si="9"/>
        <v>0</v>
      </c>
      <c r="J52" s="19"/>
    </row>
    <row r="53" spans="1:11" x14ac:dyDescent="0.25">
      <c r="A53" s="34" t="s">
        <v>55</v>
      </c>
      <c r="B53" s="37"/>
      <c r="C53" s="37"/>
      <c r="D53" s="37">
        <v>1</v>
      </c>
      <c r="E53" s="37"/>
      <c r="F53" s="37"/>
      <c r="G53" s="37"/>
      <c r="H53" s="37"/>
      <c r="I53" s="35">
        <f t="shared" si="9"/>
        <v>1</v>
      </c>
      <c r="J53" s="19"/>
    </row>
    <row r="54" spans="1:11" x14ac:dyDescent="0.25">
      <c r="A54" s="34" t="s">
        <v>56</v>
      </c>
      <c r="B54" s="37"/>
      <c r="C54" s="37"/>
      <c r="D54" s="37"/>
      <c r="E54" s="37"/>
      <c r="F54" s="37"/>
      <c r="G54" s="37"/>
      <c r="H54" s="37"/>
      <c r="I54" s="35">
        <f t="shared" si="9"/>
        <v>0</v>
      </c>
      <c r="J54" s="8"/>
      <c r="K54" s="9"/>
    </row>
    <row r="55" spans="1:11" x14ac:dyDescent="0.25">
      <c r="A55" s="40" t="s">
        <v>57</v>
      </c>
      <c r="B55" s="37"/>
      <c r="C55" s="37"/>
      <c r="D55" s="37"/>
      <c r="E55" s="37"/>
      <c r="F55" s="37"/>
      <c r="G55" s="37"/>
      <c r="H55" s="37"/>
      <c r="I55" s="35">
        <f t="shared" si="9"/>
        <v>0</v>
      </c>
      <c r="J55" s="8"/>
      <c r="K55" s="9"/>
    </row>
    <row r="56" spans="1:11" x14ac:dyDescent="0.25">
      <c r="A56" s="40" t="s">
        <v>58</v>
      </c>
      <c r="B56" s="37"/>
      <c r="C56" s="37"/>
      <c r="D56" s="37"/>
      <c r="E56" s="37"/>
      <c r="F56" s="37"/>
      <c r="G56" s="37"/>
      <c r="H56" s="37"/>
      <c r="I56" s="35">
        <f t="shared" si="9"/>
        <v>0</v>
      </c>
      <c r="J56" s="8"/>
      <c r="K56" s="9"/>
    </row>
    <row r="57" spans="1:11" x14ac:dyDescent="0.25">
      <c r="A57" s="40" t="s">
        <v>59</v>
      </c>
      <c r="B57" s="37"/>
      <c r="C57" s="37"/>
      <c r="D57" s="37"/>
      <c r="E57" s="37"/>
      <c r="F57" s="37"/>
      <c r="G57" s="37"/>
      <c r="H57" s="37"/>
      <c r="I57" s="35">
        <f t="shared" si="9"/>
        <v>0</v>
      </c>
      <c r="J57" s="8"/>
      <c r="K57" s="9"/>
    </row>
    <row r="58" spans="1:11" x14ac:dyDescent="0.25">
      <c r="A58" s="40" t="s">
        <v>60</v>
      </c>
      <c r="B58" s="37"/>
      <c r="C58" s="37"/>
      <c r="D58" s="37"/>
      <c r="E58" s="37"/>
      <c r="F58" s="37"/>
      <c r="G58" s="37"/>
      <c r="H58" s="37"/>
      <c r="I58" s="35">
        <f t="shared" si="9"/>
        <v>0</v>
      </c>
      <c r="J58" s="8"/>
      <c r="K58" s="9"/>
    </row>
    <row r="59" spans="1:11" x14ac:dyDescent="0.25">
      <c r="A59" s="40" t="s">
        <v>61</v>
      </c>
      <c r="B59" s="37"/>
      <c r="C59" s="37"/>
      <c r="D59" s="37"/>
      <c r="E59" s="37"/>
      <c r="F59" s="37"/>
      <c r="G59" s="37"/>
      <c r="H59" s="37"/>
      <c r="I59" s="35">
        <f t="shared" si="9"/>
        <v>0</v>
      </c>
      <c r="J59" s="8"/>
      <c r="K59" s="9"/>
    </row>
    <row r="60" spans="1:11" x14ac:dyDescent="0.25">
      <c r="A60" s="40" t="s">
        <v>341</v>
      </c>
      <c r="B60" s="37"/>
      <c r="C60" s="37"/>
      <c r="D60" s="37"/>
      <c r="E60" s="37">
        <v>0</v>
      </c>
      <c r="F60" s="37"/>
      <c r="G60" s="37"/>
      <c r="H60" s="37"/>
      <c r="I60" s="35">
        <f t="shared" si="9"/>
        <v>0</v>
      </c>
      <c r="J60" s="8"/>
      <c r="K60" s="9"/>
    </row>
    <row r="61" spans="1:11" x14ac:dyDescent="0.25">
      <c r="A61" s="34" t="s">
        <v>63</v>
      </c>
      <c r="B61" s="35"/>
      <c r="C61" s="35"/>
      <c r="D61" s="35"/>
      <c r="E61" s="35"/>
      <c r="F61" s="35"/>
      <c r="G61" s="35"/>
      <c r="H61" s="35"/>
      <c r="I61" s="35">
        <f t="shared" si="9"/>
        <v>0</v>
      </c>
      <c r="J61" s="8"/>
      <c r="K61" s="9"/>
    </row>
    <row r="62" spans="1:11" x14ac:dyDescent="0.25">
      <c r="A62" s="33" t="s">
        <v>64</v>
      </c>
      <c r="B62" s="45">
        <f>SUM(B39:B61)</f>
        <v>4</v>
      </c>
      <c r="C62" s="45">
        <f>SUM(C39:C61)</f>
        <v>0</v>
      </c>
      <c r="D62" s="45">
        <f>SUM(D39:D61)</f>
        <v>1</v>
      </c>
      <c r="E62" s="45">
        <f>SUM(E39:E61)</f>
        <v>0</v>
      </c>
      <c r="F62" s="45">
        <f t="shared" ref="F62:H62" si="10">SUM(F39:F61)</f>
        <v>1</v>
      </c>
      <c r="G62" s="45">
        <f t="shared" si="10"/>
        <v>0</v>
      </c>
      <c r="H62" s="45">
        <f t="shared" si="10"/>
        <v>0</v>
      </c>
      <c r="I62" s="45">
        <f>SUM(I39:I61)</f>
        <v>6</v>
      </c>
      <c r="J62" s="10"/>
      <c r="K62" s="10"/>
    </row>
    <row r="63" spans="1:11" ht="15.75" thickBot="1" x14ac:dyDescent="0.3">
      <c r="A63" s="46"/>
      <c r="B63" s="47"/>
      <c r="C63" s="47"/>
      <c r="D63" s="47"/>
      <c r="E63" s="47"/>
      <c r="F63" s="47"/>
      <c r="G63" s="47"/>
      <c r="H63" s="47"/>
      <c r="I63" s="47"/>
      <c r="J63" s="10"/>
      <c r="K63" s="10"/>
    </row>
    <row r="64" spans="1:11" x14ac:dyDescent="0.25">
      <c r="A64" s="48" t="s">
        <v>65</v>
      </c>
      <c r="B64" s="49">
        <f>B36</f>
        <v>8</v>
      </c>
      <c r="C64" s="49">
        <f>C36</f>
        <v>1</v>
      </c>
      <c r="D64" s="49">
        <f>D36</f>
        <v>0</v>
      </c>
      <c r="E64" s="49">
        <f>E36</f>
        <v>0</v>
      </c>
      <c r="F64" s="49">
        <f t="shared" ref="F64:H64" si="11">F36</f>
        <v>0</v>
      </c>
      <c r="G64" s="49">
        <f t="shared" si="11"/>
        <v>0</v>
      </c>
      <c r="H64" s="49">
        <f t="shared" si="11"/>
        <v>0</v>
      </c>
      <c r="I64" s="49">
        <f>I36</f>
        <v>9</v>
      </c>
      <c r="J64" s="10"/>
      <c r="K64" s="10"/>
    </row>
    <row r="65" spans="1:11" x14ac:dyDescent="0.25">
      <c r="A65" s="50" t="s">
        <v>66</v>
      </c>
      <c r="B65" s="51">
        <f>B62</f>
        <v>4</v>
      </c>
      <c r="C65" s="51">
        <f t="shared" ref="C65:I65" si="12">C62</f>
        <v>0</v>
      </c>
      <c r="D65" s="51">
        <f t="shared" si="12"/>
        <v>1</v>
      </c>
      <c r="E65" s="51">
        <f t="shared" si="12"/>
        <v>0</v>
      </c>
      <c r="F65" s="51">
        <f t="shared" si="12"/>
        <v>1</v>
      </c>
      <c r="G65" s="51">
        <f t="shared" si="12"/>
        <v>0</v>
      </c>
      <c r="H65" s="51">
        <f t="shared" si="12"/>
        <v>0</v>
      </c>
      <c r="I65" s="51">
        <f t="shared" si="12"/>
        <v>6</v>
      </c>
      <c r="J65" s="10"/>
      <c r="K65" s="10"/>
    </row>
    <row r="66" spans="1:11" ht="15.75" thickBot="1" x14ac:dyDescent="0.3">
      <c r="A66" s="52" t="s">
        <v>67</v>
      </c>
      <c r="B66" s="53">
        <f>SUM(B64:B65)</f>
        <v>12</v>
      </c>
      <c r="C66" s="53">
        <f t="shared" ref="C66:I66" si="13">SUM(C64:C65)</f>
        <v>1</v>
      </c>
      <c r="D66" s="53">
        <f t="shared" si="13"/>
        <v>1</v>
      </c>
      <c r="E66" s="53">
        <f t="shared" si="13"/>
        <v>0</v>
      </c>
      <c r="F66" s="53">
        <f t="shared" si="13"/>
        <v>1</v>
      </c>
      <c r="G66" s="53">
        <f t="shared" si="13"/>
        <v>0</v>
      </c>
      <c r="H66" s="53">
        <f t="shared" si="13"/>
        <v>0</v>
      </c>
      <c r="I66" s="53">
        <f t="shared" si="13"/>
        <v>15</v>
      </c>
      <c r="J66" s="10"/>
      <c r="K66" s="10"/>
    </row>
    <row r="67" spans="1:11" x14ac:dyDescent="0.25">
      <c r="A67" s="40"/>
      <c r="B67" s="54"/>
      <c r="C67" s="54"/>
      <c r="D67" s="54"/>
      <c r="E67" s="54"/>
      <c r="F67" s="54"/>
      <c r="G67" s="54"/>
      <c r="H67" s="54"/>
      <c r="I67" s="54"/>
      <c r="J67" s="10"/>
      <c r="K67" s="10"/>
    </row>
    <row r="68" spans="1:11" x14ac:dyDescent="0.25">
      <c r="A68" s="55" t="s">
        <v>68</v>
      </c>
      <c r="B68" s="56"/>
      <c r="C68" s="56"/>
      <c r="D68" s="56"/>
      <c r="E68" s="56"/>
      <c r="F68" s="56"/>
      <c r="G68" s="56"/>
      <c r="H68" s="56"/>
      <c r="I68" s="57">
        <f>I144/(I213+I215+I216+I217+I218+I219)</f>
        <v>0.55445235804422055</v>
      </c>
      <c r="J68" s="10"/>
      <c r="K68" s="10"/>
    </row>
    <row r="69" spans="1:11" x14ac:dyDescent="0.25">
      <c r="A69" s="55" t="s">
        <v>69</v>
      </c>
      <c r="B69" s="56"/>
      <c r="C69" s="56"/>
      <c r="D69" s="56"/>
      <c r="E69" s="56"/>
      <c r="F69" s="56"/>
      <c r="G69" s="56"/>
      <c r="H69" s="56"/>
      <c r="I69" s="57">
        <f>(I116+I117+I120+I130)/I134</f>
        <v>0.66176282167624245</v>
      </c>
      <c r="J69" s="10"/>
      <c r="K69" s="10"/>
    </row>
    <row r="70" spans="1:11" x14ac:dyDescent="0.25">
      <c r="A70" s="55" t="s">
        <v>70</v>
      </c>
      <c r="B70" s="56"/>
      <c r="C70" s="56"/>
      <c r="D70" s="56"/>
      <c r="E70" s="56"/>
      <c r="F70" s="56"/>
      <c r="G70" s="56"/>
      <c r="H70" s="56"/>
      <c r="I70" s="57">
        <f>(I108+I110+I111+I114+I118+I119+I121+I122++I125+I126+I127+I128+I129+I131+I132)/I134</f>
        <v>0.19692046112297248</v>
      </c>
      <c r="J70" s="10"/>
      <c r="K70" s="10"/>
    </row>
    <row r="71" spans="1:11" x14ac:dyDescent="0.25">
      <c r="A71" s="55" t="s">
        <v>71</v>
      </c>
      <c r="B71" s="56"/>
      <c r="C71" s="56"/>
      <c r="D71" s="56"/>
      <c r="E71" s="56"/>
      <c r="F71" s="56"/>
      <c r="G71" s="56"/>
      <c r="H71" s="56"/>
      <c r="I71" s="57">
        <f>(I215+I216+I217+I218)/(I98)</f>
        <v>4.2220811095465396E-2</v>
      </c>
      <c r="J71" s="10"/>
      <c r="K71" s="10"/>
    </row>
    <row r="72" spans="1:11" ht="15.75" thickBot="1" x14ac:dyDescent="0.3">
      <c r="B72" s="54"/>
      <c r="C72" s="54"/>
      <c r="D72" s="54"/>
      <c r="E72" s="54"/>
      <c r="F72" s="54"/>
      <c r="G72" s="54"/>
      <c r="H72" s="54"/>
      <c r="I72" s="54"/>
      <c r="J72" s="10"/>
      <c r="K72" s="10"/>
    </row>
    <row r="73" spans="1:11" ht="15.75" thickBot="1" x14ac:dyDescent="0.3">
      <c r="A73" s="58" t="s">
        <v>72</v>
      </c>
      <c r="B73" s="59" t="str">
        <f>B1</f>
        <v>Operating</v>
      </c>
      <c r="C73" s="59" t="str">
        <f>C1</f>
        <v>SPED</v>
      </c>
      <c r="D73" s="59" t="str">
        <f>D1</f>
        <v>NSLP</v>
      </c>
      <c r="E73" s="59" t="str">
        <f>E1</f>
        <v>Other</v>
      </c>
      <c r="F73" s="59" t="str">
        <f t="shared" ref="F73:G73" si="14">F1</f>
        <v>Title I</v>
      </c>
      <c r="G73" s="59" t="str">
        <f t="shared" si="14"/>
        <v>Title II</v>
      </c>
      <c r="H73" s="59" t="str">
        <f>H1</f>
        <v>Title III</v>
      </c>
      <c r="I73" s="59" t="str">
        <f>I1</f>
        <v>Total (23-24)</v>
      </c>
      <c r="J73" s="10"/>
      <c r="K73" s="10"/>
    </row>
    <row r="74" spans="1:11" x14ac:dyDescent="0.25">
      <c r="A74" s="60" t="s">
        <v>73</v>
      </c>
      <c r="B74" s="61"/>
      <c r="C74" s="61"/>
      <c r="D74" s="61"/>
      <c r="E74" s="61"/>
      <c r="F74" s="61"/>
      <c r="G74" s="61"/>
      <c r="H74" s="61"/>
      <c r="I74" s="62"/>
      <c r="J74" s="10"/>
      <c r="K74" s="10"/>
    </row>
    <row r="75" spans="1:11" x14ac:dyDescent="0.25">
      <c r="A75" s="40" t="s">
        <v>74</v>
      </c>
      <c r="B75" s="63">
        <f>(B2*B3)</f>
        <v>1760606.2799999998</v>
      </c>
      <c r="C75" s="63"/>
      <c r="D75" s="63"/>
      <c r="E75" s="63"/>
      <c r="F75" s="63"/>
      <c r="G75" s="63"/>
      <c r="H75" s="63"/>
      <c r="I75" s="64">
        <f t="shared" ref="I75:I96" si="15">SUM(B75:H75)</f>
        <v>1760606.2799999998</v>
      </c>
      <c r="J75" s="19"/>
    </row>
    <row r="76" spans="1:11" x14ac:dyDescent="0.25">
      <c r="A76" s="40" t="s">
        <v>75</v>
      </c>
      <c r="B76" s="47">
        <f>4236*B21</f>
        <v>129903.99999999999</v>
      </c>
      <c r="C76" s="47"/>
      <c r="D76" s="47"/>
      <c r="E76" s="47"/>
      <c r="F76" s="47"/>
      <c r="G76" s="47"/>
      <c r="H76" s="47"/>
      <c r="I76" s="7">
        <f>SUM(B76:H76)</f>
        <v>129903.99999999999</v>
      </c>
      <c r="J76" s="142">
        <f>0.45*9414</f>
        <v>4236.3</v>
      </c>
      <c r="K76" s="9"/>
    </row>
    <row r="77" spans="1:11" x14ac:dyDescent="0.25">
      <c r="A77" s="40" t="s">
        <v>76</v>
      </c>
      <c r="B77" s="7">
        <f>1075*B22</f>
        <v>0</v>
      </c>
      <c r="C77" s="7"/>
      <c r="D77" s="7"/>
      <c r="E77" s="7"/>
      <c r="F77" s="7"/>
      <c r="G77" s="7"/>
      <c r="H77" s="7"/>
      <c r="I77" s="7">
        <f>SUM(B77:H77)</f>
        <v>0</v>
      </c>
      <c r="J77" s="142">
        <f>0.12*9414</f>
        <v>1129.68</v>
      </c>
      <c r="K77" s="9"/>
    </row>
    <row r="78" spans="1:11" x14ac:dyDescent="0.25">
      <c r="A78" s="40" t="s">
        <v>77</v>
      </c>
      <c r="B78" s="7">
        <f>3294*2</f>
        <v>6588</v>
      </c>
      <c r="C78" s="7"/>
      <c r="D78" s="7"/>
      <c r="E78" s="7"/>
      <c r="F78" s="7"/>
      <c r="G78" s="7"/>
      <c r="H78" s="7"/>
      <c r="I78" s="7">
        <f>SUM(B78:H78)</f>
        <v>6588</v>
      </c>
      <c r="J78" s="142">
        <f>0.35*9414</f>
        <v>3294.8999999999996</v>
      </c>
    </row>
    <row r="79" spans="1:11" x14ac:dyDescent="0.25">
      <c r="A79" s="40" t="s">
        <v>78</v>
      </c>
      <c r="B79" s="47"/>
      <c r="C79" s="47">
        <v>0</v>
      </c>
      <c r="D79" s="47"/>
      <c r="E79" s="47"/>
      <c r="F79" s="47"/>
      <c r="G79" s="47"/>
      <c r="H79" s="47"/>
      <c r="I79" s="47">
        <f>SUM(B79:H79)</f>
        <v>0</v>
      </c>
      <c r="J79" s="8"/>
      <c r="K79" s="66"/>
    </row>
    <row r="80" spans="1:11" x14ac:dyDescent="0.25">
      <c r="A80" s="40" t="s">
        <v>79</v>
      </c>
      <c r="B80" s="47">
        <v>0</v>
      </c>
      <c r="C80" s="47">
        <f>4000*C20</f>
        <v>90666.666666666657</v>
      </c>
      <c r="D80" s="47"/>
      <c r="E80" s="47"/>
      <c r="F80" s="47"/>
      <c r="G80" s="47"/>
      <c r="H80" s="47"/>
      <c r="I80" s="47">
        <f>SUM(B80:H80)</f>
        <v>90666.666666666657</v>
      </c>
      <c r="J80" s="8">
        <v>4000</v>
      </c>
      <c r="K80" s="66"/>
    </row>
    <row r="81" spans="1:11" x14ac:dyDescent="0.25">
      <c r="A81" s="67" t="s">
        <v>80</v>
      </c>
      <c r="B81" s="68">
        <f>SUM(B75:B80)</f>
        <v>1897098.2799999998</v>
      </c>
      <c r="C81" s="68">
        <f>SUM(C75:C80)</f>
        <v>90666.666666666657</v>
      </c>
      <c r="D81" s="68">
        <f>SUM(D75:D80)</f>
        <v>0</v>
      </c>
      <c r="E81" s="68">
        <f t="shared" ref="E81:G81" si="16">SUM(E75:E80)</f>
        <v>0</v>
      </c>
      <c r="F81" s="68">
        <f t="shared" si="16"/>
        <v>0</v>
      </c>
      <c r="G81" s="68">
        <f t="shared" si="16"/>
        <v>0</v>
      </c>
      <c r="H81" s="68">
        <f>SUM(H75:H80)</f>
        <v>0</v>
      </c>
      <c r="I81" s="68">
        <f>SUM(I75:I80)</f>
        <v>1987764.9466666665</v>
      </c>
      <c r="J81" s="10"/>
      <c r="K81" s="10"/>
    </row>
    <row r="82" spans="1:11" x14ac:dyDescent="0.25">
      <c r="A82" s="69" t="s">
        <v>81</v>
      </c>
      <c r="B82" s="61"/>
      <c r="C82" s="61"/>
      <c r="D82" s="61"/>
      <c r="E82" s="61"/>
      <c r="F82" s="61"/>
      <c r="G82" s="61"/>
      <c r="H82" s="61"/>
      <c r="I82" s="62"/>
      <c r="J82" s="10"/>
      <c r="K82" s="10"/>
    </row>
    <row r="83" spans="1:11" x14ac:dyDescent="0.25">
      <c r="A83" s="40" t="s">
        <v>82</v>
      </c>
      <c r="B83" s="7"/>
      <c r="C83" s="7">
        <f>1287*C20</f>
        <v>29171.999999999996</v>
      </c>
      <c r="D83" s="7"/>
      <c r="E83" s="7"/>
      <c r="F83" s="7"/>
      <c r="G83" s="7"/>
      <c r="H83" s="7"/>
      <c r="I83" s="7">
        <f>SUM(B83:H83)</f>
        <v>29171.999999999996</v>
      </c>
      <c r="J83" s="8">
        <v>1287</v>
      </c>
      <c r="K83" s="9"/>
    </row>
    <row r="84" spans="1:11" x14ac:dyDescent="0.25">
      <c r="A84" s="40" t="s">
        <v>83</v>
      </c>
      <c r="B84" s="7"/>
      <c r="C84" s="7"/>
      <c r="D84" s="14">
        <f>((B17*D23)*2.26*180)</f>
        <v>73223.999999999985</v>
      </c>
      <c r="E84" s="14"/>
      <c r="F84" s="7"/>
      <c r="G84" s="7"/>
      <c r="H84" s="14"/>
      <c r="I84" s="7">
        <f t="shared" si="15"/>
        <v>73223.999999999985</v>
      </c>
      <c r="J84" s="70">
        <v>2.2599999999999998</v>
      </c>
      <c r="K84" s="71"/>
    </row>
    <row r="85" spans="1:11" x14ac:dyDescent="0.25">
      <c r="A85" s="40" t="s">
        <v>84</v>
      </c>
      <c r="B85" s="47"/>
      <c r="C85" s="47"/>
      <c r="D85" s="14">
        <f>((B17*D23)*4.37*180)</f>
        <v>141588</v>
      </c>
      <c r="E85" s="73"/>
      <c r="F85" s="47"/>
      <c r="G85" s="47"/>
      <c r="H85" s="14"/>
      <c r="I85" s="7">
        <f t="shared" si="15"/>
        <v>141588</v>
      </c>
      <c r="J85" s="70">
        <v>4.37</v>
      </c>
      <c r="K85" s="71"/>
    </row>
    <row r="86" spans="1:11" x14ac:dyDescent="0.25">
      <c r="A86" s="40" t="s">
        <v>3</v>
      </c>
      <c r="B86" s="47"/>
      <c r="C86" s="47"/>
      <c r="D86" s="47"/>
      <c r="E86" s="47"/>
      <c r="F86" s="47">
        <f>150*B17</f>
        <v>27000</v>
      </c>
      <c r="G86" s="47"/>
      <c r="H86" s="47"/>
      <c r="I86" s="7">
        <f t="shared" si="15"/>
        <v>27000</v>
      </c>
      <c r="J86" s="8"/>
      <c r="K86" s="9"/>
    </row>
    <row r="87" spans="1:11" x14ac:dyDescent="0.25">
      <c r="A87" s="40" t="s">
        <v>4</v>
      </c>
      <c r="B87" s="47"/>
      <c r="C87" s="47"/>
      <c r="D87" s="47"/>
      <c r="E87" s="47"/>
      <c r="F87" s="47"/>
      <c r="G87" s="47">
        <v>8000</v>
      </c>
      <c r="H87" s="47"/>
      <c r="I87" s="7">
        <f t="shared" si="15"/>
        <v>8000</v>
      </c>
      <c r="J87" s="8"/>
      <c r="K87" s="9"/>
    </row>
    <row r="88" spans="1:11" x14ac:dyDescent="0.25">
      <c r="A88" s="40" t="s">
        <v>5</v>
      </c>
      <c r="B88" s="47"/>
      <c r="C88" s="47"/>
      <c r="D88" s="47"/>
      <c r="E88" s="47"/>
      <c r="F88" s="47"/>
      <c r="G88" s="47"/>
      <c r="H88" s="47">
        <v>1500</v>
      </c>
      <c r="I88" s="7">
        <f t="shared" si="15"/>
        <v>1500</v>
      </c>
      <c r="J88" s="8"/>
      <c r="K88" s="9"/>
    </row>
    <row r="89" spans="1:11" x14ac:dyDescent="0.25">
      <c r="A89" s="40" t="s">
        <v>85</v>
      </c>
      <c r="B89" s="47"/>
      <c r="C89" s="47"/>
      <c r="D89" s="47"/>
      <c r="E89" s="47"/>
      <c r="F89" s="47"/>
      <c r="G89" s="47"/>
      <c r="H89" s="47"/>
      <c r="I89" s="7">
        <f t="shared" si="15"/>
        <v>0</v>
      </c>
      <c r="J89" s="8"/>
      <c r="K89" s="9"/>
    </row>
    <row r="90" spans="1:11" x14ac:dyDescent="0.25">
      <c r="A90" s="40" t="s">
        <v>350</v>
      </c>
      <c r="B90" s="47">
        <f>B160*0.7</f>
        <v>51051.262499999997</v>
      </c>
      <c r="C90" s="47"/>
      <c r="D90" s="47"/>
      <c r="E90" s="47"/>
      <c r="F90" s="47"/>
      <c r="G90" s="47"/>
      <c r="H90" s="47"/>
      <c r="I90" s="7">
        <f t="shared" si="15"/>
        <v>51051.262499999997</v>
      </c>
      <c r="J90" s="8"/>
      <c r="K90" s="9"/>
    </row>
    <row r="91" spans="1:11" x14ac:dyDescent="0.25">
      <c r="A91" s="67" t="s">
        <v>86</v>
      </c>
      <c r="B91" s="68">
        <f t="shared" ref="B91" si="17">SUM(B83:B90)</f>
        <v>51051.262499999997</v>
      </c>
      <c r="C91" s="68">
        <f t="shared" ref="C91:H91" si="18">SUM(C83:C90)</f>
        <v>29171.999999999996</v>
      </c>
      <c r="D91" s="68">
        <f t="shared" si="18"/>
        <v>214812</v>
      </c>
      <c r="E91" s="68">
        <f t="shared" si="18"/>
        <v>0</v>
      </c>
      <c r="F91" s="68">
        <f t="shared" si="18"/>
        <v>27000</v>
      </c>
      <c r="G91" s="68">
        <f t="shared" si="18"/>
        <v>8000</v>
      </c>
      <c r="H91" s="68">
        <f t="shared" si="18"/>
        <v>1500</v>
      </c>
      <c r="I91" s="68">
        <f>SUM(I83:I90)</f>
        <v>331535.26250000001</v>
      </c>
      <c r="J91" s="10"/>
      <c r="K91" s="10"/>
    </row>
    <row r="92" spans="1:11" x14ac:dyDescent="0.25">
      <c r="A92" s="69" t="s">
        <v>87</v>
      </c>
      <c r="B92" s="61"/>
      <c r="C92" s="61"/>
      <c r="D92" s="61"/>
      <c r="E92" s="61"/>
      <c r="F92" s="61"/>
      <c r="G92" s="61"/>
      <c r="H92" s="61"/>
      <c r="I92" s="62"/>
      <c r="J92" s="10"/>
      <c r="K92" s="10"/>
    </row>
    <row r="93" spans="1:11" x14ac:dyDescent="0.25">
      <c r="A93" s="40" t="s">
        <v>88</v>
      </c>
      <c r="B93" s="7"/>
      <c r="C93" s="7"/>
      <c r="D93" s="7"/>
      <c r="E93" s="7"/>
      <c r="F93" s="7"/>
      <c r="G93" s="7"/>
      <c r="H93" s="7"/>
      <c r="I93" s="7">
        <f t="shared" si="15"/>
        <v>0</v>
      </c>
      <c r="J93" s="19"/>
    </row>
    <row r="94" spans="1:11" x14ac:dyDescent="0.25">
      <c r="A94" s="40" t="s">
        <v>89</v>
      </c>
      <c r="B94" s="14"/>
      <c r="C94" s="14"/>
      <c r="D94" s="14"/>
      <c r="E94" s="14"/>
      <c r="F94" s="14"/>
      <c r="G94" s="14"/>
      <c r="H94" s="14"/>
      <c r="I94" s="7">
        <f t="shared" si="15"/>
        <v>0</v>
      </c>
      <c r="J94" s="19"/>
    </row>
    <row r="95" spans="1:11" x14ac:dyDescent="0.25">
      <c r="A95" s="40" t="s">
        <v>90</v>
      </c>
      <c r="B95" s="47">
        <v>25515</v>
      </c>
      <c r="C95" s="47"/>
      <c r="D95" s="47"/>
      <c r="E95" s="47"/>
      <c r="F95" s="47"/>
      <c r="G95" s="47"/>
      <c r="H95" s="47"/>
      <c r="I95" s="47">
        <f t="shared" si="15"/>
        <v>25515</v>
      </c>
      <c r="J95" s="19"/>
    </row>
    <row r="96" spans="1:11" x14ac:dyDescent="0.25">
      <c r="A96" s="40" t="s">
        <v>91</v>
      </c>
      <c r="B96" s="47"/>
      <c r="C96" s="47"/>
      <c r="D96" s="47"/>
      <c r="E96" s="47"/>
      <c r="F96" s="47"/>
      <c r="G96" s="47"/>
      <c r="H96" s="47"/>
      <c r="I96" s="47">
        <f t="shared" si="15"/>
        <v>0</v>
      </c>
      <c r="J96" s="19"/>
    </row>
    <row r="97" spans="1:11" x14ac:dyDescent="0.25">
      <c r="A97" s="67" t="s">
        <v>92</v>
      </c>
      <c r="B97" s="68">
        <f>SUM(B93:B96)</f>
        <v>25515</v>
      </c>
      <c r="C97" s="68">
        <f t="shared" ref="C97:H97" si="19">SUM(C93:C96)</f>
        <v>0</v>
      </c>
      <c r="D97" s="68">
        <f t="shared" si="19"/>
        <v>0</v>
      </c>
      <c r="E97" s="68"/>
      <c r="F97" s="68"/>
      <c r="G97" s="68"/>
      <c r="H97" s="68">
        <f t="shared" si="19"/>
        <v>0</v>
      </c>
      <c r="I97" s="68">
        <f>SUM(I93:I96)</f>
        <v>25515</v>
      </c>
      <c r="J97" s="10"/>
      <c r="K97" s="10"/>
    </row>
    <row r="98" spans="1:11" x14ac:dyDescent="0.25">
      <c r="A98" s="74" t="s">
        <v>93</v>
      </c>
      <c r="B98" s="75">
        <f>B81+B91+B97</f>
        <v>1973664.5424999997</v>
      </c>
      <c r="C98" s="75">
        <f t="shared" ref="C98:I98" si="20">C81+C91+C97</f>
        <v>119838.66666666666</v>
      </c>
      <c r="D98" s="75">
        <f t="shared" si="20"/>
        <v>214812</v>
      </c>
      <c r="E98" s="75">
        <f t="shared" si="20"/>
        <v>0</v>
      </c>
      <c r="F98" s="75">
        <f t="shared" si="20"/>
        <v>27000</v>
      </c>
      <c r="G98" s="75">
        <f t="shared" si="20"/>
        <v>8000</v>
      </c>
      <c r="H98" s="75">
        <f t="shared" si="20"/>
        <v>1500</v>
      </c>
      <c r="I98" s="75">
        <f t="shared" si="20"/>
        <v>2344815.2091666665</v>
      </c>
      <c r="J98" s="10"/>
      <c r="K98" s="10"/>
    </row>
    <row r="99" spans="1:11" x14ac:dyDescent="0.25">
      <c r="A99" s="69" t="s">
        <v>94</v>
      </c>
      <c r="B99" s="61"/>
      <c r="C99" s="61"/>
      <c r="D99" s="61"/>
      <c r="E99" s="61"/>
      <c r="F99" s="61"/>
      <c r="G99" s="61"/>
      <c r="H99" s="61"/>
      <c r="I99" s="62"/>
      <c r="J99" s="10"/>
      <c r="K99" s="10"/>
    </row>
    <row r="100" spans="1:11" x14ac:dyDescent="0.25">
      <c r="A100" s="40" t="s">
        <v>95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f>SUM(B100:H100)</f>
        <v>0</v>
      </c>
      <c r="J100" s="19"/>
      <c r="K100" s="10"/>
    </row>
    <row r="101" spans="1:11" x14ac:dyDescent="0.25">
      <c r="A101" s="40" t="s">
        <v>96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7">
        <f t="shared" ref="I101:I103" si="21">SUM(B101:H101)</f>
        <v>0</v>
      </c>
      <c r="J101" s="19"/>
      <c r="K101" s="10"/>
    </row>
    <row r="102" spans="1:11" x14ac:dyDescent="0.25">
      <c r="A102" s="40"/>
      <c r="B102" s="47"/>
      <c r="C102" s="47"/>
      <c r="D102" s="47"/>
      <c r="E102" s="47"/>
      <c r="F102" s="47"/>
      <c r="G102" s="47"/>
      <c r="H102" s="47"/>
      <c r="I102" s="7">
        <f t="shared" si="21"/>
        <v>0</v>
      </c>
      <c r="J102" s="19"/>
      <c r="K102" s="10"/>
    </row>
    <row r="103" spans="1:11" x14ac:dyDescent="0.25">
      <c r="A103" s="40"/>
      <c r="B103" s="47"/>
      <c r="C103" s="47"/>
      <c r="D103" s="47"/>
      <c r="E103" s="47"/>
      <c r="F103" s="47"/>
      <c r="G103" s="47"/>
      <c r="H103" s="47"/>
      <c r="I103" s="7">
        <f t="shared" si="21"/>
        <v>0</v>
      </c>
      <c r="J103" s="19"/>
      <c r="K103" s="10"/>
    </row>
    <row r="104" spans="1:11" x14ac:dyDescent="0.25">
      <c r="A104" s="67" t="s">
        <v>97</v>
      </c>
      <c r="B104" s="68">
        <f>SUM(B100:B103)</f>
        <v>0</v>
      </c>
      <c r="C104" s="68">
        <f t="shared" ref="C104:I104" si="22">SUM(C100:C103)</f>
        <v>0</v>
      </c>
      <c r="D104" s="68">
        <f t="shared" si="22"/>
        <v>0</v>
      </c>
      <c r="E104" s="68">
        <f t="shared" si="22"/>
        <v>0</v>
      </c>
      <c r="F104" s="68">
        <f t="shared" si="22"/>
        <v>0</v>
      </c>
      <c r="G104" s="68">
        <f t="shared" si="22"/>
        <v>0</v>
      </c>
      <c r="H104" s="68">
        <f t="shared" si="22"/>
        <v>0</v>
      </c>
      <c r="I104" s="68">
        <f t="shared" si="22"/>
        <v>0</v>
      </c>
      <c r="J104" s="10"/>
      <c r="K104" s="10"/>
    </row>
    <row r="105" spans="1:11" ht="15.75" thickBot="1" x14ac:dyDescent="0.3">
      <c r="A105" s="40"/>
      <c r="B105" s="54"/>
      <c r="C105" s="54"/>
      <c r="D105" s="54"/>
      <c r="E105" s="54"/>
      <c r="F105" s="54"/>
      <c r="G105" s="54"/>
      <c r="H105" s="54"/>
      <c r="I105" s="54"/>
      <c r="J105" s="10"/>
      <c r="K105" s="10"/>
    </row>
    <row r="106" spans="1:11" ht="15.75" thickBot="1" x14ac:dyDescent="0.3">
      <c r="A106" s="76" t="s">
        <v>98</v>
      </c>
      <c r="B106" s="77" t="str">
        <f>B1</f>
        <v>Operating</v>
      </c>
      <c r="C106" s="77" t="str">
        <f>C1</f>
        <v>SPED</v>
      </c>
      <c r="D106" s="77" t="str">
        <f>D1</f>
        <v>NSLP</v>
      </c>
      <c r="E106" s="77" t="str">
        <f>E1</f>
        <v>Other</v>
      </c>
      <c r="F106" s="77" t="str">
        <f t="shared" ref="F106:G106" si="23">F1</f>
        <v>Title I</v>
      </c>
      <c r="G106" s="77" t="str">
        <f t="shared" si="23"/>
        <v>Title II</v>
      </c>
      <c r="H106" s="77" t="str">
        <f>H1</f>
        <v>Title III</v>
      </c>
      <c r="I106" s="77" t="str">
        <f>I1</f>
        <v>Total (23-24)</v>
      </c>
      <c r="J106" s="10"/>
      <c r="K106" s="10"/>
    </row>
    <row r="107" spans="1:11" x14ac:dyDescent="0.25">
      <c r="A107" s="60" t="s">
        <v>99</v>
      </c>
      <c r="B107" s="61"/>
      <c r="C107" s="61"/>
      <c r="D107" s="61"/>
      <c r="E107" s="61"/>
      <c r="F107" s="61"/>
      <c r="G107" s="61"/>
      <c r="H107" s="61"/>
      <c r="I107" s="62"/>
      <c r="J107" s="10"/>
      <c r="K107" s="10"/>
    </row>
    <row r="108" spans="1:11" x14ac:dyDescent="0.25">
      <c r="A108" s="34" t="s">
        <v>349</v>
      </c>
      <c r="B108" s="14">
        <f>'26-27'!B108*1.02</f>
        <v>0</v>
      </c>
      <c r="C108" s="14">
        <f>'26-27'!C108*1.02</f>
        <v>0</v>
      </c>
      <c r="D108" s="7"/>
      <c r="E108" s="7"/>
      <c r="F108" s="7"/>
      <c r="G108" s="7"/>
      <c r="H108" s="7"/>
      <c r="I108" s="7">
        <f t="shared" ref="I108:I122" si="24">SUM(B108:H108)</f>
        <v>0</v>
      </c>
      <c r="J108" s="19"/>
    </row>
    <row r="109" spans="1:11" x14ac:dyDescent="0.25">
      <c r="A109" s="34" t="s">
        <v>348</v>
      </c>
      <c r="B109" s="14">
        <f>'26-27'!B109*1.02</f>
        <v>120234.86640000003</v>
      </c>
      <c r="C109" s="14"/>
      <c r="D109" s="7"/>
      <c r="E109" s="7"/>
      <c r="F109" s="7"/>
      <c r="G109" s="7"/>
      <c r="H109" s="7"/>
      <c r="I109" s="7">
        <f t="shared" si="24"/>
        <v>120234.86640000003</v>
      </c>
      <c r="J109" s="19"/>
    </row>
    <row r="110" spans="1:11" x14ac:dyDescent="0.25">
      <c r="A110" s="40" t="s">
        <v>100</v>
      </c>
      <c r="B110" s="14">
        <f>'26-27'!B110*1.02</f>
        <v>0</v>
      </c>
      <c r="C110" s="14">
        <f>'26-27'!C110*1.02</f>
        <v>0</v>
      </c>
      <c r="D110" s="7"/>
      <c r="E110" s="7"/>
      <c r="F110" s="7"/>
      <c r="G110" s="7"/>
      <c r="H110" s="7"/>
      <c r="I110" s="7">
        <f t="shared" si="24"/>
        <v>0</v>
      </c>
      <c r="J110" s="19"/>
    </row>
    <row r="111" spans="1:11" x14ac:dyDescent="0.25">
      <c r="A111" s="40" t="s">
        <v>45</v>
      </c>
      <c r="B111" s="14">
        <f>'26-27'!B111*1.02</f>
        <v>0</v>
      </c>
      <c r="C111" s="14">
        <f>'26-27'!C111*1.02</f>
        <v>0</v>
      </c>
      <c r="D111" s="7"/>
      <c r="E111" s="7">
        <v>0</v>
      </c>
      <c r="F111" s="7"/>
      <c r="G111" s="7"/>
      <c r="H111" s="7"/>
      <c r="I111" s="7">
        <f t="shared" si="24"/>
        <v>0</v>
      </c>
      <c r="J111" s="19"/>
    </row>
    <row r="112" spans="1:11" x14ac:dyDescent="0.25">
      <c r="A112" s="43" t="s">
        <v>46</v>
      </c>
      <c r="B112" s="14">
        <f>'26-27'!B112*1.02</f>
        <v>0</v>
      </c>
      <c r="C112" s="14">
        <f>'26-27'!C112*1.02</f>
        <v>0</v>
      </c>
      <c r="D112" s="7"/>
      <c r="E112" s="7"/>
      <c r="F112" s="7"/>
      <c r="G112" s="7"/>
      <c r="H112" s="7"/>
      <c r="I112" s="7">
        <f>SUM(B112:H112)</f>
        <v>0</v>
      </c>
      <c r="J112" s="19"/>
    </row>
    <row r="113" spans="1:11" x14ac:dyDescent="0.25">
      <c r="A113" s="43" t="s">
        <v>47</v>
      </c>
      <c r="B113" s="14">
        <v>0</v>
      </c>
      <c r="C113" s="14">
        <f>'26-27'!C113*1.02</f>
        <v>0</v>
      </c>
      <c r="D113" s="7"/>
      <c r="E113" s="7"/>
      <c r="F113" s="7"/>
      <c r="G113" s="7"/>
      <c r="H113" s="7"/>
      <c r="I113" s="7">
        <f>SUM(B113:H113)</f>
        <v>0</v>
      </c>
      <c r="J113" s="19"/>
    </row>
    <row r="114" spans="1:11" x14ac:dyDescent="0.25">
      <c r="A114" s="40" t="s">
        <v>345</v>
      </c>
      <c r="B114" s="14">
        <f>'26-27'!B114*1.02</f>
        <v>54652.212</v>
      </c>
      <c r="C114" s="14">
        <f>'26-27'!C114*1.02</f>
        <v>0</v>
      </c>
      <c r="D114" s="7"/>
      <c r="E114" s="7"/>
      <c r="F114" s="7"/>
      <c r="G114" s="7"/>
      <c r="H114" s="7"/>
      <c r="I114" s="7">
        <f>SUM(B114:H114)</f>
        <v>54652.212</v>
      </c>
      <c r="J114" s="19"/>
    </row>
    <row r="115" spans="1:11" x14ac:dyDescent="0.25">
      <c r="A115" s="40" t="s">
        <v>101</v>
      </c>
      <c r="B115" s="14">
        <f>'26-27'!B115*1.02</f>
        <v>0</v>
      </c>
      <c r="C115" s="14">
        <f>'26-27'!C115*1.02</f>
        <v>0</v>
      </c>
      <c r="D115" s="7"/>
      <c r="E115" s="7"/>
      <c r="F115" s="7"/>
      <c r="G115" s="7"/>
      <c r="H115" s="7"/>
      <c r="I115" s="7">
        <f t="shared" si="24"/>
        <v>0</v>
      </c>
      <c r="J115" s="19"/>
    </row>
    <row r="116" spans="1:11" x14ac:dyDescent="0.25">
      <c r="A116" s="40" t="s">
        <v>102</v>
      </c>
      <c r="B116" s="14">
        <f>60000*B36</f>
        <v>480000</v>
      </c>
      <c r="C116" s="7"/>
      <c r="D116" s="7"/>
      <c r="E116" s="7"/>
      <c r="F116" s="7"/>
      <c r="G116" s="7"/>
      <c r="H116" s="7"/>
      <c r="I116" s="7">
        <f t="shared" si="24"/>
        <v>480000</v>
      </c>
      <c r="J116" s="19">
        <f>I116/B36</f>
        <v>60000</v>
      </c>
    </row>
    <row r="117" spans="1:11" x14ac:dyDescent="0.25">
      <c r="A117" s="40" t="s">
        <v>34</v>
      </c>
      <c r="B117" s="7"/>
      <c r="C117" s="7">
        <f>60000*I28</f>
        <v>60000</v>
      </c>
      <c r="D117" s="7"/>
      <c r="E117" s="7"/>
      <c r="F117" s="7"/>
      <c r="G117" s="7"/>
      <c r="H117" s="7"/>
      <c r="I117" s="7">
        <f t="shared" si="24"/>
        <v>60000</v>
      </c>
      <c r="J117" s="19"/>
    </row>
    <row r="118" spans="1:11" x14ac:dyDescent="0.25">
      <c r="A118" s="40" t="s">
        <v>103</v>
      </c>
      <c r="B118" s="14">
        <f>'26-27'!B118*1.02</f>
        <v>86971.344088320009</v>
      </c>
      <c r="C118" s="7"/>
      <c r="D118" s="7"/>
      <c r="E118" s="7"/>
      <c r="F118" s="7"/>
      <c r="G118" s="7"/>
      <c r="H118" s="7"/>
      <c r="I118" s="7">
        <f t="shared" si="24"/>
        <v>86971.344088320009</v>
      </c>
      <c r="J118" s="19"/>
    </row>
    <row r="119" spans="1:11" x14ac:dyDescent="0.25">
      <c r="A119" s="40" t="s">
        <v>104</v>
      </c>
      <c r="B119" s="14">
        <f>(17.5*8*190)*(B50+B49)</f>
        <v>0</v>
      </c>
      <c r="C119" s="7"/>
      <c r="D119" s="7"/>
      <c r="E119" s="7"/>
      <c r="F119" s="7"/>
      <c r="G119" s="7"/>
      <c r="H119" s="7"/>
      <c r="I119" s="7">
        <f t="shared" si="24"/>
        <v>0</v>
      </c>
      <c r="J119" s="19"/>
    </row>
    <row r="120" spans="1:11" x14ac:dyDescent="0.25">
      <c r="A120" s="40" t="s">
        <v>105</v>
      </c>
      <c r="B120" s="14">
        <f t="shared" ref="B120:E120" si="25">(15.5*8*180)*B51</f>
        <v>0</v>
      </c>
      <c r="C120" s="14">
        <f>(17*8*180)*C51</f>
        <v>0</v>
      </c>
      <c r="D120" s="14">
        <f t="shared" si="25"/>
        <v>0</v>
      </c>
      <c r="E120" s="14">
        <f t="shared" si="25"/>
        <v>0</v>
      </c>
      <c r="F120" s="14">
        <f>(16*8*180)*F51</f>
        <v>23040</v>
      </c>
      <c r="G120" s="7"/>
      <c r="H120" s="7"/>
      <c r="I120" s="7">
        <f t="shared" si="24"/>
        <v>23040</v>
      </c>
      <c r="J120" s="19"/>
    </row>
    <row r="121" spans="1:11" x14ac:dyDescent="0.25">
      <c r="A121" s="40" t="s">
        <v>106</v>
      </c>
      <c r="B121" s="14">
        <f>(17.75*8*210)*B52</f>
        <v>0</v>
      </c>
      <c r="C121" s="7"/>
      <c r="D121" s="7"/>
      <c r="E121" s="7"/>
      <c r="F121" s="7"/>
      <c r="G121" s="7"/>
      <c r="H121" s="7"/>
      <c r="I121" s="7">
        <f t="shared" si="24"/>
        <v>0</v>
      </c>
      <c r="J121" s="19"/>
    </row>
    <row r="122" spans="1:11" x14ac:dyDescent="0.25">
      <c r="A122" s="40" t="s">
        <v>55</v>
      </c>
      <c r="B122" s="7"/>
      <c r="C122" s="7"/>
      <c r="D122" s="7"/>
      <c r="E122" s="7"/>
      <c r="F122" s="7"/>
      <c r="G122" s="7"/>
      <c r="H122" s="7"/>
      <c r="I122" s="7">
        <f t="shared" si="24"/>
        <v>0</v>
      </c>
      <c r="J122" s="19"/>
    </row>
    <row r="123" spans="1:11" x14ac:dyDescent="0.25">
      <c r="A123" s="78" t="s">
        <v>107</v>
      </c>
      <c r="B123" s="79">
        <f>SUM(B108:B122)</f>
        <v>741858.42248832004</v>
      </c>
      <c r="C123" s="79">
        <f t="shared" ref="C123:D123" si="26">SUM(C108:C122)</f>
        <v>60000</v>
      </c>
      <c r="D123" s="79">
        <f t="shared" si="26"/>
        <v>0</v>
      </c>
      <c r="E123" s="79">
        <f t="shared" ref="E123:H123" si="27">SUM(E108:E122)</f>
        <v>0</v>
      </c>
      <c r="F123" s="79">
        <f t="shared" si="27"/>
        <v>23040</v>
      </c>
      <c r="G123" s="79">
        <f t="shared" si="27"/>
        <v>0</v>
      </c>
      <c r="H123" s="79">
        <f t="shared" si="27"/>
        <v>0</v>
      </c>
      <c r="I123" s="79">
        <f>SUM(I108:I122)</f>
        <v>824898.42248832004</v>
      </c>
      <c r="J123" s="10"/>
      <c r="K123" s="10"/>
    </row>
    <row r="124" spans="1:11" x14ac:dyDescent="0.25">
      <c r="A124" s="80" t="s">
        <v>108</v>
      </c>
      <c r="B124" s="61"/>
      <c r="C124" s="61"/>
      <c r="D124" s="61"/>
      <c r="E124" s="61"/>
      <c r="F124" s="61"/>
      <c r="G124" s="61"/>
      <c r="H124" s="61"/>
      <c r="I124" s="62"/>
      <c r="J124" s="10"/>
      <c r="K124" s="10"/>
    </row>
    <row r="125" spans="1:11" x14ac:dyDescent="0.25">
      <c r="A125" s="40" t="s">
        <v>57</v>
      </c>
      <c r="B125" s="7">
        <v>0</v>
      </c>
      <c r="C125" s="7"/>
      <c r="D125" s="7"/>
      <c r="E125" s="7"/>
      <c r="F125" s="7"/>
      <c r="G125" s="7"/>
      <c r="H125" s="7"/>
      <c r="I125" s="35">
        <f t="shared" ref="I125:I132" si="28">SUM(B125:H125)</f>
        <v>0</v>
      </c>
      <c r="J125" s="19"/>
    </row>
    <row r="126" spans="1:11" x14ac:dyDescent="0.25">
      <c r="A126" s="40" t="s">
        <v>58</v>
      </c>
      <c r="B126" s="7">
        <v>0</v>
      </c>
      <c r="C126" s="7"/>
      <c r="D126" s="7"/>
      <c r="E126" s="7"/>
      <c r="F126" s="7"/>
      <c r="G126" s="7"/>
      <c r="H126" s="7"/>
      <c r="I126" s="35">
        <f t="shared" si="28"/>
        <v>0</v>
      </c>
      <c r="J126" s="19"/>
    </row>
    <row r="127" spans="1:11" x14ac:dyDescent="0.25">
      <c r="A127" s="40" t="s">
        <v>59</v>
      </c>
      <c r="B127" s="7">
        <v>0</v>
      </c>
      <c r="C127" s="7"/>
      <c r="D127" s="7"/>
      <c r="E127" s="7"/>
      <c r="F127" s="7"/>
      <c r="G127" s="7"/>
      <c r="H127" s="7"/>
      <c r="I127" s="7">
        <f t="shared" si="28"/>
        <v>0</v>
      </c>
      <c r="J127" s="19"/>
    </row>
    <row r="128" spans="1:11" x14ac:dyDescent="0.25">
      <c r="A128" s="40" t="s">
        <v>109</v>
      </c>
      <c r="B128" s="7">
        <v>0</v>
      </c>
      <c r="C128" s="7"/>
      <c r="D128" s="7"/>
      <c r="E128" s="7"/>
      <c r="F128" s="7"/>
      <c r="G128" s="7"/>
      <c r="H128" s="7"/>
      <c r="I128" s="35">
        <f t="shared" si="28"/>
        <v>0</v>
      </c>
      <c r="J128" s="19"/>
    </row>
    <row r="129" spans="1:11" x14ac:dyDescent="0.25">
      <c r="A129" s="40" t="s">
        <v>61</v>
      </c>
      <c r="B129" s="7">
        <v>0</v>
      </c>
      <c r="C129" s="7"/>
      <c r="D129" s="7"/>
      <c r="E129" s="7"/>
      <c r="F129" s="7"/>
      <c r="G129" s="7"/>
      <c r="H129" s="7"/>
      <c r="I129" s="35">
        <f t="shared" si="28"/>
        <v>0</v>
      </c>
      <c r="J129" s="19"/>
    </row>
    <row r="130" spans="1:11" x14ac:dyDescent="0.25">
      <c r="A130" s="40" t="s">
        <v>256</v>
      </c>
      <c r="B130" s="7">
        <v>0</v>
      </c>
      <c r="C130" s="7"/>
      <c r="D130" s="7"/>
      <c r="E130" s="7"/>
      <c r="F130" s="7"/>
      <c r="G130" s="7"/>
      <c r="H130" s="7"/>
      <c r="I130" s="35">
        <f t="shared" si="28"/>
        <v>0</v>
      </c>
      <c r="J130" s="19"/>
    </row>
    <row r="131" spans="1:11" x14ac:dyDescent="0.25">
      <c r="A131" s="40" t="s">
        <v>110</v>
      </c>
      <c r="B131" s="7">
        <f>(12.5*6*185)*B53</f>
        <v>0</v>
      </c>
      <c r="C131" s="7">
        <f>(12.5*6*185)*C53</f>
        <v>0</v>
      </c>
      <c r="D131" s="7">
        <f>(18*8*180)*D53</f>
        <v>25920</v>
      </c>
      <c r="E131" s="7"/>
      <c r="F131" s="7"/>
      <c r="G131" s="7"/>
      <c r="H131" s="7">
        <f>(13.75*8*180)*H53</f>
        <v>0</v>
      </c>
      <c r="I131" s="7">
        <f>SUM(B131:H131)</f>
        <v>25920</v>
      </c>
      <c r="J131" s="19"/>
    </row>
    <row r="132" spans="1:11" x14ac:dyDescent="0.25">
      <c r="A132" s="40" t="s">
        <v>62</v>
      </c>
      <c r="B132" s="47">
        <v>0</v>
      </c>
      <c r="C132" s="7"/>
      <c r="D132" s="7"/>
      <c r="E132" s="7"/>
      <c r="F132" s="7"/>
      <c r="G132" s="7">
        <v>0</v>
      </c>
      <c r="H132" s="7"/>
      <c r="I132" s="35">
        <f t="shared" si="28"/>
        <v>0</v>
      </c>
      <c r="J132" s="19"/>
    </row>
    <row r="133" spans="1:11" x14ac:dyDescent="0.25">
      <c r="A133" s="81" t="s">
        <v>111</v>
      </c>
      <c r="B133" s="82">
        <f>SUM(B125:B132)</f>
        <v>0</v>
      </c>
      <c r="C133" s="82">
        <f>SUM(C125:C132)</f>
        <v>0</v>
      </c>
      <c r="D133" s="82">
        <f>SUM(D125:D132)</f>
        <v>25920</v>
      </c>
      <c r="E133" s="82">
        <f>SUM(E125:E132)</f>
        <v>0</v>
      </c>
      <c r="F133" s="82">
        <f t="shared" ref="F133" si="29">SUM(F125:F132)</f>
        <v>0</v>
      </c>
      <c r="G133" s="82"/>
      <c r="H133" s="82">
        <f>SUM(H125:H132)</f>
        <v>0</v>
      </c>
      <c r="I133" s="82">
        <f>SUM(I125:I132)</f>
        <v>25920</v>
      </c>
      <c r="J133" s="25"/>
      <c r="K133" s="28"/>
    </row>
    <row r="134" spans="1:11" x14ac:dyDescent="0.25">
      <c r="A134" s="83" t="s">
        <v>112</v>
      </c>
      <c r="B134" s="84">
        <f>B123+B133</f>
        <v>741858.42248832004</v>
      </c>
      <c r="C134" s="84">
        <f>C123+C133</f>
        <v>60000</v>
      </c>
      <c r="D134" s="84">
        <f>D123+D133</f>
        <v>25920</v>
      </c>
      <c r="E134" s="84">
        <f>E123+E133</f>
        <v>0</v>
      </c>
      <c r="F134" s="84">
        <f t="shared" ref="F134:H134" si="30">F123+F133</f>
        <v>23040</v>
      </c>
      <c r="G134" s="84">
        <f t="shared" si="30"/>
        <v>0</v>
      </c>
      <c r="H134" s="84">
        <f t="shared" si="30"/>
        <v>0</v>
      </c>
      <c r="I134" s="84">
        <f>I123+I133</f>
        <v>850818.42248832004</v>
      </c>
      <c r="J134" s="28"/>
      <c r="K134" s="10"/>
    </row>
    <row r="135" spans="1:11" x14ac:dyDescent="0.25">
      <c r="A135" s="40" t="s">
        <v>113</v>
      </c>
      <c r="B135" s="64">
        <f>B134*0.335</f>
        <v>248522.57153358724</v>
      </c>
      <c r="C135" s="64">
        <f t="shared" ref="C135:F135" si="31">C134*0.335</f>
        <v>20100</v>
      </c>
      <c r="D135" s="64">
        <f t="shared" si="31"/>
        <v>8683.2000000000007</v>
      </c>
      <c r="E135" s="64">
        <f t="shared" si="31"/>
        <v>0</v>
      </c>
      <c r="F135" s="64">
        <f t="shared" si="31"/>
        <v>7718.4000000000005</v>
      </c>
      <c r="G135" s="64">
        <f t="shared" ref="G135:H135" si="32">G134*0.2975</f>
        <v>0</v>
      </c>
      <c r="H135" s="64">
        <f t="shared" si="32"/>
        <v>0</v>
      </c>
      <c r="I135" s="7">
        <f>SUM(B135:H135)</f>
        <v>285024.17153358727</v>
      </c>
      <c r="J135" s="85">
        <f>I135/I134</f>
        <v>0.33500000000000008</v>
      </c>
      <c r="K135" s="86"/>
    </row>
    <row r="136" spans="1:11" x14ac:dyDescent="0.25">
      <c r="A136" s="87" t="s">
        <v>114</v>
      </c>
      <c r="B136" s="14">
        <f>B134*0.1475</f>
        <v>109424.11731702719</v>
      </c>
      <c r="C136" s="14">
        <f t="shared" ref="C136:F136" si="33">C134*0.1475</f>
        <v>8850</v>
      </c>
      <c r="D136" s="14">
        <f t="shared" si="33"/>
        <v>3823.2</v>
      </c>
      <c r="E136" s="14">
        <f t="shared" si="33"/>
        <v>0</v>
      </c>
      <c r="F136" s="14">
        <f t="shared" si="33"/>
        <v>3398.3999999999996</v>
      </c>
      <c r="G136" s="14">
        <f t="shared" ref="G136:H136" si="34">(((6400*(G66*0.8))+((275*(G66*0.8)))+((60*(G66*0.8)))))+(G134*0.0145)+(G134*0.031)</f>
        <v>0</v>
      </c>
      <c r="H136" s="14">
        <f t="shared" si="34"/>
        <v>0</v>
      </c>
      <c r="I136" s="7">
        <f>SUM(B136:H136)</f>
        <v>125495.71731702719</v>
      </c>
      <c r="J136" s="85">
        <f>I136/I134</f>
        <v>0.14749999999999996</v>
      </c>
      <c r="K136" s="86"/>
    </row>
    <row r="137" spans="1:11" x14ac:dyDescent="0.25">
      <c r="A137" s="40" t="s">
        <v>115</v>
      </c>
      <c r="B137" s="7">
        <f>((1100*B36)+(2750*B39)+(2200*B41)+(1650*B42)+(1650*B43)+(1650*B44)+(1650*B45)+(1650*B46)+(1100*B47)+(1100*B48)+(500*B49)+(500*B50)+(500*B51)+(500*B52)+(500*B53)+(500*B54)+(1100*B55)+(1100*B56)+(1100*B57)+(1100*B58)+(1100*B59)+(1100*B60))*0.9</f>
        <v>11385</v>
      </c>
      <c r="C137" s="7">
        <f>((1100*C36)+(2750*C39)+(2200*C41)+(1650*C42)+(1650*C43)+(1650*C44)+(1650*C45)+(1650*C46)+(1100*C47)+(1100*C48)+(500*C49)+(500*C50)+(500*C51)+(500*C52)+(500*C53)+(500*C54)+(1100*C55)+(1100*C56)+(1100*C57)+(1100*C58)+(1100*C59)+(1100*C60))</f>
        <v>1100</v>
      </c>
      <c r="D137" s="7">
        <f t="shared" ref="D137" si="35">((1100*D36)+(2750*D39)+(2200*D41)+(1650*D42)+(1650*D43)+(1650*D44)+(1650*D45)+(1650*D46)+(1100*D47)+(1100*D48)+(500*D49)+(500*D50)+(500*D51)+(500*D52)+(500*D53)+(500*D54)+(1100*D55)+(1100*D56)+(1100*D57)+(1100*D58)+(1100*D59)+(1100*D60))*0.9</f>
        <v>450</v>
      </c>
      <c r="E137" s="7"/>
      <c r="F137" s="7"/>
      <c r="G137" s="7">
        <f t="shared" ref="G137:H137" si="36">((1000*G36)+(2000*G39)+(1750*G41)+(1500*G42)+(1500*G43)+(1500*G44)+(1000*G47)+(1000*G48)+(500*G49)+(500*G50)+(500*G51)+(500*G52)+(500*G53)+(500*G54)+(1000*G55)+(1000*G56)+(1000*G57)+(1000*G58)+(1000*G59)+(1000*G60))*0.7</f>
        <v>0</v>
      </c>
      <c r="H137" s="7">
        <f t="shared" si="36"/>
        <v>0</v>
      </c>
      <c r="I137" s="7">
        <f t="shared" ref="I137:I142" si="37">SUM(B137:H137)</f>
        <v>12935</v>
      </c>
      <c r="J137" s="19"/>
    </row>
    <row r="138" spans="1:11" x14ac:dyDescent="0.25">
      <c r="A138" s="87" t="s">
        <v>116</v>
      </c>
      <c r="B138" s="88">
        <f>125*B66+125*6</f>
        <v>2250</v>
      </c>
      <c r="C138" s="89">
        <f>125*C66</f>
        <v>125</v>
      </c>
      <c r="D138" s="89">
        <f t="shared" ref="D138:H138" si="38">125*D66</f>
        <v>125</v>
      </c>
      <c r="E138" s="89"/>
      <c r="F138" s="89"/>
      <c r="G138" s="89">
        <f t="shared" si="38"/>
        <v>0</v>
      </c>
      <c r="H138" s="89">
        <f t="shared" si="38"/>
        <v>0</v>
      </c>
      <c r="I138" s="7">
        <f t="shared" si="37"/>
        <v>2500</v>
      </c>
      <c r="J138" s="19"/>
    </row>
    <row r="139" spans="1:11" x14ac:dyDescent="0.25">
      <c r="A139" s="40" t="s">
        <v>117</v>
      </c>
      <c r="B139" s="7">
        <v>0</v>
      </c>
      <c r="C139" s="14"/>
      <c r="D139" s="14"/>
      <c r="E139" s="14"/>
      <c r="F139" s="14"/>
      <c r="G139" s="14"/>
      <c r="H139" s="14"/>
      <c r="I139" s="7">
        <f t="shared" si="37"/>
        <v>0</v>
      </c>
      <c r="J139" s="19"/>
    </row>
    <row r="140" spans="1:11" x14ac:dyDescent="0.25">
      <c r="A140" s="40" t="s">
        <v>118</v>
      </c>
      <c r="B140" s="7"/>
      <c r="C140" s="14"/>
      <c r="D140" s="14"/>
      <c r="E140" s="14"/>
      <c r="F140" s="14"/>
      <c r="G140" s="14"/>
      <c r="H140" s="14"/>
      <c r="I140" s="7">
        <f t="shared" si="37"/>
        <v>0</v>
      </c>
      <c r="J140" s="19"/>
    </row>
    <row r="141" spans="1:11" x14ac:dyDescent="0.25">
      <c r="A141" s="40" t="s">
        <v>119</v>
      </c>
      <c r="B141" s="14">
        <v>5000</v>
      </c>
      <c r="C141" s="14"/>
      <c r="D141" s="14"/>
      <c r="E141" s="14"/>
      <c r="F141" s="14"/>
      <c r="G141" s="14"/>
      <c r="H141" s="14"/>
      <c r="I141" s="7">
        <f t="shared" si="37"/>
        <v>5000</v>
      </c>
      <c r="J141" s="19"/>
    </row>
    <row r="142" spans="1:11" x14ac:dyDescent="0.25">
      <c r="A142" s="40" t="s">
        <v>120</v>
      </c>
      <c r="B142" s="47">
        <f>(185*11*B36)-B132</f>
        <v>16280</v>
      </c>
      <c r="C142" s="47">
        <f t="shared" ref="C142:G142" si="39">(185*11*C36)-C132</f>
        <v>2035</v>
      </c>
      <c r="D142" s="47">
        <f t="shared" si="39"/>
        <v>0</v>
      </c>
      <c r="E142" s="47">
        <f t="shared" si="39"/>
        <v>0</v>
      </c>
      <c r="F142" s="47">
        <f t="shared" si="39"/>
        <v>0</v>
      </c>
      <c r="G142" s="47">
        <f t="shared" si="39"/>
        <v>0</v>
      </c>
      <c r="H142" s="47">
        <f t="shared" ref="H142" si="40">(175*11*H36)-H132</f>
        <v>0</v>
      </c>
      <c r="I142" s="7">
        <f t="shared" si="37"/>
        <v>18315</v>
      </c>
      <c r="J142" s="19" t="s">
        <v>121</v>
      </c>
    </row>
    <row r="143" spans="1:11" x14ac:dyDescent="0.25">
      <c r="A143" s="91" t="s">
        <v>122</v>
      </c>
      <c r="B143" s="92">
        <f>SUM(B135:B142)</f>
        <v>392861.68885061442</v>
      </c>
      <c r="C143" s="92">
        <f t="shared" ref="C143:H143" si="41">SUM(C135:C142)</f>
        <v>32210</v>
      </c>
      <c r="D143" s="92">
        <f t="shared" si="41"/>
        <v>13081.400000000001</v>
      </c>
      <c r="E143" s="92">
        <f t="shared" si="41"/>
        <v>0</v>
      </c>
      <c r="F143" s="92">
        <f t="shared" si="41"/>
        <v>11116.8</v>
      </c>
      <c r="G143" s="92">
        <f t="shared" si="41"/>
        <v>0</v>
      </c>
      <c r="H143" s="92">
        <f t="shared" si="41"/>
        <v>0</v>
      </c>
      <c r="I143" s="92">
        <f>SUM(I135:I142)</f>
        <v>449269.88885061443</v>
      </c>
      <c r="J143" s="10"/>
      <c r="K143" s="10"/>
    </row>
    <row r="144" spans="1:11" x14ac:dyDescent="0.25">
      <c r="A144" s="83" t="s">
        <v>123</v>
      </c>
      <c r="B144" s="84">
        <f>B134+B143</f>
        <v>1134720.1113389344</v>
      </c>
      <c r="C144" s="84">
        <f>C134+C143</f>
        <v>92210</v>
      </c>
      <c r="D144" s="84">
        <f>D134+D143</f>
        <v>39001.4</v>
      </c>
      <c r="E144" s="84">
        <f>E134+E143</f>
        <v>0</v>
      </c>
      <c r="F144" s="84">
        <f t="shared" ref="F144:G144" si="42">F134+F143</f>
        <v>34156.800000000003</v>
      </c>
      <c r="G144" s="84">
        <f t="shared" si="42"/>
        <v>0</v>
      </c>
      <c r="H144" s="84">
        <f>H134+H143</f>
        <v>0</v>
      </c>
      <c r="I144" s="84">
        <f>I134+I143</f>
        <v>1300088.3113389346</v>
      </c>
      <c r="J144" s="10"/>
      <c r="K144" s="10"/>
    </row>
    <row r="145" spans="1:11" x14ac:dyDescent="0.25">
      <c r="A145" s="93" t="s">
        <v>124</v>
      </c>
      <c r="B145" s="24" t="str">
        <f>B1</f>
        <v>Operating</v>
      </c>
      <c r="C145" s="24" t="str">
        <f>C1</f>
        <v>SPED</v>
      </c>
      <c r="D145" s="24" t="str">
        <f>D1</f>
        <v>NSLP</v>
      </c>
      <c r="E145" s="24" t="str">
        <f>E1</f>
        <v>Other</v>
      </c>
      <c r="F145" s="24" t="str">
        <f t="shared" ref="F145:G145" si="43">F1</f>
        <v>Title I</v>
      </c>
      <c r="G145" s="24" t="str">
        <f t="shared" si="43"/>
        <v>Title II</v>
      </c>
      <c r="H145" s="24" t="str">
        <f>H1</f>
        <v>Title III</v>
      </c>
      <c r="I145" s="24" t="str">
        <f>I1</f>
        <v>Total (23-24)</v>
      </c>
      <c r="J145" s="10"/>
      <c r="K145" s="10"/>
    </row>
    <row r="146" spans="1:11" x14ac:dyDescent="0.25">
      <c r="A146" s="94" t="s">
        <v>125</v>
      </c>
      <c r="B146" s="7">
        <f>205*B17</f>
        <v>36900</v>
      </c>
      <c r="C146" s="14"/>
      <c r="D146" s="14"/>
      <c r="E146" s="14"/>
      <c r="F146" s="14"/>
      <c r="G146" s="14"/>
      <c r="H146" s="14"/>
      <c r="I146" s="7">
        <f t="shared" ref="I146:I154" si="44">SUM(B146:H146)</f>
        <v>36900</v>
      </c>
      <c r="J146" s="8" t="s">
        <v>126</v>
      </c>
    </row>
    <row r="147" spans="1:11" x14ac:dyDescent="0.25">
      <c r="A147" s="95" t="s">
        <v>127</v>
      </c>
      <c r="B147" s="7">
        <f>500*B16</f>
        <v>7500</v>
      </c>
      <c r="C147" s="14"/>
      <c r="D147" s="14"/>
      <c r="E147" s="14"/>
      <c r="F147" s="14"/>
      <c r="G147" s="14"/>
      <c r="H147" s="14"/>
      <c r="I147" s="7">
        <f t="shared" si="44"/>
        <v>7500</v>
      </c>
      <c r="J147" s="19"/>
    </row>
    <row r="148" spans="1:11" x14ac:dyDescent="0.25">
      <c r="A148" s="40" t="s">
        <v>128</v>
      </c>
      <c r="B148" s="14">
        <v>0</v>
      </c>
      <c r="C148" s="14"/>
      <c r="D148" s="14"/>
      <c r="E148" s="14"/>
      <c r="F148" s="14"/>
      <c r="G148" s="14"/>
      <c r="H148" s="14"/>
      <c r="I148" s="7">
        <f t="shared" si="44"/>
        <v>0</v>
      </c>
      <c r="J148" s="19"/>
    </row>
    <row r="149" spans="1:11" x14ac:dyDescent="0.25">
      <c r="A149" s="40" t="s">
        <v>129</v>
      </c>
      <c r="B149" s="7">
        <f>30*B17</f>
        <v>5400</v>
      </c>
      <c r="C149" s="14"/>
      <c r="D149" s="14"/>
      <c r="E149" s="14"/>
      <c r="F149" s="14"/>
      <c r="G149" s="14"/>
      <c r="H149" s="14"/>
      <c r="I149" s="7">
        <f t="shared" si="44"/>
        <v>5400</v>
      </c>
      <c r="J149" s="8" t="s">
        <v>130</v>
      </c>
    </row>
    <row r="150" spans="1:11" x14ac:dyDescent="0.25">
      <c r="A150" s="40" t="s">
        <v>131</v>
      </c>
      <c r="B150" s="7">
        <f>40*B17</f>
        <v>7200</v>
      </c>
      <c r="C150" s="14"/>
      <c r="D150" s="14"/>
      <c r="E150" s="14"/>
      <c r="F150" s="14"/>
      <c r="G150" s="14"/>
      <c r="H150" s="14"/>
      <c r="I150" s="7">
        <f t="shared" si="44"/>
        <v>7200</v>
      </c>
      <c r="J150" s="8" t="s">
        <v>132</v>
      </c>
    </row>
    <row r="151" spans="1:11" x14ac:dyDescent="0.25">
      <c r="A151" s="40" t="s">
        <v>133</v>
      </c>
      <c r="B151" s="7">
        <f>10*B17</f>
        <v>1800</v>
      </c>
      <c r="C151" s="14"/>
      <c r="D151" s="14"/>
      <c r="E151" s="14"/>
      <c r="F151" s="14"/>
      <c r="G151" s="14"/>
      <c r="H151" s="14"/>
      <c r="I151" s="7">
        <f t="shared" si="44"/>
        <v>1800</v>
      </c>
      <c r="J151" s="8" t="s">
        <v>134</v>
      </c>
    </row>
    <row r="152" spans="1:11" x14ac:dyDescent="0.25">
      <c r="A152" s="40" t="s">
        <v>135</v>
      </c>
      <c r="B152" s="7">
        <f>8*B17</f>
        <v>1440</v>
      </c>
      <c r="C152" s="14"/>
      <c r="D152" s="14"/>
      <c r="E152" s="14"/>
      <c r="F152" s="14"/>
      <c r="G152" s="14"/>
      <c r="H152" s="14"/>
      <c r="I152" s="7">
        <f t="shared" si="44"/>
        <v>1440</v>
      </c>
      <c r="J152" s="8" t="s">
        <v>136</v>
      </c>
    </row>
    <row r="153" spans="1:11" x14ac:dyDescent="0.25">
      <c r="A153" s="40" t="s">
        <v>137</v>
      </c>
      <c r="B153" s="7">
        <f>129*B20</f>
        <v>0</v>
      </c>
      <c r="C153" s="14">
        <f>150*(C20)</f>
        <v>3399.9999999999995</v>
      </c>
      <c r="D153" s="14"/>
      <c r="E153" s="14"/>
      <c r="F153" s="14"/>
      <c r="G153" s="14"/>
      <c r="H153" s="14"/>
      <c r="I153" s="7">
        <f t="shared" si="44"/>
        <v>3399.9999999999995</v>
      </c>
      <c r="J153" s="8" t="s">
        <v>138</v>
      </c>
    </row>
    <row r="154" spans="1:11" x14ac:dyDescent="0.25">
      <c r="A154" s="40" t="s">
        <v>139</v>
      </c>
      <c r="B154" s="7">
        <v>15000</v>
      </c>
      <c r="C154" s="7"/>
      <c r="D154" s="7"/>
      <c r="E154" s="7"/>
      <c r="F154" s="7"/>
      <c r="G154" s="7"/>
      <c r="H154" s="7"/>
      <c r="I154" s="7">
        <f t="shared" si="44"/>
        <v>15000</v>
      </c>
      <c r="J154" s="19"/>
    </row>
    <row r="155" spans="1:11" x14ac:dyDescent="0.25">
      <c r="A155" s="96" t="s">
        <v>140</v>
      </c>
      <c r="B155" s="97">
        <f>B17*45</f>
        <v>8100</v>
      </c>
      <c r="C155" s="7"/>
      <c r="D155" s="7"/>
      <c r="E155" s="7"/>
      <c r="F155" s="7"/>
      <c r="G155" s="7"/>
      <c r="H155" s="7"/>
      <c r="I155" s="7">
        <f>SUM(B155:H155)</f>
        <v>8100</v>
      </c>
      <c r="J155" s="19" t="s">
        <v>141</v>
      </c>
    </row>
    <row r="156" spans="1:11" x14ac:dyDescent="0.25">
      <c r="A156" s="83" t="s">
        <v>142</v>
      </c>
      <c r="B156" s="84">
        <f>SUM(B146:B155)</f>
        <v>83340</v>
      </c>
      <c r="C156" s="84">
        <f t="shared" ref="C156:H156" si="45">SUM(C146:C155)</f>
        <v>3399.9999999999995</v>
      </c>
      <c r="D156" s="84">
        <f t="shared" si="45"/>
        <v>0</v>
      </c>
      <c r="E156" s="84">
        <f t="shared" si="45"/>
        <v>0</v>
      </c>
      <c r="F156" s="84">
        <f t="shared" si="45"/>
        <v>0</v>
      </c>
      <c r="G156" s="84">
        <f t="shared" si="45"/>
        <v>0</v>
      </c>
      <c r="H156" s="84">
        <f t="shared" si="45"/>
        <v>0</v>
      </c>
      <c r="I156" s="84">
        <f>SUM(I146:I155)</f>
        <v>86740</v>
      </c>
      <c r="J156" s="10"/>
      <c r="K156" s="10"/>
    </row>
    <row r="157" spans="1:11" x14ac:dyDescent="0.25">
      <c r="A157" s="93" t="s">
        <v>143</v>
      </c>
      <c r="B157" s="24" t="str">
        <f t="shared" ref="B157:I157" si="46">B1</f>
        <v>Operating</v>
      </c>
      <c r="C157" s="24" t="str">
        <f t="shared" si="46"/>
        <v>SPED</v>
      </c>
      <c r="D157" s="24" t="str">
        <f t="shared" si="46"/>
        <v>NSLP</v>
      </c>
      <c r="E157" s="24" t="str">
        <f t="shared" si="46"/>
        <v>Other</v>
      </c>
      <c r="F157" s="24" t="str">
        <f t="shared" si="46"/>
        <v>Title I</v>
      </c>
      <c r="G157" s="24" t="str">
        <f t="shared" si="46"/>
        <v>Title II</v>
      </c>
      <c r="H157" s="24" t="str">
        <f t="shared" si="46"/>
        <v>Title III</v>
      </c>
      <c r="I157" s="24" t="str">
        <f t="shared" si="46"/>
        <v>Total (23-24)</v>
      </c>
      <c r="J157" s="10"/>
      <c r="K157" s="10"/>
    </row>
    <row r="158" spans="1:11" x14ac:dyDescent="0.25">
      <c r="A158" s="40" t="s">
        <v>144</v>
      </c>
      <c r="B158" s="14">
        <f>12000*1.06</f>
        <v>12720</v>
      </c>
      <c r="C158" s="14"/>
      <c r="D158" s="14"/>
      <c r="E158" s="14"/>
      <c r="F158" s="14"/>
      <c r="G158" s="14"/>
      <c r="H158" s="14"/>
      <c r="I158" s="7">
        <f>SUM(B158:H158)</f>
        <v>12720</v>
      </c>
      <c r="J158" s="19"/>
    </row>
    <row r="159" spans="1:11" x14ac:dyDescent="0.25">
      <c r="A159" s="40" t="s">
        <v>145</v>
      </c>
      <c r="B159" s="14">
        <v>0</v>
      </c>
      <c r="C159" s="14">
        <f>490*B17</f>
        <v>88200</v>
      </c>
      <c r="D159" s="7"/>
      <c r="E159" s="7"/>
      <c r="F159" s="7"/>
      <c r="G159" s="7"/>
      <c r="H159" s="7"/>
      <c r="I159" s="7">
        <f t="shared" ref="I159:I171" si="47">SUM(B159:H159)</f>
        <v>88200</v>
      </c>
      <c r="J159" s="19" t="s">
        <v>146</v>
      </c>
    </row>
    <row r="160" spans="1:11" x14ac:dyDescent="0.25">
      <c r="A160" s="40" t="s">
        <v>343</v>
      </c>
      <c r="B160" s="14">
        <f>'26-27'!B160*1.05</f>
        <v>72930.375</v>
      </c>
      <c r="C160" s="7"/>
      <c r="D160" s="7"/>
      <c r="E160" s="7"/>
      <c r="F160" s="7"/>
      <c r="G160" s="7"/>
      <c r="H160" s="7"/>
      <c r="I160" s="7">
        <f t="shared" si="47"/>
        <v>72930.375</v>
      </c>
      <c r="J160" s="19"/>
    </row>
    <row r="161" spans="1:11" x14ac:dyDescent="0.25">
      <c r="A161" s="40" t="s">
        <v>147</v>
      </c>
      <c r="B161" s="14"/>
      <c r="C161" s="7"/>
      <c r="D161" s="7"/>
      <c r="E161" s="7"/>
      <c r="F161" s="7"/>
      <c r="G161" s="7"/>
      <c r="H161" s="7"/>
      <c r="I161" s="7">
        <f t="shared" si="47"/>
        <v>0</v>
      </c>
      <c r="J161" s="19"/>
    </row>
    <row r="162" spans="1:11" x14ac:dyDescent="0.25">
      <c r="A162" s="40" t="s">
        <v>148</v>
      </c>
      <c r="B162" s="14">
        <f>495*B17</f>
        <v>89100</v>
      </c>
      <c r="C162" s="7"/>
      <c r="D162" s="7"/>
      <c r="E162" s="7"/>
      <c r="F162" s="7"/>
      <c r="G162" s="7"/>
      <c r="H162" s="7"/>
      <c r="I162" s="7">
        <f t="shared" si="47"/>
        <v>89100</v>
      </c>
      <c r="J162" s="19" t="s">
        <v>149</v>
      </c>
    </row>
    <row r="163" spans="1:11" x14ac:dyDescent="0.25">
      <c r="A163" s="40" t="s">
        <v>150</v>
      </c>
      <c r="B163" s="14">
        <f>'26-27'!B163*1.05</f>
        <v>9448.1300812499994</v>
      </c>
      <c r="C163" s="14"/>
      <c r="D163" s="14"/>
      <c r="E163" s="14"/>
      <c r="F163" s="14"/>
      <c r="G163" s="14"/>
      <c r="H163" s="14">
        <f>(240*H66)</f>
        <v>0</v>
      </c>
      <c r="I163" s="7">
        <f t="shared" si="47"/>
        <v>9448.1300812499994</v>
      </c>
      <c r="J163" s="19" t="s">
        <v>224</v>
      </c>
    </row>
    <row r="164" spans="1:11" x14ac:dyDescent="0.25">
      <c r="A164" s="40" t="s">
        <v>151</v>
      </c>
      <c r="B164" s="14">
        <f>'26-27'!B164*1.05</f>
        <v>68676.103125000009</v>
      </c>
      <c r="C164" s="7"/>
      <c r="D164" s="7"/>
      <c r="E164" s="7"/>
      <c r="F164" s="7"/>
      <c r="G164" s="7"/>
      <c r="H164" s="7"/>
      <c r="I164" s="7">
        <f t="shared" si="47"/>
        <v>68676.103125000009</v>
      </c>
      <c r="J164" s="19"/>
    </row>
    <row r="165" spans="1:11" x14ac:dyDescent="0.25">
      <c r="A165" s="40" t="s">
        <v>152</v>
      </c>
      <c r="B165" s="7">
        <f>5500</f>
        <v>5500</v>
      </c>
      <c r="C165" s="7"/>
      <c r="D165" s="7"/>
      <c r="E165" s="7"/>
      <c r="F165" s="7"/>
      <c r="G165" s="7"/>
      <c r="H165" s="7"/>
      <c r="I165" s="7">
        <f t="shared" si="47"/>
        <v>5500</v>
      </c>
      <c r="J165" s="19"/>
    </row>
    <row r="166" spans="1:11" x14ac:dyDescent="0.25">
      <c r="A166" s="40" t="s">
        <v>153</v>
      </c>
      <c r="B166" s="14">
        <f>50*B17+(60*12)</f>
        <v>9720</v>
      </c>
      <c r="C166" s="7"/>
      <c r="D166" s="7"/>
      <c r="E166" s="7"/>
      <c r="F166" s="7"/>
      <c r="G166" s="7"/>
      <c r="H166" s="7"/>
      <c r="I166" s="7">
        <f t="shared" si="47"/>
        <v>9720</v>
      </c>
      <c r="J166" s="19" t="s">
        <v>154</v>
      </c>
    </row>
    <row r="167" spans="1:11" x14ac:dyDescent="0.25">
      <c r="A167" s="40" t="s">
        <v>155</v>
      </c>
      <c r="B167" s="14">
        <f>15000</f>
        <v>15000</v>
      </c>
      <c r="C167" s="7"/>
      <c r="D167" s="7"/>
      <c r="E167" s="7"/>
      <c r="F167" s="7"/>
      <c r="G167" s="7"/>
      <c r="H167" s="7"/>
      <c r="I167" s="7">
        <f t="shared" si="47"/>
        <v>15000</v>
      </c>
      <c r="J167" s="19"/>
    </row>
    <row r="168" spans="1:11" x14ac:dyDescent="0.25">
      <c r="A168" s="40" t="s">
        <v>156</v>
      </c>
      <c r="B168" s="14">
        <f>(B75+B76+B77+B78)*0.0125</f>
        <v>23713.728499999997</v>
      </c>
      <c r="C168" s="7"/>
      <c r="D168" s="7"/>
      <c r="E168" s="7"/>
      <c r="F168" s="7"/>
      <c r="G168" s="7"/>
      <c r="H168" s="7"/>
      <c r="I168" s="7">
        <f t="shared" si="47"/>
        <v>23713.728499999997</v>
      </c>
      <c r="J168" s="98">
        <v>1.2500000000000001E-2</v>
      </c>
      <c r="K168" s="99"/>
    </row>
    <row r="169" spans="1:11" x14ac:dyDescent="0.25">
      <c r="A169" s="40" t="s">
        <v>157</v>
      </c>
      <c r="B169" s="14">
        <f>'26-27'!B169+500</f>
        <v>12000</v>
      </c>
      <c r="C169" s="7"/>
      <c r="D169" s="7"/>
      <c r="E169" s="7"/>
      <c r="F169" s="7"/>
      <c r="G169" s="7"/>
      <c r="H169" s="7"/>
      <c r="I169" s="7">
        <f t="shared" si="47"/>
        <v>12000</v>
      </c>
      <c r="J169" s="98" t="s">
        <v>158</v>
      </c>
      <c r="K169" s="99"/>
    </row>
    <row r="170" spans="1:11" x14ac:dyDescent="0.25">
      <c r="A170" s="40" t="s">
        <v>159</v>
      </c>
      <c r="B170" s="14">
        <v>0</v>
      </c>
      <c r="C170" s="7"/>
      <c r="D170" s="7"/>
      <c r="E170" s="7"/>
      <c r="F170" s="7"/>
      <c r="G170" s="7"/>
      <c r="H170" s="7"/>
      <c r="I170" s="7">
        <f t="shared" si="47"/>
        <v>0</v>
      </c>
      <c r="J170" s="98"/>
      <c r="K170" s="99"/>
    </row>
    <row r="171" spans="1:11" x14ac:dyDescent="0.25">
      <c r="A171" s="96" t="s">
        <v>161</v>
      </c>
      <c r="B171" s="14">
        <f>B75*0.005</f>
        <v>8803.0313999999998</v>
      </c>
      <c r="C171" s="7"/>
      <c r="D171" s="7"/>
      <c r="E171" s="7"/>
      <c r="F171" s="7"/>
      <c r="G171" s="7">
        <f>G87</f>
        <v>8000</v>
      </c>
      <c r="H171" s="7">
        <f>H88</f>
        <v>1500</v>
      </c>
      <c r="I171" s="7">
        <f t="shared" si="47"/>
        <v>18303.0314</v>
      </c>
      <c r="J171" s="98" t="s">
        <v>160</v>
      </c>
      <c r="K171" s="99"/>
    </row>
    <row r="172" spans="1:11" x14ac:dyDescent="0.25">
      <c r="A172" s="83" t="s">
        <v>162</v>
      </c>
      <c r="B172" s="84">
        <f>SUM(B158:B171)</f>
        <v>327611.36810624995</v>
      </c>
      <c r="C172" s="84">
        <f t="shared" ref="C172:H172" si="48">SUM(C158:C171)</f>
        <v>88200</v>
      </c>
      <c r="D172" s="84">
        <f t="shared" si="48"/>
        <v>0</v>
      </c>
      <c r="E172" s="84">
        <f t="shared" si="48"/>
        <v>0</v>
      </c>
      <c r="F172" s="84">
        <f t="shared" si="48"/>
        <v>0</v>
      </c>
      <c r="G172" s="84">
        <f t="shared" si="48"/>
        <v>8000</v>
      </c>
      <c r="H172" s="84">
        <f t="shared" si="48"/>
        <v>1500</v>
      </c>
      <c r="I172" s="84">
        <f>SUM(I158:I171)</f>
        <v>425311.36810624995</v>
      </c>
      <c r="J172" s="10"/>
      <c r="K172" s="10"/>
    </row>
    <row r="173" spans="1:11" x14ac:dyDescent="0.25">
      <c r="A173" s="93" t="s">
        <v>163</v>
      </c>
      <c r="B173" s="24" t="str">
        <f t="shared" ref="B173:I173" si="49">B1</f>
        <v>Operating</v>
      </c>
      <c r="C173" s="24" t="str">
        <f t="shared" si="49"/>
        <v>SPED</v>
      </c>
      <c r="D173" s="24" t="str">
        <f t="shared" si="49"/>
        <v>NSLP</v>
      </c>
      <c r="E173" s="24" t="str">
        <f t="shared" si="49"/>
        <v>Other</v>
      </c>
      <c r="F173" s="24" t="str">
        <f t="shared" si="49"/>
        <v>Title I</v>
      </c>
      <c r="G173" s="24" t="str">
        <f t="shared" si="49"/>
        <v>Title II</v>
      </c>
      <c r="H173" s="24" t="str">
        <f t="shared" si="49"/>
        <v>Title III</v>
      </c>
      <c r="I173" s="24" t="str">
        <f t="shared" si="49"/>
        <v>Total (23-24)</v>
      </c>
      <c r="J173" s="10"/>
      <c r="K173" s="10"/>
    </row>
    <row r="174" spans="1:11" x14ac:dyDescent="0.25">
      <c r="A174" s="100" t="s">
        <v>164</v>
      </c>
      <c r="B174" s="14">
        <f>'26-27'!B174*1.03</f>
        <v>6753.0528600000016</v>
      </c>
      <c r="C174" s="7"/>
      <c r="D174" s="7"/>
      <c r="E174" s="7"/>
      <c r="F174" s="7"/>
      <c r="G174" s="7"/>
      <c r="H174" s="7"/>
      <c r="I174" s="7">
        <f t="shared" ref="I174:I180" si="50">SUM(B174:H174)</f>
        <v>6753.0528600000016</v>
      </c>
      <c r="J174" s="19"/>
    </row>
    <row r="175" spans="1:11" x14ac:dyDescent="0.25">
      <c r="A175" s="40" t="s">
        <v>165</v>
      </c>
      <c r="B175" s="14">
        <f>'26-27'!B175*1.03</f>
        <v>7878.56167</v>
      </c>
      <c r="C175" s="7"/>
      <c r="D175" s="7"/>
      <c r="E175" s="7"/>
      <c r="F175" s="7"/>
      <c r="G175" s="7"/>
      <c r="H175" s="7"/>
      <c r="I175" s="7">
        <f t="shared" si="50"/>
        <v>7878.56167</v>
      </c>
      <c r="J175" s="19"/>
    </row>
    <row r="176" spans="1:11" x14ac:dyDescent="0.25">
      <c r="A176" s="40" t="s">
        <v>166</v>
      </c>
      <c r="B176" s="97"/>
      <c r="C176" s="7"/>
      <c r="D176" s="7"/>
      <c r="E176" s="7"/>
      <c r="F176" s="7"/>
      <c r="G176" s="7"/>
      <c r="H176" s="7"/>
      <c r="I176" s="7">
        <f t="shared" si="50"/>
        <v>0</v>
      </c>
      <c r="J176" s="19"/>
    </row>
    <row r="177" spans="1:11" x14ac:dyDescent="0.25">
      <c r="A177" s="40" t="s">
        <v>167</v>
      </c>
      <c r="B177" s="97">
        <f>1000</f>
        <v>1000</v>
      </c>
      <c r="C177" s="7"/>
      <c r="D177" s="7"/>
      <c r="E177" s="7"/>
      <c r="F177" s="7"/>
      <c r="G177" s="7"/>
      <c r="H177" s="7"/>
      <c r="I177" s="7">
        <f t="shared" si="50"/>
        <v>1000</v>
      </c>
      <c r="J177" s="19"/>
    </row>
    <row r="178" spans="1:11" x14ac:dyDescent="0.25">
      <c r="A178" s="40" t="s">
        <v>168</v>
      </c>
      <c r="B178" s="14">
        <f>'26-27'!B178*1.03</f>
        <v>6190.2984550000001</v>
      </c>
      <c r="C178" s="7"/>
      <c r="D178" s="7"/>
      <c r="E178" s="7"/>
      <c r="F178" s="7"/>
      <c r="G178" s="7"/>
      <c r="H178" s="7"/>
      <c r="I178" s="7">
        <f t="shared" si="50"/>
        <v>6190.2984550000001</v>
      </c>
      <c r="J178" s="19"/>
    </row>
    <row r="179" spans="1:11" x14ac:dyDescent="0.25">
      <c r="A179" s="40" t="s">
        <v>169</v>
      </c>
      <c r="B179" s="14">
        <f>'26-27'!B179*1.06</f>
        <v>30299.447040000003</v>
      </c>
      <c r="C179" s="7"/>
      <c r="D179" s="7"/>
      <c r="E179" s="7"/>
      <c r="F179" s="7"/>
      <c r="G179" s="7"/>
      <c r="H179" s="7"/>
      <c r="I179" s="7">
        <f t="shared" si="50"/>
        <v>30299.447040000003</v>
      </c>
      <c r="J179" s="19"/>
    </row>
    <row r="180" spans="1:11" x14ac:dyDescent="0.25">
      <c r="A180" s="40" t="s">
        <v>170</v>
      </c>
      <c r="B180" s="88">
        <f>8500+(B17*2.5)</f>
        <v>8950</v>
      </c>
      <c r="C180" s="7"/>
      <c r="D180" s="7"/>
      <c r="E180" s="7"/>
      <c r="F180" s="7"/>
      <c r="G180" s="7"/>
      <c r="H180" s="7"/>
      <c r="I180" s="7">
        <f t="shared" si="50"/>
        <v>8950</v>
      </c>
      <c r="J180" s="19"/>
    </row>
    <row r="181" spans="1:11" x14ac:dyDescent="0.25">
      <c r="A181" s="40" t="s">
        <v>171</v>
      </c>
      <c r="B181" s="14">
        <f>'26-27'!B181*1.06</f>
        <v>13149.960015360004</v>
      </c>
      <c r="C181" s="7"/>
      <c r="D181" s="7"/>
      <c r="E181" s="7"/>
      <c r="F181" s="7"/>
      <c r="G181" s="7"/>
      <c r="H181" s="7"/>
      <c r="I181" s="7">
        <f>SUM(B181:H181)</f>
        <v>13149.960015360004</v>
      </c>
      <c r="J181" s="19"/>
    </row>
    <row r="182" spans="1:11" x14ac:dyDescent="0.25">
      <c r="A182" s="40" t="s">
        <v>172</v>
      </c>
      <c r="B182" s="14">
        <f>'26-27'!B182*1.06</f>
        <v>11506.215013440002</v>
      </c>
      <c r="C182" s="7"/>
      <c r="D182" s="7"/>
      <c r="E182" s="7"/>
      <c r="F182" s="7"/>
      <c r="G182" s="7"/>
      <c r="H182" s="7"/>
      <c r="I182" s="7">
        <f>SUM(B182:H182)</f>
        <v>11506.215013440002</v>
      </c>
      <c r="J182" s="19"/>
    </row>
    <row r="183" spans="1:11" x14ac:dyDescent="0.25">
      <c r="A183" s="40" t="s">
        <v>173</v>
      </c>
      <c r="B183" s="14">
        <f>'26-27'!B183*1.06</f>
        <v>16437.450019200001</v>
      </c>
      <c r="C183" s="7"/>
      <c r="D183" s="7"/>
      <c r="E183" s="7"/>
      <c r="F183" s="7"/>
      <c r="G183" s="7"/>
      <c r="H183" s="7"/>
      <c r="I183" s="7">
        <f>SUM(B183:H183)</f>
        <v>16437.450019200001</v>
      </c>
      <c r="J183" s="19"/>
    </row>
    <row r="184" spans="1:11" x14ac:dyDescent="0.25">
      <c r="A184" s="40" t="s">
        <v>174</v>
      </c>
      <c r="B184" s="7"/>
      <c r="C184" s="7"/>
      <c r="D184" s="14">
        <f>((B17*D23)*2.4*180)</f>
        <v>77760</v>
      </c>
      <c r="E184" s="7"/>
      <c r="F184" s="7"/>
      <c r="G184" s="7"/>
      <c r="H184" s="7"/>
      <c r="I184" s="7">
        <f t="shared" ref="I184:I197" si="51">SUM(B184:H184)</f>
        <v>77760</v>
      </c>
      <c r="J184" s="70">
        <v>2.4</v>
      </c>
      <c r="K184" s="101"/>
    </row>
    <row r="185" spans="1:11" x14ac:dyDescent="0.25">
      <c r="A185" s="40" t="s">
        <v>175</v>
      </c>
      <c r="B185" s="7"/>
      <c r="C185" s="7"/>
      <c r="D185" s="14">
        <f>((B17*D23)*3.75*180)</f>
        <v>121500</v>
      </c>
      <c r="E185" s="7"/>
      <c r="F185" s="7"/>
      <c r="G185" s="7"/>
      <c r="H185" s="7"/>
      <c r="I185" s="7">
        <f t="shared" si="51"/>
        <v>121500</v>
      </c>
      <c r="J185" s="70">
        <v>3.75</v>
      </c>
      <c r="K185" s="101"/>
    </row>
    <row r="186" spans="1:11" x14ac:dyDescent="0.25">
      <c r="A186" s="40" t="s">
        <v>176</v>
      </c>
      <c r="B186" s="7">
        <v>5000</v>
      </c>
      <c r="C186" s="7"/>
      <c r="D186" s="7"/>
      <c r="E186" s="7"/>
      <c r="F186" s="7"/>
      <c r="G186" s="7"/>
      <c r="H186" s="7"/>
      <c r="I186" s="7">
        <f t="shared" si="51"/>
        <v>5000</v>
      </c>
      <c r="J186" s="19"/>
    </row>
    <row r="187" spans="1:11" x14ac:dyDescent="0.25">
      <c r="A187" s="40" t="s">
        <v>177</v>
      </c>
      <c r="B187" s="7">
        <v>1500</v>
      </c>
      <c r="C187" s="7"/>
      <c r="D187" s="7"/>
      <c r="E187" s="7"/>
      <c r="F187" s="7"/>
      <c r="G187" s="7"/>
      <c r="H187" s="7"/>
      <c r="I187" s="7">
        <f t="shared" si="51"/>
        <v>1500</v>
      </c>
      <c r="J187" s="19"/>
    </row>
    <row r="188" spans="1:11" x14ac:dyDescent="0.25">
      <c r="A188" s="40" t="s">
        <v>178</v>
      </c>
      <c r="B188" s="7">
        <f>60*20</f>
        <v>1200</v>
      </c>
      <c r="C188" s="7">
        <v>0</v>
      </c>
      <c r="D188" s="7">
        <v>0</v>
      </c>
      <c r="E188" s="7"/>
      <c r="F188" s="7"/>
      <c r="G188" s="7"/>
      <c r="H188" s="7"/>
      <c r="I188" s="7">
        <f t="shared" si="51"/>
        <v>1200</v>
      </c>
      <c r="J188" s="19"/>
    </row>
    <row r="189" spans="1:11" x14ac:dyDescent="0.25">
      <c r="A189" s="40" t="s">
        <v>179</v>
      </c>
      <c r="B189" s="14">
        <f>10000</f>
        <v>10000</v>
      </c>
      <c r="C189" s="7"/>
      <c r="D189" s="7"/>
      <c r="E189" s="7"/>
      <c r="F189" s="7"/>
      <c r="G189" s="7"/>
      <c r="H189" s="7"/>
      <c r="I189" s="7">
        <f t="shared" si="51"/>
        <v>10000</v>
      </c>
      <c r="J189" s="19"/>
    </row>
    <row r="190" spans="1:11" x14ac:dyDescent="0.25">
      <c r="A190" s="40" t="s">
        <v>180</v>
      </c>
      <c r="B190" s="14">
        <v>0</v>
      </c>
      <c r="C190" s="7"/>
      <c r="D190" s="7"/>
      <c r="E190" s="7"/>
      <c r="F190" s="7"/>
      <c r="G190" s="7"/>
      <c r="H190" s="7"/>
      <c r="I190" s="7">
        <f t="shared" si="51"/>
        <v>0</v>
      </c>
      <c r="J190" s="19"/>
    </row>
    <row r="191" spans="1:11" x14ac:dyDescent="0.25">
      <c r="A191" s="40" t="s">
        <v>181</v>
      </c>
      <c r="B191" s="14">
        <v>5000</v>
      </c>
      <c r="C191" s="7"/>
      <c r="D191" s="7"/>
      <c r="E191" s="7"/>
      <c r="F191" s="7"/>
      <c r="G191" s="7"/>
      <c r="H191" s="7"/>
      <c r="I191" s="7">
        <f t="shared" si="51"/>
        <v>5000</v>
      </c>
      <c r="J191" s="19"/>
    </row>
    <row r="192" spans="1:11" x14ac:dyDescent="0.25">
      <c r="A192" s="40" t="s">
        <v>182</v>
      </c>
      <c r="B192" s="14">
        <v>0</v>
      </c>
      <c r="C192" s="7"/>
      <c r="D192" s="7"/>
      <c r="E192" s="7"/>
      <c r="F192" s="7"/>
      <c r="G192" s="7"/>
      <c r="H192" s="7"/>
      <c r="I192" s="7">
        <f t="shared" si="51"/>
        <v>0</v>
      </c>
      <c r="J192" s="19"/>
    </row>
    <row r="193" spans="1:11" x14ac:dyDescent="0.25">
      <c r="A193" s="40" t="s">
        <v>183</v>
      </c>
      <c r="B193" s="14">
        <v>0</v>
      </c>
      <c r="C193" s="14"/>
      <c r="D193" s="14"/>
      <c r="E193" s="14"/>
      <c r="F193" s="14"/>
      <c r="G193" s="14"/>
      <c r="H193" s="14"/>
      <c r="I193" s="7">
        <f t="shared" si="51"/>
        <v>0</v>
      </c>
      <c r="J193" s="19"/>
    </row>
    <row r="194" spans="1:11" x14ac:dyDescent="0.25">
      <c r="A194" s="40" t="s">
        <v>184</v>
      </c>
      <c r="B194" s="14">
        <v>0</v>
      </c>
      <c r="C194" s="14"/>
      <c r="D194" s="14"/>
      <c r="E194" s="14"/>
      <c r="F194" s="14"/>
      <c r="G194" s="14"/>
      <c r="H194" s="14"/>
      <c r="I194" s="7">
        <f t="shared" si="51"/>
        <v>0</v>
      </c>
      <c r="J194" s="19"/>
    </row>
    <row r="195" spans="1:11" x14ac:dyDescent="0.25">
      <c r="A195" s="40" t="s">
        <v>185</v>
      </c>
      <c r="B195" s="14">
        <v>0</v>
      </c>
      <c r="C195" s="14"/>
      <c r="D195" s="14"/>
      <c r="E195" s="14"/>
      <c r="F195" s="14"/>
      <c r="G195" s="14"/>
      <c r="H195" s="14"/>
      <c r="I195" s="7">
        <f t="shared" si="51"/>
        <v>0</v>
      </c>
      <c r="J195" s="19"/>
    </row>
    <row r="196" spans="1:11" x14ac:dyDescent="0.25">
      <c r="A196" s="40" t="s">
        <v>362</v>
      </c>
      <c r="B196" s="14"/>
      <c r="C196" s="14"/>
      <c r="D196" s="14"/>
      <c r="E196" s="14"/>
      <c r="F196" s="14"/>
      <c r="G196" s="14"/>
      <c r="H196" s="14"/>
      <c r="I196" s="7">
        <f t="shared" si="51"/>
        <v>0</v>
      </c>
      <c r="J196" s="19"/>
    </row>
    <row r="197" spans="1:11" x14ac:dyDescent="0.25">
      <c r="A197" s="40" t="s">
        <v>186</v>
      </c>
      <c r="B197" s="104">
        <v>10000</v>
      </c>
      <c r="C197" s="14"/>
      <c r="D197" s="14"/>
      <c r="E197" s="14"/>
      <c r="F197" s="14"/>
      <c r="G197" s="14"/>
      <c r="H197" s="14"/>
      <c r="I197" s="7">
        <f t="shared" si="51"/>
        <v>10000</v>
      </c>
      <c r="J197" s="19"/>
    </row>
    <row r="198" spans="1:11" x14ac:dyDescent="0.25">
      <c r="A198" s="96" t="s">
        <v>187</v>
      </c>
      <c r="B198" s="7">
        <f>((B2*B3)*0)+0</f>
        <v>0</v>
      </c>
      <c r="C198" s="7"/>
      <c r="D198" s="7"/>
      <c r="E198" s="7"/>
      <c r="F198" s="7"/>
      <c r="G198" s="7"/>
      <c r="H198" s="7"/>
      <c r="I198" s="7">
        <f>SUM(B198:H198)</f>
        <v>0</v>
      </c>
      <c r="J198" s="103"/>
      <c r="K198" s="66"/>
    </row>
    <row r="199" spans="1:11" x14ac:dyDescent="0.25">
      <c r="A199" s="83" t="s">
        <v>188</v>
      </c>
      <c r="B199" s="84">
        <f>SUM(B174:B198)</f>
        <v>134864.98507300002</v>
      </c>
      <c r="C199" s="84">
        <f t="shared" ref="C199:I199" si="52">SUM(C174:C198)</f>
        <v>0</v>
      </c>
      <c r="D199" s="84">
        <f t="shared" si="52"/>
        <v>199260</v>
      </c>
      <c r="E199" s="84">
        <f t="shared" si="52"/>
        <v>0</v>
      </c>
      <c r="F199" s="84">
        <f t="shared" si="52"/>
        <v>0</v>
      </c>
      <c r="G199" s="84">
        <f t="shared" si="52"/>
        <v>0</v>
      </c>
      <c r="H199" s="84">
        <f t="shared" si="52"/>
        <v>0</v>
      </c>
      <c r="I199" s="84">
        <f t="shared" si="52"/>
        <v>334124.98507300002</v>
      </c>
      <c r="J199" s="10"/>
      <c r="K199" s="10"/>
    </row>
    <row r="200" spans="1:11" x14ac:dyDescent="0.25">
      <c r="A200" s="93" t="s">
        <v>189</v>
      </c>
      <c r="B200" s="24" t="str">
        <f t="shared" ref="B200:I200" si="53">B1</f>
        <v>Operating</v>
      </c>
      <c r="C200" s="24" t="str">
        <f t="shared" si="53"/>
        <v>SPED</v>
      </c>
      <c r="D200" s="24" t="str">
        <f t="shared" si="53"/>
        <v>NSLP</v>
      </c>
      <c r="E200" s="24" t="str">
        <f t="shared" si="53"/>
        <v>Other</v>
      </c>
      <c r="F200" s="24" t="str">
        <f t="shared" si="53"/>
        <v>Title I</v>
      </c>
      <c r="G200" s="24" t="str">
        <f t="shared" si="53"/>
        <v>Title II</v>
      </c>
      <c r="H200" s="24" t="str">
        <f t="shared" si="53"/>
        <v>Title III</v>
      </c>
      <c r="I200" s="24" t="str">
        <f t="shared" si="53"/>
        <v>Total (23-24)</v>
      </c>
      <c r="J200" s="10"/>
      <c r="K200" s="10"/>
    </row>
    <row r="201" spans="1:11" x14ac:dyDescent="0.25">
      <c r="A201" s="100" t="s">
        <v>190</v>
      </c>
      <c r="B201" s="14">
        <f>'26-27'!B201*1.03</f>
        <v>48079.987999999998</v>
      </c>
      <c r="C201" s="7"/>
      <c r="D201" s="7"/>
      <c r="E201" s="7"/>
      <c r="F201" s="7"/>
      <c r="G201" s="7"/>
      <c r="H201" s="7"/>
      <c r="I201" s="7">
        <f t="shared" ref="I201:I210" si="54">SUM(B201:H201)</f>
        <v>48079.987999999998</v>
      </c>
      <c r="J201" s="8"/>
      <c r="K201" s="9"/>
    </row>
    <row r="202" spans="1:11" x14ac:dyDescent="0.25">
      <c r="A202" s="40" t="s">
        <v>193</v>
      </c>
      <c r="B202" s="14">
        <f>'26-27'!B202*1.03</f>
        <v>874.1816</v>
      </c>
      <c r="C202" s="7"/>
      <c r="D202" s="7"/>
      <c r="E202" s="7"/>
      <c r="F202" s="7"/>
      <c r="G202" s="7"/>
      <c r="H202" s="7"/>
      <c r="I202" s="7">
        <f t="shared" si="54"/>
        <v>874.1816</v>
      </c>
      <c r="J202" s="8"/>
    </row>
    <row r="203" spans="1:11" x14ac:dyDescent="0.25">
      <c r="A203" s="40" t="s">
        <v>196</v>
      </c>
      <c r="B203" s="14">
        <f>'26-27'!B203*1.03</f>
        <v>12019.996999999999</v>
      </c>
      <c r="C203" s="7"/>
      <c r="D203" s="7"/>
      <c r="E203" s="7"/>
      <c r="F203" s="7"/>
      <c r="G203" s="7"/>
      <c r="H203" s="7"/>
      <c r="I203" s="7">
        <f t="shared" si="54"/>
        <v>12019.996999999999</v>
      </c>
      <c r="J203" s="19"/>
    </row>
    <row r="204" spans="1:11" x14ac:dyDescent="0.25">
      <c r="A204" s="40" t="s">
        <v>198</v>
      </c>
      <c r="B204" s="14">
        <f>'26-27'!B204*1.03</f>
        <v>4370.9080000000004</v>
      </c>
      <c r="C204" s="7"/>
      <c r="D204" s="7"/>
      <c r="E204" s="7"/>
      <c r="F204" s="7"/>
      <c r="G204" s="7"/>
      <c r="H204" s="7"/>
      <c r="I204" s="7">
        <f t="shared" si="54"/>
        <v>4370.9080000000004</v>
      </c>
      <c r="J204" s="19"/>
    </row>
    <row r="205" spans="1:11" x14ac:dyDescent="0.25">
      <c r="A205" s="40" t="s">
        <v>199</v>
      </c>
      <c r="B205" s="14">
        <f>'26-27'!B205*1.03</f>
        <v>1092.7270000000001</v>
      </c>
      <c r="C205" s="7"/>
      <c r="D205" s="7"/>
      <c r="E205" s="7"/>
      <c r="F205" s="7"/>
      <c r="G205" s="7"/>
      <c r="H205" s="7"/>
      <c r="I205" s="7">
        <f t="shared" si="54"/>
        <v>1092.7270000000001</v>
      </c>
      <c r="J205" s="19"/>
    </row>
    <row r="206" spans="1:11" x14ac:dyDescent="0.25">
      <c r="A206" s="40" t="s">
        <v>201</v>
      </c>
      <c r="B206" s="14">
        <f>'26-27'!B206*1.03</f>
        <v>13112.724000000002</v>
      </c>
      <c r="C206" s="7"/>
      <c r="D206" s="7"/>
      <c r="E206" s="7"/>
      <c r="F206" s="7"/>
      <c r="G206" s="7"/>
      <c r="H206" s="7"/>
      <c r="I206" s="7">
        <f t="shared" si="54"/>
        <v>13112.724000000002</v>
      </c>
      <c r="J206" s="19"/>
    </row>
    <row r="207" spans="1:11" x14ac:dyDescent="0.25">
      <c r="A207" s="40" t="s">
        <v>203</v>
      </c>
      <c r="B207" s="14">
        <v>15000</v>
      </c>
      <c r="C207" s="7"/>
      <c r="D207" s="7"/>
      <c r="E207" s="7"/>
      <c r="F207" s="7"/>
      <c r="G207" s="7"/>
      <c r="H207" s="7"/>
      <c r="I207" s="7">
        <f t="shared" si="54"/>
        <v>15000</v>
      </c>
      <c r="J207" s="19"/>
    </row>
    <row r="208" spans="1:11" x14ac:dyDescent="0.25">
      <c r="A208" s="40" t="s">
        <v>204</v>
      </c>
      <c r="B208" s="14">
        <f>'26-27'!B208*1.05</f>
        <v>0</v>
      </c>
      <c r="C208" s="7"/>
      <c r="D208" s="7"/>
      <c r="E208" s="7"/>
      <c r="F208" s="7"/>
      <c r="G208" s="7"/>
      <c r="H208" s="7"/>
      <c r="I208" s="7">
        <f t="shared" si="54"/>
        <v>0</v>
      </c>
      <c r="J208" s="19"/>
    </row>
    <row r="209" spans="1:11" x14ac:dyDescent="0.25">
      <c r="A209" s="40" t="s">
        <v>205</v>
      </c>
      <c r="B209" s="14">
        <f>'26-27'!B209*1.05</f>
        <v>0</v>
      </c>
      <c r="C209" s="7"/>
      <c r="D209" s="7"/>
      <c r="E209" s="7"/>
      <c r="F209" s="7"/>
      <c r="G209" s="7"/>
      <c r="H209" s="7"/>
      <c r="I209" s="7">
        <f t="shared" si="54"/>
        <v>0</v>
      </c>
      <c r="J209" s="19"/>
    </row>
    <row r="210" spans="1:11" x14ac:dyDescent="0.25">
      <c r="A210" s="96" t="s">
        <v>206</v>
      </c>
      <c r="B210" s="14">
        <v>5000</v>
      </c>
      <c r="C210" s="7"/>
      <c r="D210" s="7"/>
      <c r="E210" s="7"/>
      <c r="F210" s="7"/>
      <c r="G210" s="7"/>
      <c r="H210" s="7"/>
      <c r="I210" s="7">
        <f t="shared" si="54"/>
        <v>5000</v>
      </c>
      <c r="J210" s="19"/>
    </row>
    <row r="211" spans="1:11" x14ac:dyDescent="0.25">
      <c r="A211" s="83" t="s">
        <v>207</v>
      </c>
      <c r="B211" s="84">
        <f t="shared" ref="B211:I211" si="55">SUM(B201:B210)</f>
        <v>99550.525600000008</v>
      </c>
      <c r="C211" s="84">
        <f t="shared" si="55"/>
        <v>0</v>
      </c>
      <c r="D211" s="84">
        <f t="shared" si="55"/>
        <v>0</v>
      </c>
      <c r="E211" s="84">
        <f t="shared" si="55"/>
        <v>0</v>
      </c>
      <c r="F211" s="84">
        <f t="shared" si="55"/>
        <v>0</v>
      </c>
      <c r="G211" s="84">
        <f t="shared" si="55"/>
        <v>0</v>
      </c>
      <c r="H211" s="84">
        <f t="shared" si="55"/>
        <v>0</v>
      </c>
      <c r="I211" s="84">
        <f t="shared" si="55"/>
        <v>99550.525600000008</v>
      </c>
      <c r="J211" s="10"/>
      <c r="K211" s="10"/>
    </row>
    <row r="212" spans="1:11" x14ac:dyDescent="0.25">
      <c r="A212" s="105"/>
      <c r="B212" s="7"/>
      <c r="C212" s="7"/>
      <c r="D212" s="7"/>
      <c r="E212" s="7"/>
      <c r="F212" s="7"/>
      <c r="G212" s="7"/>
      <c r="H212" s="7"/>
      <c r="I212" s="7"/>
      <c r="J212" s="10"/>
      <c r="K212" s="10"/>
    </row>
    <row r="213" spans="1:11" x14ac:dyDescent="0.25">
      <c r="A213" s="83" t="s">
        <v>208</v>
      </c>
      <c r="B213" s="84">
        <f>B144+B156+B172+B199+B211</f>
        <v>1780086.9901181844</v>
      </c>
      <c r="C213" s="84">
        <f t="shared" ref="C213:I213" si="56">C144+C156+C172+C199+C211</f>
        <v>183810</v>
      </c>
      <c r="D213" s="84">
        <f t="shared" si="56"/>
        <v>238261.4</v>
      </c>
      <c r="E213" s="84">
        <f t="shared" si="56"/>
        <v>0</v>
      </c>
      <c r="F213" s="84">
        <f t="shared" si="56"/>
        <v>34156.800000000003</v>
      </c>
      <c r="G213" s="84">
        <f t="shared" si="56"/>
        <v>8000</v>
      </c>
      <c r="H213" s="84">
        <f t="shared" si="56"/>
        <v>1500</v>
      </c>
      <c r="I213" s="84">
        <f t="shared" si="56"/>
        <v>2245815.1901181843</v>
      </c>
      <c r="J213" s="10"/>
      <c r="K213" s="10"/>
    </row>
    <row r="214" spans="1:11" x14ac:dyDescent="0.25">
      <c r="A214" s="106"/>
      <c r="B214" s="64"/>
      <c r="C214" s="64"/>
      <c r="D214" s="64"/>
      <c r="E214" s="64"/>
      <c r="F214" s="64"/>
      <c r="G214" s="64"/>
      <c r="H214" s="64"/>
      <c r="I214" s="64"/>
      <c r="J214" s="10"/>
      <c r="K214" s="10"/>
    </row>
    <row r="215" spans="1:11" x14ac:dyDescent="0.25">
      <c r="A215" s="55" t="s">
        <v>209</v>
      </c>
      <c r="B215" s="12">
        <f>550*B17</f>
        <v>99000</v>
      </c>
      <c r="C215" s="12"/>
      <c r="D215" s="12"/>
      <c r="E215" s="12"/>
      <c r="F215" s="12"/>
      <c r="G215" s="12"/>
      <c r="H215" s="12"/>
      <c r="I215" s="12">
        <f t="shared" ref="I215:I220" si="57">SUM(B215:H215)</f>
        <v>99000</v>
      </c>
      <c r="J215" s="19"/>
    </row>
    <row r="216" spans="1:11" x14ac:dyDescent="0.25">
      <c r="A216" s="55" t="s">
        <v>210</v>
      </c>
      <c r="B216" s="12">
        <v>0</v>
      </c>
      <c r="C216" s="12"/>
      <c r="D216" s="12"/>
      <c r="E216" s="12"/>
      <c r="F216" s="12"/>
      <c r="G216" s="12"/>
      <c r="H216" s="12"/>
      <c r="I216" s="12">
        <f t="shared" si="57"/>
        <v>0</v>
      </c>
      <c r="J216" s="19"/>
    </row>
    <row r="217" spans="1:11" x14ac:dyDescent="0.25">
      <c r="A217" s="55" t="s">
        <v>211</v>
      </c>
      <c r="B217" s="12">
        <v>0</v>
      </c>
      <c r="C217" s="12"/>
      <c r="D217" s="12"/>
      <c r="E217" s="12"/>
      <c r="F217" s="12"/>
      <c r="G217" s="12"/>
      <c r="H217" s="12"/>
      <c r="I217" s="12">
        <f t="shared" si="57"/>
        <v>0</v>
      </c>
      <c r="J217" s="19"/>
    </row>
    <row r="218" spans="1:11" x14ac:dyDescent="0.25">
      <c r="A218" s="55" t="s">
        <v>212</v>
      </c>
      <c r="B218" s="12">
        <v>0</v>
      </c>
      <c r="C218" s="12"/>
      <c r="D218" s="12"/>
      <c r="E218" s="12"/>
      <c r="F218" s="12"/>
      <c r="G218" s="12"/>
      <c r="H218" s="12"/>
      <c r="I218" s="12">
        <f t="shared" si="57"/>
        <v>0</v>
      </c>
      <c r="J218" s="19"/>
    </row>
    <row r="219" spans="1:11" x14ac:dyDescent="0.25">
      <c r="A219" s="55"/>
      <c r="B219" s="12">
        <v>0</v>
      </c>
      <c r="C219" s="12">
        <v>0</v>
      </c>
      <c r="D219" s="12">
        <v>0</v>
      </c>
      <c r="E219" s="12"/>
      <c r="F219" s="12"/>
      <c r="G219" s="12"/>
      <c r="H219" s="12">
        <v>0</v>
      </c>
      <c r="I219" s="12">
        <f t="shared" si="57"/>
        <v>0</v>
      </c>
      <c r="J219" s="19"/>
    </row>
    <row r="220" spans="1:11" ht="15.75" thickBot="1" x14ac:dyDescent="0.3">
      <c r="A220" s="40"/>
      <c r="B220" s="47"/>
      <c r="C220" s="47"/>
      <c r="D220" s="47"/>
      <c r="E220" s="47"/>
      <c r="F220" s="47"/>
      <c r="G220" s="47"/>
      <c r="H220" s="47"/>
      <c r="I220" s="7">
        <f t="shared" si="57"/>
        <v>0</v>
      </c>
      <c r="J220" s="10"/>
      <c r="K220" s="10"/>
    </row>
    <row r="221" spans="1:11" ht="15.75" thickBot="1" x14ac:dyDescent="0.3">
      <c r="A221" s="107" t="s">
        <v>213</v>
      </c>
      <c r="B221" s="108">
        <f t="shared" ref="B221:I221" si="58">B98-B213-B215-B216-B218-B217</f>
        <v>94577.552381815389</v>
      </c>
      <c r="C221" s="108">
        <f t="shared" si="58"/>
        <v>-63971.333333333343</v>
      </c>
      <c r="D221" s="108">
        <f t="shared" si="58"/>
        <v>-23449.399999999994</v>
      </c>
      <c r="E221" s="108">
        <f t="shared" si="58"/>
        <v>0</v>
      </c>
      <c r="F221" s="108">
        <f t="shared" si="58"/>
        <v>-7156.8000000000029</v>
      </c>
      <c r="G221" s="108">
        <f t="shared" si="58"/>
        <v>0</v>
      </c>
      <c r="H221" s="108">
        <f t="shared" si="58"/>
        <v>0</v>
      </c>
      <c r="I221" s="108">
        <f t="shared" si="58"/>
        <v>1.9048482179641724E-2</v>
      </c>
      <c r="J221" s="10"/>
      <c r="K221" s="10"/>
    </row>
    <row r="222" spans="1:11" x14ac:dyDescent="0.25">
      <c r="A222" s="109"/>
      <c r="B222" s="110">
        <f t="shared" ref="B222:I222" si="59">B221/(B98)</f>
        <v>4.7919770733691136E-2</v>
      </c>
      <c r="C222" s="110">
        <f t="shared" si="59"/>
        <v>-0.53381212519053411</v>
      </c>
      <c r="D222" s="110">
        <f t="shared" si="59"/>
        <v>-0.10916243040426045</v>
      </c>
      <c r="E222" s="110" t="e">
        <f t="shared" si="59"/>
        <v>#DIV/0!</v>
      </c>
      <c r="F222" s="110">
        <f t="shared" si="59"/>
        <v>-0.26506666666666678</v>
      </c>
      <c r="G222" s="110">
        <f t="shared" si="59"/>
        <v>0</v>
      </c>
      <c r="H222" s="110">
        <f t="shared" si="59"/>
        <v>0</v>
      </c>
      <c r="I222" s="110">
        <f t="shared" si="59"/>
        <v>8.1236602804241634E-9</v>
      </c>
      <c r="J222" s="28"/>
      <c r="K222" s="10"/>
    </row>
    <row r="223" spans="1:11" x14ac:dyDescent="0.25">
      <c r="B223" s="111"/>
      <c r="C223" s="111"/>
      <c r="D223" s="111"/>
      <c r="E223" s="111"/>
      <c r="F223" s="111"/>
      <c r="G223" s="111"/>
      <c r="H223" s="111"/>
      <c r="I223" s="111"/>
    </row>
    <row r="224" spans="1:11" x14ac:dyDescent="0.25">
      <c r="A224" s="1" t="str">
        <f t="shared" ref="A224:I224" si="60">A1</f>
        <v>Young Women's Leadership Academy (YWLA) - FY28</v>
      </c>
      <c r="B224" s="1" t="str">
        <f t="shared" si="60"/>
        <v>Operating</v>
      </c>
      <c r="C224" s="1" t="str">
        <f t="shared" si="60"/>
        <v>SPED</v>
      </c>
      <c r="D224" s="1" t="str">
        <f t="shared" si="60"/>
        <v>NSLP</v>
      </c>
      <c r="E224" s="1" t="str">
        <f t="shared" si="60"/>
        <v>Other</v>
      </c>
      <c r="F224" s="1" t="str">
        <f t="shared" si="60"/>
        <v>Title I</v>
      </c>
      <c r="G224" s="1" t="str">
        <f t="shared" si="60"/>
        <v>Title II</v>
      </c>
      <c r="H224" s="1" t="str">
        <f t="shared" si="60"/>
        <v>Title III</v>
      </c>
      <c r="I224" s="1" t="str">
        <f t="shared" si="60"/>
        <v>Total (23-24)</v>
      </c>
      <c r="J224" s="2"/>
      <c r="K224" s="2"/>
    </row>
    <row r="226" spans="1:11" s="18" customFormat="1" x14ac:dyDescent="0.25">
      <c r="A226" s="10"/>
      <c r="B226" s="112"/>
      <c r="C226" s="112"/>
      <c r="D226" s="112"/>
      <c r="E226" s="112"/>
      <c r="F226" s="112"/>
      <c r="G226" s="112"/>
      <c r="H226" s="112"/>
      <c r="I226" s="112"/>
    </row>
    <row r="227" spans="1:11" s="18" customFormat="1" x14ac:dyDescent="0.25">
      <c r="A227" s="113" t="s">
        <v>214</v>
      </c>
      <c r="B227" s="114"/>
      <c r="C227" s="114"/>
      <c r="D227" s="114"/>
      <c r="E227" s="114"/>
      <c r="F227" s="114"/>
      <c r="G227" s="114"/>
      <c r="H227" s="114"/>
      <c r="I227" s="114">
        <f>I98-I213</f>
        <v>99000.01904848218</v>
      </c>
    </row>
    <row r="228" spans="1:11" x14ac:dyDescent="0.25">
      <c r="A228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x14ac:dyDescent="0.25">
      <c r="A229" s="115" t="str">
        <f>A215</f>
        <v>Scheduled Lease Payment</v>
      </c>
      <c r="B229" s="116"/>
      <c r="C229" s="116"/>
      <c r="D229" s="116"/>
      <c r="E229" s="116"/>
      <c r="F229" s="116"/>
      <c r="G229" s="116"/>
      <c r="H229" s="116"/>
      <c r="I229" s="116">
        <f>I215</f>
        <v>99000</v>
      </c>
      <c r="J229" s="10"/>
      <c r="K229" s="10"/>
    </row>
    <row r="230" spans="1:11" x14ac:dyDescent="0.25">
      <c r="A230" s="115" t="str">
        <f>A216</f>
        <v>Scheduled Bond Payment - Principal</v>
      </c>
      <c r="B230" s="116"/>
      <c r="C230" s="116"/>
      <c r="D230" s="116"/>
      <c r="E230" s="116"/>
      <c r="F230" s="116"/>
      <c r="G230" s="116"/>
      <c r="H230" s="116"/>
      <c r="I230" s="116">
        <f t="shared" ref="I230:I231" si="61">I216</f>
        <v>0</v>
      </c>
      <c r="J230" s="10"/>
      <c r="K230" s="10"/>
    </row>
    <row r="231" spans="1:11" x14ac:dyDescent="0.25">
      <c r="A231" s="115" t="str">
        <f>A217</f>
        <v>Scheduled Bond Payment - Interest</v>
      </c>
      <c r="B231" s="116"/>
      <c r="C231" s="116"/>
      <c r="D231" s="116"/>
      <c r="E231" s="116"/>
      <c r="F231" s="116"/>
      <c r="G231" s="116"/>
      <c r="H231" s="116"/>
      <c r="I231" s="116">
        <f t="shared" si="61"/>
        <v>0</v>
      </c>
      <c r="J231" s="10"/>
      <c r="K231" s="10"/>
    </row>
    <row r="232" spans="1:11" x14ac:dyDescent="0.25">
      <c r="A232"/>
      <c r="B232" s="116"/>
      <c r="C232" s="116"/>
      <c r="D232" s="116"/>
      <c r="E232" s="116"/>
      <c r="F232" s="116"/>
      <c r="G232" s="116"/>
      <c r="H232" s="116"/>
      <c r="I232" s="116"/>
      <c r="J232" s="10"/>
      <c r="K232" s="10"/>
    </row>
    <row r="233" spans="1:11" x14ac:dyDescent="0.25">
      <c r="A233" s="113" t="s">
        <v>215</v>
      </c>
      <c r="B233" s="117"/>
      <c r="C233" s="117"/>
      <c r="D233" s="117"/>
      <c r="E233" s="117"/>
      <c r="F233" s="117"/>
      <c r="G233" s="117"/>
      <c r="H233" s="117"/>
      <c r="I233" s="117">
        <f>SUM(I229:I231)</f>
        <v>99000</v>
      </c>
      <c r="J233" s="10"/>
      <c r="K233" s="10"/>
    </row>
    <row r="234" spans="1:11" x14ac:dyDescent="0.25">
      <c r="A234" s="118" t="s">
        <v>216</v>
      </c>
      <c r="B234" s="119"/>
      <c r="C234" s="119"/>
      <c r="D234" s="119"/>
      <c r="E234" s="119"/>
      <c r="F234" s="119"/>
      <c r="G234" s="119"/>
      <c r="H234" s="119"/>
      <c r="I234" s="119">
        <f>I227/I233</f>
        <v>1.0000001924089108</v>
      </c>
      <c r="J234" s="120"/>
      <c r="K234" s="120"/>
    </row>
    <row r="235" spans="1:11" x14ac:dyDescent="0.25">
      <c r="A235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x14ac:dyDescent="0.25">
      <c r="A236" s="121" t="s">
        <v>217</v>
      </c>
      <c r="B236" s="122"/>
      <c r="C236" s="122"/>
      <c r="D236" s="122"/>
      <c r="E236" s="122"/>
      <c r="F236" s="122"/>
      <c r="G236" s="122"/>
      <c r="H236" s="122"/>
      <c r="I236" s="122"/>
      <c r="J236" s="10"/>
      <c r="K236" s="10"/>
    </row>
    <row r="237" spans="1:11" x14ac:dyDescent="0.25">
      <c r="A237" t="s">
        <v>218</v>
      </c>
      <c r="B237" s="123"/>
      <c r="C237" s="123"/>
      <c r="D237" s="123"/>
      <c r="E237" s="123"/>
      <c r="F237" s="123"/>
      <c r="G237" s="123"/>
      <c r="H237" s="123"/>
      <c r="I237" s="124"/>
      <c r="J237" s="10"/>
      <c r="K237" s="10"/>
    </row>
    <row r="238" spans="1:11" x14ac:dyDescent="0.25">
      <c r="A238" s="10" t="s">
        <v>219</v>
      </c>
      <c r="B238" s="123"/>
      <c r="C238" s="123"/>
      <c r="D238" s="123"/>
      <c r="E238" s="123"/>
      <c r="F238" s="123"/>
      <c r="G238" s="123"/>
      <c r="H238" s="123"/>
      <c r="I238" s="123"/>
      <c r="J238" s="10"/>
      <c r="K238" s="10"/>
    </row>
    <row r="239" spans="1:11" x14ac:dyDescent="0.25">
      <c r="A239" s="10" t="s">
        <v>220</v>
      </c>
      <c r="B239" s="123"/>
      <c r="C239" s="123"/>
      <c r="D239" s="123"/>
      <c r="E239" s="123"/>
      <c r="F239" s="123"/>
      <c r="G239" s="123"/>
      <c r="H239" s="123"/>
      <c r="I239" s="123"/>
      <c r="J239" s="120"/>
      <c r="K239" s="120"/>
    </row>
    <row r="240" spans="1:11" x14ac:dyDescent="0.25">
      <c r="A240" s="125" t="s">
        <v>221</v>
      </c>
      <c r="B240" s="126"/>
      <c r="C240" s="126"/>
      <c r="D240" s="126"/>
      <c r="E240" s="126"/>
      <c r="F240" s="126"/>
      <c r="G240" s="126"/>
      <c r="H240" s="126"/>
      <c r="I240" s="126">
        <f>SUM(I237:I239)</f>
        <v>0</v>
      </c>
      <c r="J240" s="10"/>
      <c r="K240" s="10"/>
    </row>
    <row r="241" spans="1:11" x14ac:dyDescent="0.25">
      <c r="A241" s="127" t="s">
        <v>222</v>
      </c>
      <c r="B241" s="128"/>
      <c r="C241" s="128"/>
      <c r="D241" s="128"/>
      <c r="E241" s="128"/>
      <c r="F241" s="128"/>
      <c r="G241" s="128"/>
      <c r="H241" s="128"/>
      <c r="I241" s="128">
        <f>I240/((SUM(I213:I219))/365)</f>
        <v>0</v>
      </c>
      <c r="J241" s="10"/>
      <c r="K241" s="10"/>
    </row>
    <row r="242" spans="1:11" x14ac:dyDescent="0.25">
      <c r="A242"/>
      <c r="B242" s="129"/>
    </row>
    <row r="243" spans="1:11" x14ac:dyDescent="0.25">
      <c r="C243" s="130"/>
      <c r="D243" s="130"/>
      <c r="E243" s="130"/>
      <c r="F243" s="130"/>
      <c r="G243" s="130"/>
      <c r="H243" s="130"/>
      <c r="I243" s="130"/>
    </row>
  </sheetData>
  <pageMargins left="0.7" right="0.7" top="0.75" bottom="0.75" header="0.3" footer="0.3"/>
  <pageSetup scale="38" orientation="portrait" r:id="rId1"/>
  <headerFooter>
    <oddFooter>&amp;LPage &amp;P&amp;C
&amp;R
 &amp;G</oddFooter>
  </headerFooter>
  <rowBreaks count="2" manualBreakCount="2">
    <brk id="71" max="8" man="1"/>
    <brk id="156" max="8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zoomScale="80" zoomScaleNormal="80" workbookViewId="0">
      <selection activeCell="B14" sqref="B14"/>
    </sheetView>
  </sheetViews>
  <sheetFormatPr defaultColWidth="8.7109375" defaultRowHeight="15" x14ac:dyDescent="0.25"/>
  <cols>
    <col min="1" max="1" width="56.5703125" style="10" customWidth="1"/>
    <col min="2" max="9" width="15.7109375" style="112" customWidth="1"/>
    <col min="10" max="10" width="44" style="18" customWidth="1"/>
    <col min="11" max="11" width="6.5703125" style="18" customWidth="1"/>
    <col min="12" max="16384" width="8.7109375" style="10"/>
  </cols>
  <sheetData>
    <row r="1" spans="1:11" s="5" customFormat="1" x14ac:dyDescent="0.25">
      <c r="A1" s="1" t="s">
        <v>248</v>
      </c>
      <c r="B1" s="1" t="s">
        <v>0</v>
      </c>
      <c r="C1" s="1" t="s">
        <v>1</v>
      </c>
      <c r="D1" s="1" t="s">
        <v>2</v>
      </c>
      <c r="E1" s="1" t="s">
        <v>223</v>
      </c>
      <c r="F1" s="1" t="s">
        <v>3</v>
      </c>
      <c r="G1" s="1" t="s">
        <v>4</v>
      </c>
      <c r="H1" s="1" t="s">
        <v>5</v>
      </c>
      <c r="I1" s="1" t="s">
        <v>6</v>
      </c>
      <c r="J1" s="2"/>
      <c r="K1" s="2"/>
    </row>
    <row r="2" spans="1:11" x14ac:dyDescent="0.25">
      <c r="A2" s="6" t="s">
        <v>11</v>
      </c>
      <c r="B2" s="7">
        <f>9414*1.052</f>
        <v>9903.5280000000002</v>
      </c>
      <c r="C2" s="7"/>
      <c r="D2" s="7"/>
      <c r="E2" s="7"/>
      <c r="F2" s="7"/>
      <c r="G2" s="7"/>
      <c r="H2" s="7"/>
      <c r="I2" s="7">
        <f>SUM(B2:H2)</f>
        <v>9903.5280000000002</v>
      </c>
      <c r="J2" s="8"/>
      <c r="K2" s="9"/>
    </row>
    <row r="3" spans="1:11" x14ac:dyDescent="0.25">
      <c r="A3" s="11" t="s">
        <v>12</v>
      </c>
      <c r="B3" s="12">
        <f t="shared" ref="B3" si="0">B4+B5+B6+B7+B8+B9+B10+B11+B12+B13+B14+B15+B16</f>
        <v>195</v>
      </c>
      <c r="C3" s="12"/>
      <c r="D3" s="12"/>
      <c r="E3" s="12"/>
      <c r="F3" s="12"/>
      <c r="G3" s="12"/>
      <c r="H3" s="12"/>
      <c r="I3" s="12">
        <f t="shared" ref="I3:I16" si="1">SUM(B3:H3)</f>
        <v>195</v>
      </c>
      <c r="J3" s="8"/>
      <c r="K3" s="9"/>
    </row>
    <row r="4" spans="1:11" x14ac:dyDescent="0.25">
      <c r="A4" s="13" t="s">
        <v>13</v>
      </c>
      <c r="B4" s="7">
        <v>0</v>
      </c>
      <c r="C4" s="14"/>
      <c r="D4" s="14"/>
      <c r="E4" s="14"/>
      <c r="F4" s="14"/>
      <c r="G4" s="14"/>
      <c r="H4" s="14"/>
      <c r="I4" s="14">
        <f t="shared" si="1"/>
        <v>0</v>
      </c>
      <c r="J4" s="15">
        <f>B4/25</f>
        <v>0</v>
      </c>
      <c r="K4" s="16"/>
    </row>
    <row r="5" spans="1:11" x14ac:dyDescent="0.25">
      <c r="A5" s="11" t="s">
        <v>14</v>
      </c>
      <c r="B5" s="7">
        <v>0</v>
      </c>
      <c r="C5" s="14"/>
      <c r="D5" s="14"/>
      <c r="E5" s="14"/>
      <c r="F5" s="14"/>
      <c r="G5" s="14"/>
      <c r="H5" s="14"/>
      <c r="I5" s="14">
        <f t="shared" si="1"/>
        <v>0</v>
      </c>
      <c r="J5" s="15">
        <f>B5/26</f>
        <v>0</v>
      </c>
      <c r="K5" s="16"/>
    </row>
    <row r="6" spans="1:11" x14ac:dyDescent="0.25">
      <c r="A6" s="11" t="s">
        <v>15</v>
      </c>
      <c r="B6" s="7">
        <v>0</v>
      </c>
      <c r="C6" s="14"/>
      <c r="D6" s="14"/>
      <c r="E6" s="14"/>
      <c r="F6" s="14"/>
      <c r="G6" s="14"/>
      <c r="H6" s="14"/>
      <c r="I6" s="14">
        <f t="shared" si="1"/>
        <v>0</v>
      </c>
      <c r="J6" s="15">
        <f>B6/26</f>
        <v>0</v>
      </c>
      <c r="K6" s="16"/>
    </row>
    <row r="7" spans="1:11" x14ac:dyDescent="0.25">
      <c r="A7" s="17" t="s">
        <v>16</v>
      </c>
      <c r="B7" s="7">
        <v>0</v>
      </c>
      <c r="C7" s="14"/>
      <c r="D7" s="14"/>
      <c r="E7" s="14"/>
      <c r="F7" s="14"/>
      <c r="G7" s="14"/>
      <c r="H7" s="14"/>
      <c r="I7" s="14">
        <f t="shared" si="1"/>
        <v>0</v>
      </c>
      <c r="J7" s="15">
        <f>B7/26</f>
        <v>0</v>
      </c>
      <c r="K7" s="16"/>
    </row>
    <row r="8" spans="1:11" x14ac:dyDescent="0.25">
      <c r="A8" s="17" t="s">
        <v>17</v>
      </c>
      <c r="B8" s="7">
        <v>0</v>
      </c>
      <c r="C8" s="14"/>
      <c r="D8" s="14"/>
      <c r="E8" s="14"/>
      <c r="F8" s="14"/>
      <c r="G8" s="14"/>
      <c r="H8" s="14"/>
      <c r="I8" s="14">
        <f>SUM(B8:H8)</f>
        <v>0</v>
      </c>
      <c r="J8" s="15">
        <f>B8/27</f>
        <v>0</v>
      </c>
      <c r="K8" s="16"/>
    </row>
    <row r="9" spans="1:11" x14ac:dyDescent="0.25">
      <c r="A9" s="17" t="s">
        <v>18</v>
      </c>
      <c r="B9" s="7">
        <v>0</v>
      </c>
      <c r="C9" s="14"/>
      <c r="D9" s="14"/>
      <c r="E9" s="14"/>
      <c r="F9" s="14"/>
      <c r="G9" s="14"/>
      <c r="H9" s="14"/>
      <c r="I9" s="14">
        <f t="shared" si="1"/>
        <v>0</v>
      </c>
      <c r="J9" s="15">
        <f>B9/27</f>
        <v>0</v>
      </c>
      <c r="K9" s="16"/>
    </row>
    <row r="10" spans="1:11" x14ac:dyDescent="0.25">
      <c r="A10" s="17" t="s">
        <v>19</v>
      </c>
      <c r="B10" s="7">
        <f>30</f>
        <v>30</v>
      </c>
      <c r="C10" s="7"/>
      <c r="D10" s="7"/>
      <c r="E10" s="7"/>
      <c r="F10" s="7"/>
      <c r="G10" s="7"/>
      <c r="H10" s="7"/>
      <c r="I10" s="14">
        <f t="shared" si="1"/>
        <v>30</v>
      </c>
      <c r="J10" s="15">
        <v>1</v>
      </c>
      <c r="K10" s="16"/>
    </row>
    <row r="11" spans="1:11" x14ac:dyDescent="0.25">
      <c r="A11" s="17" t="s">
        <v>20</v>
      </c>
      <c r="B11" s="7">
        <f>30</f>
        <v>30</v>
      </c>
      <c r="C11" s="7"/>
      <c r="D11" s="7"/>
      <c r="E11" s="7"/>
      <c r="F11" s="7"/>
      <c r="G11" s="7"/>
      <c r="H11" s="7"/>
      <c r="I11" s="14">
        <f t="shared" si="1"/>
        <v>30</v>
      </c>
      <c r="J11" s="15">
        <v>1</v>
      </c>
      <c r="K11" s="16"/>
    </row>
    <row r="12" spans="1:11" x14ac:dyDescent="0.25">
      <c r="A12" s="17" t="s">
        <v>21</v>
      </c>
      <c r="B12" s="7">
        <f>30</f>
        <v>30</v>
      </c>
      <c r="C12" s="7"/>
      <c r="D12" s="7"/>
      <c r="E12" s="7"/>
      <c r="F12" s="7"/>
      <c r="G12" s="7"/>
      <c r="H12" s="7"/>
      <c r="I12" s="14">
        <f t="shared" si="1"/>
        <v>30</v>
      </c>
      <c r="J12" s="15">
        <v>1</v>
      </c>
      <c r="K12" s="16"/>
    </row>
    <row r="13" spans="1:11" x14ac:dyDescent="0.25">
      <c r="A13" s="17" t="s">
        <v>22</v>
      </c>
      <c r="B13" s="7">
        <v>30</v>
      </c>
      <c r="C13" s="7"/>
      <c r="D13" s="7"/>
      <c r="E13" s="7"/>
      <c r="F13" s="7"/>
      <c r="G13" s="7"/>
      <c r="H13" s="7"/>
      <c r="I13" s="14">
        <f t="shared" si="1"/>
        <v>30</v>
      </c>
      <c r="J13" s="15">
        <v>1</v>
      </c>
    </row>
    <row r="14" spans="1:11" x14ac:dyDescent="0.25">
      <c r="A14" s="17" t="s">
        <v>23</v>
      </c>
      <c r="B14" s="7">
        <v>25</v>
      </c>
      <c r="C14" s="7"/>
      <c r="D14" s="7"/>
      <c r="E14" s="7"/>
      <c r="F14" s="7"/>
      <c r="G14" s="7"/>
      <c r="H14" s="7"/>
      <c r="I14" s="14">
        <f t="shared" si="1"/>
        <v>25</v>
      </c>
      <c r="J14" s="15">
        <v>1</v>
      </c>
    </row>
    <row r="15" spans="1:11" x14ac:dyDescent="0.25">
      <c r="A15" s="17" t="s">
        <v>24</v>
      </c>
      <c r="B15" s="7">
        <f>25</f>
        <v>25</v>
      </c>
      <c r="C15" s="7"/>
      <c r="D15" s="7"/>
      <c r="E15" s="7"/>
      <c r="F15" s="7"/>
      <c r="G15" s="7"/>
      <c r="H15" s="7"/>
      <c r="I15" s="14">
        <f t="shared" si="1"/>
        <v>25</v>
      </c>
      <c r="J15" s="15">
        <v>1</v>
      </c>
    </row>
    <row r="16" spans="1:11" x14ac:dyDescent="0.25">
      <c r="A16" s="17" t="s">
        <v>25</v>
      </c>
      <c r="B16" s="7">
        <f>25</f>
        <v>25</v>
      </c>
      <c r="C16" s="7"/>
      <c r="D16" s="7"/>
      <c r="E16" s="7"/>
      <c r="F16" s="7"/>
      <c r="G16" s="7"/>
      <c r="H16" s="7"/>
      <c r="I16" s="14">
        <f t="shared" si="1"/>
        <v>25</v>
      </c>
      <c r="J16" s="15">
        <v>1</v>
      </c>
    </row>
    <row r="17" spans="1:11" x14ac:dyDescent="0.25">
      <c r="A17" s="20" t="s">
        <v>12</v>
      </c>
      <c r="B17" s="12">
        <f t="shared" ref="B17:H17" si="2">SUM(B4:B16)</f>
        <v>195</v>
      </c>
      <c r="C17" s="12">
        <f t="shared" si="2"/>
        <v>0</v>
      </c>
      <c r="D17" s="12">
        <f t="shared" si="2"/>
        <v>0</v>
      </c>
      <c r="E17" s="12"/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>SUM(I4:I16)</f>
        <v>195</v>
      </c>
      <c r="J17" s="15">
        <f>SUM(J4:J16)</f>
        <v>7</v>
      </c>
      <c r="K17" s="21"/>
    </row>
    <row r="18" spans="1:11" x14ac:dyDescent="0.25">
      <c r="A18" s="17"/>
      <c r="B18" s="7"/>
      <c r="C18" s="22"/>
      <c r="D18" s="22"/>
      <c r="E18" s="22"/>
      <c r="F18" s="22"/>
      <c r="G18" s="22"/>
      <c r="H18" s="22"/>
      <c r="I18" s="22"/>
      <c r="J18" s="10"/>
      <c r="K18" s="10"/>
    </row>
    <row r="19" spans="1:11" x14ac:dyDescent="0.25">
      <c r="A19" s="23" t="s">
        <v>26</v>
      </c>
      <c r="B19" s="24" t="str">
        <f>B1</f>
        <v>Operating</v>
      </c>
      <c r="C19" s="24" t="str">
        <f>C1</f>
        <v>SPED</v>
      </c>
      <c r="D19" s="24" t="str">
        <f>D1</f>
        <v>NSLP</v>
      </c>
      <c r="E19" s="24" t="str">
        <f>E1</f>
        <v>Other</v>
      </c>
      <c r="F19" s="24" t="str">
        <f t="shared" ref="F19:G19" si="3">F1</f>
        <v>Title I</v>
      </c>
      <c r="G19" s="24" t="str">
        <f t="shared" si="3"/>
        <v>Title II</v>
      </c>
      <c r="H19" s="24" t="str">
        <f>H1</f>
        <v>Title III</v>
      </c>
      <c r="I19" s="24" t="str">
        <f>I1</f>
        <v>Total (23-24)</v>
      </c>
      <c r="J19" s="25"/>
      <c r="K19" s="25"/>
    </row>
    <row r="20" spans="1:11" x14ac:dyDescent="0.25">
      <c r="A20" s="17" t="s">
        <v>27</v>
      </c>
      <c r="B20" s="7"/>
      <c r="C20" s="7">
        <f>('27-28'!C20/'27-28'!B17)*'28-29'!B17</f>
        <v>24.555555555555554</v>
      </c>
      <c r="D20" s="7"/>
      <c r="E20" s="7"/>
      <c r="F20" s="7"/>
      <c r="G20" s="7"/>
      <c r="H20" s="7"/>
      <c r="I20" s="7">
        <f>SUM(B20:H20)</f>
        <v>24.555555555555554</v>
      </c>
      <c r="J20" s="26" t="s">
        <v>28</v>
      </c>
      <c r="K20" s="27"/>
    </row>
    <row r="21" spans="1:11" x14ac:dyDescent="0.25">
      <c r="A21" s="17" t="s">
        <v>29</v>
      </c>
      <c r="B21" s="7">
        <f>('27-28'!B21/'27-28'!B17)*'28-29'!B17</f>
        <v>33.222222222222221</v>
      </c>
      <c r="C21" s="7"/>
      <c r="D21" s="7"/>
      <c r="E21" s="7"/>
      <c r="F21" s="7"/>
      <c r="G21" s="7"/>
      <c r="H21" s="7"/>
      <c r="I21" s="7">
        <f>SUM(B21:H21)</f>
        <v>33.222222222222221</v>
      </c>
      <c r="J21" s="26"/>
      <c r="K21" s="27"/>
    </row>
    <row r="22" spans="1:11" x14ac:dyDescent="0.25">
      <c r="A22" s="17" t="s">
        <v>30</v>
      </c>
      <c r="B22" s="14">
        <v>0</v>
      </c>
      <c r="C22" s="14"/>
      <c r="D22" s="14"/>
      <c r="E22" s="14"/>
      <c r="F22" s="14"/>
      <c r="G22" s="14"/>
      <c r="H22" s="14"/>
      <c r="I22" s="7">
        <f>SUM(B22:H22)</f>
        <v>0</v>
      </c>
      <c r="J22" s="19"/>
    </row>
    <row r="23" spans="1:11" x14ac:dyDescent="0.25">
      <c r="A23" s="17" t="s">
        <v>31</v>
      </c>
      <c r="B23" s="14">
        <f>B17-(C20+B21)</f>
        <v>137.22222222222223</v>
      </c>
      <c r="C23" s="29"/>
      <c r="D23" s="29">
        <v>1</v>
      </c>
      <c r="E23" s="29"/>
      <c r="F23" s="29"/>
      <c r="G23" s="29"/>
      <c r="H23" s="29"/>
      <c r="I23" s="29">
        <f>SUM(C23:H23)</f>
        <v>1</v>
      </c>
      <c r="J23" s="30"/>
      <c r="K23" s="31"/>
    </row>
    <row r="24" spans="1:11" x14ac:dyDescent="0.25">
      <c r="A24" s="17" t="s">
        <v>351</v>
      </c>
      <c r="B24" s="7">
        <v>2</v>
      </c>
      <c r="C24" s="7"/>
      <c r="D24" s="7"/>
      <c r="E24" s="7"/>
      <c r="F24" s="7"/>
      <c r="G24" s="7"/>
      <c r="H24" s="7"/>
      <c r="I24" s="7">
        <f>SUM(B24:H24)</f>
        <v>2</v>
      </c>
      <c r="J24" s="30"/>
      <c r="K24" s="31"/>
    </row>
    <row r="25" spans="1:11" x14ac:dyDescent="0.25">
      <c r="A25" s="17"/>
      <c r="B25" s="7"/>
      <c r="C25" s="7"/>
      <c r="D25" s="7"/>
      <c r="E25" s="7"/>
      <c r="F25" s="7"/>
      <c r="G25" s="7"/>
      <c r="H25" s="7"/>
      <c r="I25" s="7"/>
      <c r="J25" s="25"/>
      <c r="K25" s="10"/>
    </row>
    <row r="26" spans="1:11" x14ac:dyDescent="0.25">
      <c r="A26" s="33" t="s">
        <v>32</v>
      </c>
      <c r="B26" s="24" t="str">
        <f>B1</f>
        <v>Operating</v>
      </c>
      <c r="C26" s="24" t="str">
        <f>C1</f>
        <v>SPED</v>
      </c>
      <c r="D26" s="24" t="str">
        <f>D1</f>
        <v>NSLP</v>
      </c>
      <c r="E26" s="24" t="str">
        <f>E1</f>
        <v>Other</v>
      </c>
      <c r="F26" s="24" t="str">
        <f t="shared" ref="F26:G26" si="4">F1</f>
        <v>Title I</v>
      </c>
      <c r="G26" s="24" t="str">
        <f t="shared" si="4"/>
        <v>Title II</v>
      </c>
      <c r="H26" s="24" t="str">
        <f>H1</f>
        <v>Title III</v>
      </c>
      <c r="I26" s="24" t="str">
        <f>I1</f>
        <v>Total (23-24)</v>
      </c>
      <c r="J26" s="25"/>
      <c r="K26" s="25"/>
    </row>
    <row r="27" spans="1:11" x14ac:dyDescent="0.25">
      <c r="A27" s="34" t="s">
        <v>33</v>
      </c>
      <c r="B27" s="35">
        <v>7</v>
      </c>
      <c r="C27" s="35"/>
      <c r="D27" s="35"/>
      <c r="E27" s="35"/>
      <c r="F27" s="35"/>
      <c r="G27" s="35"/>
      <c r="H27" s="35"/>
      <c r="I27" s="35">
        <f>SUM(B27:H27)</f>
        <v>7</v>
      </c>
      <c r="J27" s="15">
        <f>I27/6</f>
        <v>1.1666666666666667</v>
      </c>
      <c r="K27" s="16"/>
    </row>
    <row r="28" spans="1:11" x14ac:dyDescent="0.25">
      <c r="A28" s="34" t="s">
        <v>34</v>
      </c>
      <c r="B28" s="37">
        <v>0</v>
      </c>
      <c r="C28" s="37">
        <v>1</v>
      </c>
      <c r="D28" s="37"/>
      <c r="E28" s="37"/>
      <c r="F28" s="37"/>
      <c r="G28" s="37"/>
      <c r="H28" s="37"/>
      <c r="I28" s="35">
        <f>SUM(B28:H28)</f>
        <v>1</v>
      </c>
      <c r="J28" s="15">
        <f>I20/21</f>
        <v>1.1693121693121693</v>
      </c>
      <c r="K28" s="16"/>
    </row>
    <row r="29" spans="1:11" x14ac:dyDescent="0.25">
      <c r="A29" s="34" t="s">
        <v>35</v>
      </c>
      <c r="B29" s="35">
        <v>0</v>
      </c>
      <c r="C29" s="35"/>
      <c r="D29" s="35"/>
      <c r="E29" s="35"/>
      <c r="F29" s="35"/>
      <c r="G29" s="35"/>
      <c r="H29" s="35"/>
      <c r="I29" s="35">
        <f t="shared" ref="I29:I35" si="5">SUM(B29:H29)</f>
        <v>0</v>
      </c>
      <c r="J29" s="19"/>
    </row>
    <row r="30" spans="1:11" x14ac:dyDescent="0.25">
      <c r="A30" s="34" t="s">
        <v>36</v>
      </c>
      <c r="B30" s="35">
        <v>0</v>
      </c>
      <c r="C30" s="35"/>
      <c r="D30" s="35"/>
      <c r="E30" s="35"/>
      <c r="F30" s="35"/>
      <c r="G30" s="35"/>
      <c r="H30" s="35"/>
      <c r="I30" s="35">
        <f t="shared" si="5"/>
        <v>0</v>
      </c>
      <c r="J30" s="19"/>
    </row>
    <row r="31" spans="1:11" x14ac:dyDescent="0.25">
      <c r="A31" s="34" t="s">
        <v>37</v>
      </c>
      <c r="B31" s="35">
        <v>0</v>
      </c>
      <c r="C31" s="35"/>
      <c r="D31" s="35"/>
      <c r="E31" s="35"/>
      <c r="F31" s="35"/>
      <c r="G31" s="35"/>
      <c r="H31" s="35"/>
      <c r="I31" s="35">
        <f t="shared" si="5"/>
        <v>0</v>
      </c>
      <c r="J31" s="19"/>
    </row>
    <row r="32" spans="1:11" x14ac:dyDescent="0.25">
      <c r="A32" s="39" t="s">
        <v>38</v>
      </c>
      <c r="B32" s="35">
        <v>0</v>
      </c>
      <c r="C32" s="35"/>
      <c r="D32" s="35"/>
      <c r="E32" s="35"/>
      <c r="F32" s="35"/>
      <c r="G32" s="35"/>
      <c r="H32" s="35"/>
      <c r="I32" s="35">
        <f t="shared" si="5"/>
        <v>0</v>
      </c>
      <c r="J32" s="19"/>
    </row>
    <row r="33" spans="1:12" x14ac:dyDescent="0.25">
      <c r="A33" s="39" t="s">
        <v>39</v>
      </c>
      <c r="B33" s="35">
        <v>0</v>
      </c>
      <c r="C33" s="35"/>
      <c r="D33" s="35"/>
      <c r="E33" s="35"/>
      <c r="F33" s="35"/>
      <c r="G33" s="35"/>
      <c r="H33" s="35"/>
      <c r="I33" s="35">
        <f t="shared" si="5"/>
        <v>0</v>
      </c>
      <c r="J33" s="19"/>
    </row>
    <row r="34" spans="1:12" x14ac:dyDescent="0.25">
      <c r="A34" s="39" t="s">
        <v>40</v>
      </c>
      <c r="B34" s="35">
        <v>1</v>
      </c>
      <c r="C34" s="35"/>
      <c r="D34" s="35"/>
      <c r="E34" s="35"/>
      <c r="F34" s="35"/>
      <c r="G34" s="35"/>
      <c r="H34" s="35"/>
      <c r="I34" s="35">
        <f t="shared" si="5"/>
        <v>1</v>
      </c>
      <c r="J34" s="19"/>
    </row>
    <row r="35" spans="1:12" x14ac:dyDescent="0.25">
      <c r="A35" s="40" t="s">
        <v>41</v>
      </c>
      <c r="B35" s="35">
        <v>0</v>
      </c>
      <c r="C35" s="35"/>
      <c r="D35" s="35"/>
      <c r="E35" s="35"/>
      <c r="F35" s="35"/>
      <c r="G35" s="35"/>
      <c r="H35" s="35"/>
      <c r="I35" s="35">
        <f t="shared" si="5"/>
        <v>0</v>
      </c>
      <c r="J35" s="19"/>
    </row>
    <row r="36" spans="1:12" x14ac:dyDescent="0.25">
      <c r="A36" s="33" t="s">
        <v>42</v>
      </c>
      <c r="B36" s="41">
        <f>SUM(B27:B35)</f>
        <v>8</v>
      </c>
      <c r="C36" s="41">
        <f t="shared" ref="C36:H36" si="6">SUM(C27:C35)</f>
        <v>1</v>
      </c>
      <c r="D36" s="41">
        <f t="shared" si="6"/>
        <v>0</v>
      </c>
      <c r="E36" s="41">
        <f t="shared" si="6"/>
        <v>0</v>
      </c>
      <c r="F36" s="41">
        <f t="shared" si="6"/>
        <v>0</v>
      </c>
      <c r="G36" s="41">
        <f t="shared" si="6"/>
        <v>0</v>
      </c>
      <c r="H36" s="41">
        <f t="shared" si="6"/>
        <v>0</v>
      </c>
      <c r="I36" s="41">
        <f>SUM(I27:I35)</f>
        <v>9</v>
      </c>
      <c r="J36" s="10"/>
      <c r="K36" s="10"/>
    </row>
    <row r="37" spans="1:12" x14ac:dyDescent="0.25">
      <c r="A37" s="42"/>
      <c r="B37" s="7"/>
      <c r="C37" s="7"/>
      <c r="D37" s="7"/>
      <c r="E37" s="7"/>
      <c r="F37" s="7"/>
      <c r="G37" s="7"/>
      <c r="H37" s="7"/>
      <c r="I37" s="7"/>
      <c r="J37" s="10"/>
      <c r="K37" s="10"/>
    </row>
    <row r="38" spans="1:12" x14ac:dyDescent="0.25">
      <c r="A38" s="33" t="s">
        <v>43</v>
      </c>
      <c r="B38" s="24" t="str">
        <f>B1</f>
        <v>Operating</v>
      </c>
      <c r="C38" s="24" t="str">
        <f>C1</f>
        <v>SPED</v>
      </c>
      <c r="D38" s="24" t="str">
        <f>D1</f>
        <v>NSLP</v>
      </c>
      <c r="E38" s="24" t="str">
        <f>E1</f>
        <v>Other</v>
      </c>
      <c r="F38" s="24" t="str">
        <f t="shared" ref="F38:G38" si="7">F1</f>
        <v>Title I</v>
      </c>
      <c r="G38" s="24" t="str">
        <f t="shared" si="7"/>
        <v>Title II</v>
      </c>
      <c r="H38" s="24" t="str">
        <f>H1</f>
        <v>Title III</v>
      </c>
      <c r="I38" s="24" t="str">
        <f>I1</f>
        <v>Total (23-24)</v>
      </c>
      <c r="J38" s="25"/>
      <c r="K38" s="25"/>
    </row>
    <row r="39" spans="1:12" x14ac:dyDescent="0.25">
      <c r="A39" s="34" t="s">
        <v>349</v>
      </c>
      <c r="B39" s="37">
        <v>0</v>
      </c>
      <c r="C39" s="37"/>
      <c r="D39" s="37"/>
      <c r="E39" s="37"/>
      <c r="F39" s="37"/>
      <c r="G39" s="37"/>
      <c r="H39" s="37"/>
      <c r="I39" s="35">
        <f t="shared" ref="I39:I45" si="8">SUM(B39:H39)</f>
        <v>0</v>
      </c>
      <c r="J39" s="19"/>
      <c r="L39" s="10">
        <v>0</v>
      </c>
    </row>
    <row r="40" spans="1:12" x14ac:dyDescent="0.25">
      <c r="A40" s="34" t="s">
        <v>348</v>
      </c>
      <c r="B40" s="37">
        <v>1</v>
      </c>
      <c r="C40" s="37"/>
      <c r="D40" s="37"/>
      <c r="E40" s="37"/>
      <c r="F40" s="37"/>
      <c r="G40" s="37"/>
      <c r="H40" s="37"/>
      <c r="I40" s="35">
        <f t="shared" si="8"/>
        <v>1</v>
      </c>
      <c r="J40" s="19"/>
    </row>
    <row r="41" spans="1:12" x14ac:dyDescent="0.25">
      <c r="A41" s="34" t="s">
        <v>44</v>
      </c>
      <c r="B41" s="37">
        <v>0</v>
      </c>
      <c r="C41" s="37"/>
      <c r="D41" s="37"/>
      <c r="E41" s="37"/>
      <c r="F41" s="37"/>
      <c r="G41" s="37"/>
      <c r="H41" s="37"/>
      <c r="I41" s="35">
        <f t="shared" si="8"/>
        <v>0</v>
      </c>
      <c r="J41" s="19"/>
    </row>
    <row r="42" spans="1:12" x14ac:dyDescent="0.25">
      <c r="A42" s="40" t="s">
        <v>45</v>
      </c>
      <c r="B42" s="37">
        <v>0</v>
      </c>
      <c r="C42" s="37"/>
      <c r="D42" s="37"/>
      <c r="E42" s="37">
        <v>0</v>
      </c>
      <c r="F42" s="37"/>
      <c r="G42" s="37"/>
      <c r="H42" s="37"/>
      <c r="I42" s="35">
        <f t="shared" si="8"/>
        <v>0</v>
      </c>
      <c r="J42" s="19"/>
    </row>
    <row r="43" spans="1:12" x14ac:dyDescent="0.25">
      <c r="A43" s="43" t="s">
        <v>46</v>
      </c>
      <c r="B43" s="37">
        <v>0</v>
      </c>
      <c r="C43" s="37"/>
      <c r="D43" s="37"/>
      <c r="E43" s="37"/>
      <c r="F43" s="37"/>
      <c r="G43" s="37"/>
      <c r="H43" s="37"/>
      <c r="I43" s="35">
        <f t="shared" si="8"/>
        <v>0</v>
      </c>
      <c r="J43" s="19"/>
    </row>
    <row r="44" spans="1:12" x14ac:dyDescent="0.25">
      <c r="A44" s="43" t="s">
        <v>47</v>
      </c>
      <c r="B44" s="37">
        <v>0</v>
      </c>
      <c r="C44" s="37"/>
      <c r="D44" s="37"/>
      <c r="E44" s="37"/>
      <c r="F44" s="37"/>
      <c r="G44" s="37"/>
      <c r="H44" s="37"/>
      <c r="I44" s="35">
        <f t="shared" si="8"/>
        <v>0</v>
      </c>
      <c r="J44" s="19"/>
    </row>
    <row r="45" spans="1:12" x14ac:dyDescent="0.25">
      <c r="A45" s="43" t="s">
        <v>354</v>
      </c>
      <c r="B45" s="37">
        <v>1</v>
      </c>
      <c r="C45" s="37"/>
      <c r="D45" s="37"/>
      <c r="E45" s="37">
        <v>0</v>
      </c>
      <c r="F45" s="37"/>
      <c r="G45" s="37"/>
      <c r="H45" s="37"/>
      <c r="I45" s="35">
        <f t="shared" si="8"/>
        <v>1</v>
      </c>
      <c r="J45" s="19"/>
    </row>
    <row r="46" spans="1:12" x14ac:dyDescent="0.25">
      <c r="A46" s="43" t="s">
        <v>48</v>
      </c>
      <c r="B46" s="37">
        <v>0</v>
      </c>
      <c r="C46" s="37"/>
      <c r="D46" s="37"/>
      <c r="E46" s="37"/>
      <c r="F46" s="37"/>
      <c r="G46" s="37"/>
      <c r="H46" s="37"/>
      <c r="I46" s="35"/>
      <c r="J46" s="19"/>
    </row>
    <row r="47" spans="1:12" x14ac:dyDescent="0.25">
      <c r="A47" s="34" t="s">
        <v>49</v>
      </c>
      <c r="B47" s="37">
        <v>1</v>
      </c>
      <c r="C47" s="37"/>
      <c r="D47" s="37"/>
      <c r="E47" s="37"/>
      <c r="F47" s="37"/>
      <c r="G47" s="37"/>
      <c r="H47" s="37"/>
      <c r="I47" s="35">
        <f t="shared" ref="I47:I61" si="9">SUM(B47:H47)</f>
        <v>1</v>
      </c>
      <c r="J47" s="19"/>
    </row>
    <row r="48" spans="1:12" x14ac:dyDescent="0.25">
      <c r="A48" s="34" t="s">
        <v>50</v>
      </c>
      <c r="B48" s="37">
        <v>1</v>
      </c>
      <c r="C48" s="37"/>
      <c r="D48" s="37"/>
      <c r="E48" s="37"/>
      <c r="F48" s="37"/>
      <c r="G48" s="37"/>
      <c r="H48" s="37"/>
      <c r="I48" s="35">
        <f t="shared" si="9"/>
        <v>1</v>
      </c>
      <c r="J48" s="19"/>
    </row>
    <row r="49" spans="1:11" x14ac:dyDescent="0.25">
      <c r="A49" s="34" t="s">
        <v>51</v>
      </c>
      <c r="B49" s="37">
        <v>0</v>
      </c>
      <c r="C49" s="37"/>
      <c r="D49" s="37"/>
      <c r="E49" s="37"/>
      <c r="F49" s="37"/>
      <c r="G49" s="37"/>
      <c r="H49" s="37"/>
      <c r="I49" s="35">
        <f t="shared" si="9"/>
        <v>0</v>
      </c>
      <c r="J49" s="19"/>
    </row>
    <row r="50" spans="1:11" x14ac:dyDescent="0.25">
      <c r="A50" s="34" t="s">
        <v>52</v>
      </c>
      <c r="B50" s="37">
        <v>0</v>
      </c>
      <c r="C50" s="37"/>
      <c r="D50" s="37"/>
      <c r="E50" s="37"/>
      <c r="F50" s="37"/>
      <c r="G50" s="37"/>
      <c r="H50" s="37"/>
      <c r="I50" s="35">
        <f t="shared" si="9"/>
        <v>0</v>
      </c>
      <c r="J50" s="19"/>
    </row>
    <row r="51" spans="1:11" x14ac:dyDescent="0.25">
      <c r="A51" s="34" t="s">
        <v>53</v>
      </c>
      <c r="B51" s="37">
        <v>0</v>
      </c>
      <c r="C51" s="37"/>
      <c r="D51" s="37"/>
      <c r="E51" s="37"/>
      <c r="F51" s="37">
        <v>1</v>
      </c>
      <c r="G51" s="37"/>
      <c r="H51" s="37"/>
      <c r="I51" s="35">
        <f t="shared" si="9"/>
        <v>1</v>
      </c>
      <c r="J51" s="19"/>
    </row>
    <row r="52" spans="1:11" x14ac:dyDescent="0.25">
      <c r="A52" s="34" t="s">
        <v>54</v>
      </c>
      <c r="B52" s="37">
        <v>0</v>
      </c>
      <c r="C52" s="37"/>
      <c r="D52" s="37"/>
      <c r="E52" s="37"/>
      <c r="F52" s="37"/>
      <c r="G52" s="37"/>
      <c r="H52" s="37"/>
      <c r="I52" s="35">
        <f t="shared" si="9"/>
        <v>0</v>
      </c>
      <c r="J52" s="19"/>
    </row>
    <row r="53" spans="1:11" x14ac:dyDescent="0.25">
      <c r="A53" s="34" t="s">
        <v>55</v>
      </c>
      <c r="B53" s="37"/>
      <c r="C53" s="37"/>
      <c r="D53" s="37">
        <v>1</v>
      </c>
      <c r="E53" s="37"/>
      <c r="F53" s="37"/>
      <c r="G53" s="37"/>
      <c r="H53" s="37"/>
      <c r="I53" s="35">
        <f t="shared" si="9"/>
        <v>1</v>
      </c>
      <c r="J53" s="19"/>
    </row>
    <row r="54" spans="1:11" x14ac:dyDescent="0.25">
      <c r="A54" s="34" t="s">
        <v>56</v>
      </c>
      <c r="B54" s="37"/>
      <c r="C54" s="37"/>
      <c r="D54" s="37"/>
      <c r="E54" s="37"/>
      <c r="F54" s="37"/>
      <c r="G54" s="37"/>
      <c r="H54" s="37"/>
      <c r="I54" s="35">
        <f t="shared" si="9"/>
        <v>0</v>
      </c>
      <c r="J54" s="8"/>
      <c r="K54" s="9"/>
    </row>
    <row r="55" spans="1:11" x14ac:dyDescent="0.25">
      <c r="A55" s="40" t="s">
        <v>57</v>
      </c>
      <c r="B55" s="37"/>
      <c r="C55" s="37"/>
      <c r="D55" s="37"/>
      <c r="E55" s="37"/>
      <c r="F55" s="37"/>
      <c r="G55" s="37"/>
      <c r="H55" s="37"/>
      <c r="I55" s="35">
        <f t="shared" si="9"/>
        <v>0</v>
      </c>
      <c r="J55" s="8"/>
      <c r="K55" s="9"/>
    </row>
    <row r="56" spans="1:11" x14ac:dyDescent="0.25">
      <c r="A56" s="40" t="s">
        <v>58</v>
      </c>
      <c r="B56" s="37"/>
      <c r="C56" s="37"/>
      <c r="D56" s="37"/>
      <c r="E56" s="37"/>
      <c r="F56" s="37"/>
      <c r="G56" s="37"/>
      <c r="H56" s="37"/>
      <c r="I56" s="35">
        <f t="shared" si="9"/>
        <v>0</v>
      </c>
      <c r="J56" s="8"/>
      <c r="K56" s="9"/>
    </row>
    <row r="57" spans="1:11" x14ac:dyDescent="0.25">
      <c r="A57" s="40" t="s">
        <v>59</v>
      </c>
      <c r="B57" s="37"/>
      <c r="C57" s="37"/>
      <c r="D57" s="37"/>
      <c r="E57" s="37"/>
      <c r="F57" s="37"/>
      <c r="G57" s="37"/>
      <c r="H57" s="37"/>
      <c r="I57" s="35">
        <f t="shared" si="9"/>
        <v>0</v>
      </c>
      <c r="J57" s="8"/>
      <c r="K57" s="9"/>
    </row>
    <row r="58" spans="1:11" x14ac:dyDescent="0.25">
      <c r="A58" s="40" t="s">
        <v>60</v>
      </c>
      <c r="B58" s="37"/>
      <c r="C58" s="37"/>
      <c r="D58" s="37"/>
      <c r="E58" s="37"/>
      <c r="F58" s="37"/>
      <c r="G58" s="37"/>
      <c r="H58" s="37"/>
      <c r="I58" s="35">
        <f t="shared" si="9"/>
        <v>0</v>
      </c>
      <c r="J58" s="8"/>
      <c r="K58" s="9"/>
    </row>
    <row r="59" spans="1:11" x14ac:dyDescent="0.25">
      <c r="A59" s="40" t="s">
        <v>61</v>
      </c>
      <c r="B59" s="37"/>
      <c r="C59" s="37"/>
      <c r="D59" s="37"/>
      <c r="E59" s="37"/>
      <c r="F59" s="37"/>
      <c r="G59" s="37"/>
      <c r="H59" s="37"/>
      <c r="I59" s="35">
        <f t="shared" si="9"/>
        <v>0</v>
      </c>
      <c r="J59" s="8"/>
      <c r="K59" s="9"/>
    </row>
    <row r="60" spans="1:11" x14ac:dyDescent="0.25">
      <c r="A60" s="40" t="s">
        <v>341</v>
      </c>
      <c r="B60" s="37"/>
      <c r="C60" s="37"/>
      <c r="D60" s="37"/>
      <c r="E60" s="37">
        <v>0</v>
      </c>
      <c r="F60" s="37"/>
      <c r="G60" s="37"/>
      <c r="H60" s="37"/>
      <c r="I60" s="35">
        <f t="shared" si="9"/>
        <v>0</v>
      </c>
      <c r="J60" s="8"/>
      <c r="K60" s="9"/>
    </row>
    <row r="61" spans="1:11" x14ac:dyDescent="0.25">
      <c r="A61" s="34" t="s">
        <v>63</v>
      </c>
      <c r="B61" s="35"/>
      <c r="C61" s="35"/>
      <c r="D61" s="35"/>
      <c r="E61" s="35"/>
      <c r="F61" s="35"/>
      <c r="G61" s="35"/>
      <c r="H61" s="35"/>
      <c r="I61" s="35">
        <f t="shared" si="9"/>
        <v>0</v>
      </c>
      <c r="J61" s="8"/>
      <c r="K61" s="9"/>
    </row>
    <row r="62" spans="1:11" x14ac:dyDescent="0.25">
      <c r="A62" s="33" t="s">
        <v>64</v>
      </c>
      <c r="B62" s="45">
        <f>SUM(B39:B61)</f>
        <v>4</v>
      </c>
      <c r="C62" s="45">
        <f>SUM(C39:C61)</f>
        <v>0</v>
      </c>
      <c r="D62" s="45">
        <f>SUM(D39:D61)</f>
        <v>1</v>
      </c>
      <c r="E62" s="45">
        <f>SUM(E39:E61)</f>
        <v>0</v>
      </c>
      <c r="F62" s="45">
        <f t="shared" ref="F62:H62" si="10">SUM(F39:F61)</f>
        <v>1</v>
      </c>
      <c r="G62" s="45">
        <f t="shared" si="10"/>
        <v>0</v>
      </c>
      <c r="H62" s="45">
        <f t="shared" si="10"/>
        <v>0</v>
      </c>
      <c r="I62" s="45">
        <f>SUM(I39:I61)</f>
        <v>6</v>
      </c>
      <c r="J62" s="10"/>
      <c r="K62" s="10"/>
    </row>
    <row r="63" spans="1:11" ht="15.75" thickBot="1" x14ac:dyDescent="0.3">
      <c r="A63" s="46"/>
      <c r="B63" s="47"/>
      <c r="C63" s="47"/>
      <c r="D63" s="47"/>
      <c r="E63" s="47"/>
      <c r="F63" s="47"/>
      <c r="G63" s="47"/>
      <c r="H63" s="47"/>
      <c r="I63" s="47"/>
      <c r="J63" s="10"/>
      <c r="K63" s="10"/>
    </row>
    <row r="64" spans="1:11" x14ac:dyDescent="0.25">
      <c r="A64" s="48" t="s">
        <v>65</v>
      </c>
      <c r="B64" s="49">
        <f>B36</f>
        <v>8</v>
      </c>
      <c r="C64" s="49">
        <f>C36</f>
        <v>1</v>
      </c>
      <c r="D64" s="49">
        <f>D36</f>
        <v>0</v>
      </c>
      <c r="E64" s="49">
        <f>E36</f>
        <v>0</v>
      </c>
      <c r="F64" s="49">
        <f t="shared" ref="F64:H64" si="11">F36</f>
        <v>0</v>
      </c>
      <c r="G64" s="49">
        <f t="shared" si="11"/>
        <v>0</v>
      </c>
      <c r="H64" s="49">
        <f t="shared" si="11"/>
        <v>0</v>
      </c>
      <c r="I64" s="49">
        <f>I36</f>
        <v>9</v>
      </c>
      <c r="J64" s="10"/>
      <c r="K64" s="10"/>
    </row>
    <row r="65" spans="1:11" x14ac:dyDescent="0.25">
      <c r="A65" s="50" t="s">
        <v>66</v>
      </c>
      <c r="B65" s="51">
        <f>B62</f>
        <v>4</v>
      </c>
      <c r="C65" s="51">
        <f t="shared" ref="C65:I65" si="12">C62</f>
        <v>0</v>
      </c>
      <c r="D65" s="51">
        <f t="shared" si="12"/>
        <v>1</v>
      </c>
      <c r="E65" s="51">
        <f t="shared" si="12"/>
        <v>0</v>
      </c>
      <c r="F65" s="51">
        <f t="shared" si="12"/>
        <v>1</v>
      </c>
      <c r="G65" s="51">
        <f t="shared" si="12"/>
        <v>0</v>
      </c>
      <c r="H65" s="51">
        <f t="shared" si="12"/>
        <v>0</v>
      </c>
      <c r="I65" s="51">
        <f t="shared" si="12"/>
        <v>6</v>
      </c>
      <c r="J65" s="10"/>
      <c r="K65" s="10"/>
    </row>
    <row r="66" spans="1:11" ht="15.75" thickBot="1" x14ac:dyDescent="0.3">
      <c r="A66" s="52" t="s">
        <v>67</v>
      </c>
      <c r="B66" s="53">
        <f>SUM(B64:B65)</f>
        <v>12</v>
      </c>
      <c r="C66" s="53">
        <f t="shared" ref="C66:I66" si="13">SUM(C64:C65)</f>
        <v>1</v>
      </c>
      <c r="D66" s="53">
        <f t="shared" si="13"/>
        <v>1</v>
      </c>
      <c r="E66" s="53">
        <f t="shared" si="13"/>
        <v>0</v>
      </c>
      <c r="F66" s="53">
        <f t="shared" si="13"/>
        <v>1</v>
      </c>
      <c r="G66" s="53">
        <f t="shared" si="13"/>
        <v>0</v>
      </c>
      <c r="H66" s="53">
        <f t="shared" si="13"/>
        <v>0</v>
      </c>
      <c r="I66" s="53">
        <f t="shared" si="13"/>
        <v>15</v>
      </c>
      <c r="J66" s="10"/>
      <c r="K66" s="10"/>
    </row>
    <row r="67" spans="1:11" x14ac:dyDescent="0.25">
      <c r="A67" s="40"/>
      <c r="B67" s="54"/>
      <c r="C67" s="54"/>
      <c r="D67" s="54"/>
      <c r="E67" s="54"/>
      <c r="F67" s="54"/>
      <c r="G67" s="54"/>
      <c r="H67" s="54"/>
      <c r="I67" s="54"/>
      <c r="J67" s="10"/>
      <c r="K67" s="10"/>
    </row>
    <row r="68" spans="1:11" x14ac:dyDescent="0.25">
      <c r="A68" s="55" t="s">
        <v>68</v>
      </c>
      <c r="B68" s="56"/>
      <c r="C68" s="56"/>
      <c r="D68" s="56"/>
      <c r="E68" s="56"/>
      <c r="F68" s="56"/>
      <c r="G68" s="56"/>
      <c r="H68" s="56"/>
      <c r="I68" s="57">
        <f>I144/(I213+I215+I216+I217+I218+I219)</f>
        <v>0.53888239162271789</v>
      </c>
      <c r="J68" s="10"/>
      <c r="K68" s="10"/>
    </row>
    <row r="69" spans="1:11" x14ac:dyDescent="0.25">
      <c r="A69" s="55" t="s">
        <v>69</v>
      </c>
      <c r="B69" s="56"/>
      <c r="C69" s="56"/>
      <c r="D69" s="56"/>
      <c r="E69" s="56"/>
      <c r="F69" s="56"/>
      <c r="G69" s="56"/>
      <c r="H69" s="56"/>
      <c r="I69" s="57">
        <f>(I116+I117+I120+I130)/I134</f>
        <v>0.66247227119846519</v>
      </c>
      <c r="J69" s="10"/>
      <c r="K69" s="10"/>
    </row>
    <row r="70" spans="1:11" x14ac:dyDescent="0.25">
      <c r="A70" s="55" t="s">
        <v>70</v>
      </c>
      <c r="B70" s="56"/>
      <c r="C70" s="56"/>
      <c r="D70" s="56"/>
      <c r="E70" s="56"/>
      <c r="F70" s="56"/>
      <c r="G70" s="56"/>
      <c r="H70" s="56"/>
      <c r="I70" s="57">
        <f>(I108+I110+I111+I114+I118+I119+I121+I122++I125+I126+I127+I128+I129+I131+I132)/I134</f>
        <v>0.19558973033599131</v>
      </c>
      <c r="J70" s="10"/>
      <c r="K70" s="10"/>
    </row>
    <row r="71" spans="1:11" x14ac:dyDescent="0.25">
      <c r="A71" s="55" t="s">
        <v>71</v>
      </c>
      <c r="B71" s="56"/>
      <c r="C71" s="56"/>
      <c r="D71" s="56"/>
      <c r="E71" s="56"/>
      <c r="F71" s="56"/>
      <c r="G71" s="56"/>
      <c r="H71" s="56"/>
      <c r="I71" s="57">
        <f>(I215+I216+I217+I218)/(I98)</f>
        <v>4.6613083189057554E-2</v>
      </c>
      <c r="J71" s="10"/>
      <c r="K71" s="10"/>
    </row>
    <row r="72" spans="1:11" ht="15.75" thickBot="1" x14ac:dyDescent="0.3">
      <c r="B72" s="54"/>
      <c r="C72" s="54"/>
      <c r="D72" s="54"/>
      <c r="E72" s="54"/>
      <c r="F72" s="54"/>
      <c r="G72" s="54"/>
      <c r="H72" s="54"/>
      <c r="I72" s="54"/>
      <c r="J72" s="10"/>
      <c r="K72" s="10"/>
    </row>
    <row r="73" spans="1:11" ht="15.75" thickBot="1" x14ac:dyDescent="0.3">
      <c r="A73" s="58" t="s">
        <v>72</v>
      </c>
      <c r="B73" s="59" t="str">
        <f>B1</f>
        <v>Operating</v>
      </c>
      <c r="C73" s="59" t="str">
        <f>C1</f>
        <v>SPED</v>
      </c>
      <c r="D73" s="59" t="str">
        <f>D1</f>
        <v>NSLP</v>
      </c>
      <c r="E73" s="59" t="str">
        <f>E1</f>
        <v>Other</v>
      </c>
      <c r="F73" s="59" t="str">
        <f t="shared" ref="F73:G73" si="14">F1</f>
        <v>Title I</v>
      </c>
      <c r="G73" s="59" t="str">
        <f t="shared" si="14"/>
        <v>Title II</v>
      </c>
      <c r="H73" s="59" t="str">
        <f>H1</f>
        <v>Title III</v>
      </c>
      <c r="I73" s="59" t="str">
        <f>I1</f>
        <v>Total (23-24)</v>
      </c>
      <c r="J73" s="10"/>
      <c r="K73" s="10"/>
    </row>
    <row r="74" spans="1:11" x14ac:dyDescent="0.25">
      <c r="A74" s="60" t="s">
        <v>73</v>
      </c>
      <c r="B74" s="61"/>
      <c r="C74" s="61"/>
      <c r="D74" s="61"/>
      <c r="E74" s="61"/>
      <c r="F74" s="61"/>
      <c r="G74" s="61"/>
      <c r="H74" s="61"/>
      <c r="I74" s="62"/>
      <c r="J74" s="10"/>
      <c r="K74" s="10"/>
    </row>
    <row r="75" spans="1:11" x14ac:dyDescent="0.25">
      <c r="A75" s="40" t="s">
        <v>74</v>
      </c>
      <c r="B75" s="63">
        <f>(B2*B3)</f>
        <v>1931187.96</v>
      </c>
      <c r="C75" s="63"/>
      <c r="D75" s="63"/>
      <c r="E75" s="63"/>
      <c r="F75" s="63"/>
      <c r="G75" s="63"/>
      <c r="H75" s="63"/>
      <c r="I75" s="64">
        <f t="shared" ref="I75:I96" si="15">SUM(B75:H75)</f>
        <v>1931187.96</v>
      </c>
      <c r="J75" s="19"/>
    </row>
    <row r="76" spans="1:11" x14ac:dyDescent="0.25">
      <c r="A76" s="40" t="s">
        <v>75</v>
      </c>
      <c r="B76" s="47">
        <f>4236*B21</f>
        <v>140729.33333333334</v>
      </c>
      <c r="C76" s="47"/>
      <c r="D76" s="47"/>
      <c r="E76" s="47"/>
      <c r="F76" s="47"/>
      <c r="G76" s="47"/>
      <c r="H76" s="47"/>
      <c r="I76" s="7">
        <f>SUM(B76:H76)</f>
        <v>140729.33333333334</v>
      </c>
      <c r="J76" s="142">
        <f>0.45*9414</f>
        <v>4236.3</v>
      </c>
      <c r="K76" s="9"/>
    </row>
    <row r="77" spans="1:11" x14ac:dyDescent="0.25">
      <c r="A77" s="40" t="s">
        <v>76</v>
      </c>
      <c r="B77" s="7">
        <f>1075*B22</f>
        <v>0</v>
      </c>
      <c r="C77" s="7"/>
      <c r="D77" s="7"/>
      <c r="E77" s="7"/>
      <c r="F77" s="7"/>
      <c r="G77" s="7"/>
      <c r="H77" s="7"/>
      <c r="I77" s="7">
        <f>SUM(B77:H77)</f>
        <v>0</v>
      </c>
      <c r="J77" s="142">
        <f>0.12*9414</f>
        <v>1129.68</v>
      </c>
      <c r="K77" s="9"/>
    </row>
    <row r="78" spans="1:11" x14ac:dyDescent="0.25">
      <c r="A78" s="40" t="s">
        <v>77</v>
      </c>
      <c r="B78" s="7">
        <f>3294*2</f>
        <v>6588</v>
      </c>
      <c r="C78" s="7"/>
      <c r="D78" s="7"/>
      <c r="E78" s="7"/>
      <c r="F78" s="7"/>
      <c r="G78" s="7"/>
      <c r="H78" s="7"/>
      <c r="I78" s="7">
        <f>SUM(B78:H78)</f>
        <v>6588</v>
      </c>
      <c r="J78" s="142">
        <f>0.35*9414</f>
        <v>3294.8999999999996</v>
      </c>
    </row>
    <row r="79" spans="1:11" x14ac:dyDescent="0.25">
      <c r="A79" s="40" t="s">
        <v>78</v>
      </c>
      <c r="B79" s="47"/>
      <c r="C79" s="47">
        <v>0</v>
      </c>
      <c r="D79" s="47"/>
      <c r="E79" s="47"/>
      <c r="F79" s="47"/>
      <c r="G79" s="47"/>
      <c r="H79" s="47"/>
      <c r="I79" s="47">
        <f>SUM(B79:H79)</f>
        <v>0</v>
      </c>
      <c r="J79" s="8"/>
      <c r="K79" s="66"/>
    </row>
    <row r="80" spans="1:11" x14ac:dyDescent="0.25">
      <c r="A80" s="40" t="s">
        <v>79</v>
      </c>
      <c r="B80" s="47">
        <v>0</v>
      </c>
      <c r="C80" s="47">
        <f>3900*C20</f>
        <v>95766.666666666657</v>
      </c>
      <c r="D80" s="47"/>
      <c r="E80" s="47"/>
      <c r="F80" s="47"/>
      <c r="G80" s="47"/>
      <c r="H80" s="47"/>
      <c r="I80" s="47">
        <f>SUM(B80:H80)</f>
        <v>95766.666666666657</v>
      </c>
      <c r="J80" s="8">
        <v>3900</v>
      </c>
      <c r="K80" s="66"/>
    </row>
    <row r="81" spans="1:11" x14ac:dyDescent="0.25">
      <c r="A81" s="67" t="s">
        <v>80</v>
      </c>
      <c r="B81" s="68">
        <f>SUM(B75:B80)</f>
        <v>2078505.2933333332</v>
      </c>
      <c r="C81" s="68">
        <f>SUM(C75:C80)</f>
        <v>95766.666666666657</v>
      </c>
      <c r="D81" s="68">
        <f>SUM(D75:D80)</f>
        <v>0</v>
      </c>
      <c r="E81" s="68">
        <f t="shared" ref="E81:G81" si="16">SUM(E75:E80)</f>
        <v>0</v>
      </c>
      <c r="F81" s="68">
        <f t="shared" si="16"/>
        <v>0</v>
      </c>
      <c r="G81" s="68">
        <f t="shared" si="16"/>
        <v>0</v>
      </c>
      <c r="H81" s="68">
        <f>SUM(H75:H80)</f>
        <v>0</v>
      </c>
      <c r="I81" s="68">
        <f>SUM(I75:I80)</f>
        <v>2174271.96</v>
      </c>
      <c r="J81" s="10"/>
      <c r="K81" s="10"/>
    </row>
    <row r="82" spans="1:11" x14ac:dyDescent="0.25">
      <c r="A82" s="69" t="s">
        <v>81</v>
      </c>
      <c r="B82" s="61"/>
      <c r="C82" s="61"/>
      <c r="D82" s="61"/>
      <c r="E82" s="61"/>
      <c r="F82" s="61"/>
      <c r="G82" s="61"/>
      <c r="H82" s="61"/>
      <c r="I82" s="62"/>
      <c r="J82" s="10"/>
      <c r="K82" s="10"/>
    </row>
    <row r="83" spans="1:11" x14ac:dyDescent="0.25">
      <c r="A83" s="40" t="s">
        <v>82</v>
      </c>
      <c r="B83" s="7"/>
      <c r="C83" s="7">
        <f>1287*C20</f>
        <v>31602.999999999996</v>
      </c>
      <c r="D83" s="7"/>
      <c r="E83" s="7"/>
      <c r="F83" s="7"/>
      <c r="G83" s="7"/>
      <c r="H83" s="7"/>
      <c r="I83" s="7">
        <f>SUM(B83:H83)</f>
        <v>31602.999999999996</v>
      </c>
      <c r="J83" s="8">
        <v>1287</v>
      </c>
      <c r="K83" s="9"/>
    </row>
    <row r="84" spans="1:11" x14ac:dyDescent="0.25">
      <c r="A84" s="40" t="s">
        <v>83</v>
      </c>
      <c r="B84" s="7"/>
      <c r="C84" s="7"/>
      <c r="D84" s="14">
        <f>((B17*D23)*2.26*180)</f>
        <v>79325.999999999985</v>
      </c>
      <c r="E84" s="14"/>
      <c r="F84" s="7"/>
      <c r="G84" s="7"/>
      <c r="H84" s="14"/>
      <c r="I84" s="7">
        <f t="shared" si="15"/>
        <v>79325.999999999985</v>
      </c>
      <c r="J84" s="70">
        <v>2.2599999999999998</v>
      </c>
      <c r="K84" s="71"/>
    </row>
    <row r="85" spans="1:11" x14ac:dyDescent="0.25">
      <c r="A85" s="40" t="s">
        <v>84</v>
      </c>
      <c r="B85" s="47"/>
      <c r="C85" s="47"/>
      <c r="D85" s="14">
        <f>((B17*D23)*4.37*180)</f>
        <v>153387</v>
      </c>
      <c r="E85" s="73"/>
      <c r="F85" s="47"/>
      <c r="G85" s="47"/>
      <c r="H85" s="14"/>
      <c r="I85" s="7">
        <f t="shared" si="15"/>
        <v>153387</v>
      </c>
      <c r="J85" s="70">
        <v>4.37</v>
      </c>
      <c r="K85" s="71"/>
    </row>
    <row r="86" spans="1:11" x14ac:dyDescent="0.25">
      <c r="A86" s="40" t="s">
        <v>3</v>
      </c>
      <c r="B86" s="47"/>
      <c r="C86" s="47"/>
      <c r="D86" s="47"/>
      <c r="E86" s="47"/>
      <c r="F86" s="47">
        <f>150*B17</f>
        <v>29250</v>
      </c>
      <c r="G86" s="47"/>
      <c r="H86" s="47"/>
      <c r="I86" s="7">
        <f t="shared" si="15"/>
        <v>29250</v>
      </c>
      <c r="J86" s="8"/>
      <c r="K86" s="9"/>
    </row>
    <row r="87" spans="1:11" x14ac:dyDescent="0.25">
      <c r="A87" s="40" t="s">
        <v>4</v>
      </c>
      <c r="B87" s="47"/>
      <c r="C87" s="47"/>
      <c r="D87" s="47"/>
      <c r="E87" s="47"/>
      <c r="F87" s="47"/>
      <c r="G87" s="47">
        <v>8000</v>
      </c>
      <c r="H87" s="47"/>
      <c r="I87" s="7">
        <f t="shared" si="15"/>
        <v>8000</v>
      </c>
      <c r="J87" s="8"/>
      <c r="K87" s="9"/>
    </row>
    <row r="88" spans="1:11" x14ac:dyDescent="0.25">
      <c r="A88" s="40" t="s">
        <v>5</v>
      </c>
      <c r="B88" s="47"/>
      <c r="C88" s="47"/>
      <c r="D88" s="47"/>
      <c r="E88" s="47"/>
      <c r="F88" s="47"/>
      <c r="G88" s="47"/>
      <c r="H88" s="47">
        <v>1500</v>
      </c>
      <c r="I88" s="7">
        <f t="shared" si="15"/>
        <v>1500</v>
      </c>
      <c r="J88" s="8"/>
      <c r="K88" s="9"/>
    </row>
    <row r="89" spans="1:11" x14ac:dyDescent="0.25">
      <c r="A89" s="40" t="s">
        <v>85</v>
      </c>
      <c r="B89" s="47"/>
      <c r="C89" s="47"/>
      <c r="D89" s="47"/>
      <c r="E89" s="47"/>
      <c r="F89" s="47"/>
      <c r="G89" s="47"/>
      <c r="H89" s="47"/>
      <c r="I89" s="7">
        <f t="shared" si="15"/>
        <v>0</v>
      </c>
      <c r="J89" s="8"/>
      <c r="K89" s="9"/>
    </row>
    <row r="90" spans="1:11" x14ac:dyDescent="0.25">
      <c r="A90" s="40" t="s">
        <v>350</v>
      </c>
      <c r="B90" s="47">
        <f>B160*0.7</f>
        <v>53603.825624999998</v>
      </c>
      <c r="C90" s="47"/>
      <c r="D90" s="47"/>
      <c r="E90" s="47"/>
      <c r="F90" s="47"/>
      <c r="G90" s="47"/>
      <c r="H90" s="47"/>
      <c r="I90" s="7">
        <f t="shared" si="15"/>
        <v>53603.825624999998</v>
      </c>
      <c r="J90" s="8"/>
      <c r="K90" s="9"/>
    </row>
    <row r="91" spans="1:11" x14ac:dyDescent="0.25">
      <c r="A91" s="67" t="s">
        <v>86</v>
      </c>
      <c r="B91" s="68">
        <f t="shared" ref="B91" si="17">SUM(B83:B90)</f>
        <v>53603.825624999998</v>
      </c>
      <c r="C91" s="68">
        <f t="shared" ref="C91:H91" si="18">SUM(C83:C90)</f>
        <v>31602.999999999996</v>
      </c>
      <c r="D91" s="68">
        <f t="shared" si="18"/>
        <v>232713</v>
      </c>
      <c r="E91" s="68">
        <f t="shared" si="18"/>
        <v>0</v>
      </c>
      <c r="F91" s="68">
        <f t="shared" si="18"/>
        <v>29250</v>
      </c>
      <c r="G91" s="68">
        <f t="shared" si="18"/>
        <v>8000</v>
      </c>
      <c r="H91" s="68">
        <f t="shared" si="18"/>
        <v>1500</v>
      </c>
      <c r="I91" s="68">
        <f>SUM(I83:I90)</f>
        <v>356669.825625</v>
      </c>
      <c r="J91" s="10"/>
      <c r="K91" s="10"/>
    </row>
    <row r="92" spans="1:11" x14ac:dyDescent="0.25">
      <c r="A92" s="69" t="s">
        <v>87</v>
      </c>
      <c r="B92" s="61"/>
      <c r="C92" s="61"/>
      <c r="D92" s="61"/>
      <c r="E92" s="61"/>
      <c r="F92" s="61"/>
      <c r="G92" s="61"/>
      <c r="H92" s="61"/>
      <c r="I92" s="62"/>
      <c r="J92" s="10"/>
      <c r="K92" s="10"/>
    </row>
    <row r="93" spans="1:11" x14ac:dyDescent="0.25">
      <c r="A93" s="40" t="s">
        <v>88</v>
      </c>
      <c r="B93" s="7"/>
      <c r="C93" s="7"/>
      <c r="D93" s="7"/>
      <c r="E93" s="7"/>
      <c r="F93" s="7"/>
      <c r="G93" s="7"/>
      <c r="H93" s="7"/>
      <c r="I93" s="7">
        <f t="shared" si="15"/>
        <v>0</v>
      </c>
      <c r="J93" s="19"/>
    </row>
    <row r="94" spans="1:11" x14ac:dyDescent="0.25">
      <c r="A94" s="40" t="s">
        <v>89</v>
      </c>
      <c r="B94" s="14"/>
      <c r="C94" s="14"/>
      <c r="D94" s="14"/>
      <c r="E94" s="14"/>
      <c r="F94" s="14"/>
      <c r="G94" s="14"/>
      <c r="H94" s="14"/>
      <c r="I94" s="7">
        <f t="shared" si="15"/>
        <v>0</v>
      </c>
      <c r="J94" s="19"/>
    </row>
    <row r="95" spans="1:11" x14ac:dyDescent="0.25">
      <c r="A95" s="40" t="s">
        <v>90</v>
      </c>
      <c r="B95" s="47"/>
      <c r="C95" s="47"/>
      <c r="D95" s="47"/>
      <c r="E95" s="47"/>
      <c r="F95" s="47"/>
      <c r="G95" s="47"/>
      <c r="H95" s="47"/>
      <c r="I95" s="47">
        <f t="shared" si="15"/>
        <v>0</v>
      </c>
      <c r="J95" s="19"/>
    </row>
    <row r="96" spans="1:11" x14ac:dyDescent="0.25">
      <c r="A96" s="40" t="s">
        <v>91</v>
      </c>
      <c r="B96" s="47"/>
      <c r="C96" s="47"/>
      <c r="D96" s="47"/>
      <c r="E96" s="47"/>
      <c r="F96" s="47"/>
      <c r="G96" s="47"/>
      <c r="H96" s="47"/>
      <c r="I96" s="47">
        <f t="shared" si="15"/>
        <v>0</v>
      </c>
      <c r="J96" s="19"/>
    </row>
    <row r="97" spans="1:11" x14ac:dyDescent="0.25">
      <c r="A97" s="67" t="s">
        <v>92</v>
      </c>
      <c r="B97" s="68">
        <f>SUM(B93:B96)</f>
        <v>0</v>
      </c>
      <c r="C97" s="68">
        <f t="shared" ref="C97:H97" si="19">SUM(C93:C96)</f>
        <v>0</v>
      </c>
      <c r="D97" s="68">
        <f t="shared" si="19"/>
        <v>0</v>
      </c>
      <c r="E97" s="68"/>
      <c r="F97" s="68"/>
      <c r="G97" s="68"/>
      <c r="H97" s="68">
        <f t="shared" si="19"/>
        <v>0</v>
      </c>
      <c r="I97" s="68">
        <f>SUM(I93:I96)</f>
        <v>0</v>
      </c>
      <c r="J97" s="10"/>
      <c r="K97" s="10"/>
    </row>
    <row r="98" spans="1:11" x14ac:dyDescent="0.25">
      <c r="A98" s="74" t="s">
        <v>93</v>
      </c>
      <c r="B98" s="75">
        <f>B81+B91+B97</f>
        <v>2132109.118958333</v>
      </c>
      <c r="C98" s="75">
        <f t="shared" ref="C98:I98" si="20">C81+C91+C97</f>
        <v>127369.66666666666</v>
      </c>
      <c r="D98" s="75">
        <f t="shared" si="20"/>
        <v>232713</v>
      </c>
      <c r="E98" s="75">
        <f t="shared" si="20"/>
        <v>0</v>
      </c>
      <c r="F98" s="75">
        <f t="shared" si="20"/>
        <v>29250</v>
      </c>
      <c r="G98" s="75">
        <f t="shared" si="20"/>
        <v>8000</v>
      </c>
      <c r="H98" s="75">
        <f t="shared" si="20"/>
        <v>1500</v>
      </c>
      <c r="I98" s="75">
        <f t="shared" si="20"/>
        <v>2530941.785625</v>
      </c>
      <c r="J98" s="10"/>
      <c r="K98" s="10"/>
    </row>
    <row r="99" spans="1:11" x14ac:dyDescent="0.25">
      <c r="A99" s="69" t="s">
        <v>94</v>
      </c>
      <c r="B99" s="61"/>
      <c r="C99" s="61"/>
      <c r="D99" s="61"/>
      <c r="E99" s="61"/>
      <c r="F99" s="61"/>
      <c r="G99" s="61"/>
      <c r="H99" s="61"/>
      <c r="I99" s="62"/>
      <c r="J99" s="10"/>
      <c r="K99" s="10"/>
    </row>
    <row r="100" spans="1:11" x14ac:dyDescent="0.25">
      <c r="A100" s="40" t="s">
        <v>95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f>SUM(B100:H100)</f>
        <v>0</v>
      </c>
      <c r="J100" s="19"/>
      <c r="K100" s="10"/>
    </row>
    <row r="101" spans="1:11" x14ac:dyDescent="0.25">
      <c r="A101" s="40" t="s">
        <v>96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7">
        <f t="shared" ref="I101:I103" si="21">SUM(B101:H101)</f>
        <v>0</v>
      </c>
      <c r="J101" s="19"/>
      <c r="K101" s="10"/>
    </row>
    <row r="102" spans="1:11" x14ac:dyDescent="0.25">
      <c r="A102" s="40"/>
      <c r="B102" s="47"/>
      <c r="C102" s="47"/>
      <c r="D102" s="47"/>
      <c r="E102" s="47"/>
      <c r="F102" s="47"/>
      <c r="G102" s="47"/>
      <c r="H102" s="47"/>
      <c r="I102" s="7">
        <f t="shared" si="21"/>
        <v>0</v>
      </c>
      <c r="J102" s="19"/>
      <c r="K102" s="10"/>
    </row>
    <row r="103" spans="1:11" x14ac:dyDescent="0.25">
      <c r="A103" s="40"/>
      <c r="B103" s="47"/>
      <c r="C103" s="47"/>
      <c r="D103" s="47"/>
      <c r="E103" s="47"/>
      <c r="F103" s="47"/>
      <c r="G103" s="47"/>
      <c r="H103" s="47"/>
      <c r="I103" s="7">
        <f t="shared" si="21"/>
        <v>0</v>
      </c>
      <c r="J103" s="19"/>
      <c r="K103" s="10"/>
    </row>
    <row r="104" spans="1:11" x14ac:dyDescent="0.25">
      <c r="A104" s="67" t="s">
        <v>97</v>
      </c>
      <c r="B104" s="68">
        <f>SUM(B100:B103)</f>
        <v>0</v>
      </c>
      <c r="C104" s="68">
        <f t="shared" ref="C104:I104" si="22">SUM(C100:C103)</f>
        <v>0</v>
      </c>
      <c r="D104" s="68">
        <f t="shared" si="22"/>
        <v>0</v>
      </c>
      <c r="E104" s="68">
        <f t="shared" si="22"/>
        <v>0</v>
      </c>
      <c r="F104" s="68">
        <f t="shared" si="22"/>
        <v>0</v>
      </c>
      <c r="G104" s="68">
        <f t="shared" si="22"/>
        <v>0</v>
      </c>
      <c r="H104" s="68">
        <f t="shared" si="22"/>
        <v>0</v>
      </c>
      <c r="I104" s="68">
        <f t="shared" si="22"/>
        <v>0</v>
      </c>
      <c r="J104" s="10"/>
      <c r="K104" s="10"/>
    </row>
    <row r="105" spans="1:11" ht="15.75" thickBot="1" x14ac:dyDescent="0.3">
      <c r="A105" s="40"/>
      <c r="B105" s="54"/>
      <c r="C105" s="54"/>
      <c r="D105" s="54"/>
      <c r="E105" s="54"/>
      <c r="F105" s="54"/>
      <c r="G105" s="54"/>
      <c r="H105" s="54"/>
      <c r="I105" s="54"/>
      <c r="J105" s="10"/>
      <c r="K105" s="10"/>
    </row>
    <row r="106" spans="1:11" ht="15.75" thickBot="1" x14ac:dyDescent="0.3">
      <c r="A106" s="76" t="s">
        <v>98</v>
      </c>
      <c r="B106" s="77" t="str">
        <f>B1</f>
        <v>Operating</v>
      </c>
      <c r="C106" s="77" t="str">
        <f>C1</f>
        <v>SPED</v>
      </c>
      <c r="D106" s="77" t="str">
        <f>D1</f>
        <v>NSLP</v>
      </c>
      <c r="E106" s="77" t="str">
        <f>E1</f>
        <v>Other</v>
      </c>
      <c r="F106" s="77" t="str">
        <f t="shared" ref="F106:G106" si="23">F1</f>
        <v>Title I</v>
      </c>
      <c r="G106" s="77" t="str">
        <f t="shared" si="23"/>
        <v>Title II</v>
      </c>
      <c r="H106" s="77" t="str">
        <f>H1</f>
        <v>Title III</v>
      </c>
      <c r="I106" s="77" t="str">
        <f>I1</f>
        <v>Total (23-24)</v>
      </c>
      <c r="J106" s="10"/>
      <c r="K106" s="10"/>
    </row>
    <row r="107" spans="1:11" x14ac:dyDescent="0.25">
      <c r="A107" s="60" t="s">
        <v>99</v>
      </c>
      <c r="B107" s="61"/>
      <c r="C107" s="61"/>
      <c r="D107" s="61"/>
      <c r="E107" s="61"/>
      <c r="F107" s="61"/>
      <c r="G107" s="61"/>
      <c r="H107" s="61"/>
      <c r="I107" s="62"/>
      <c r="J107" s="10"/>
      <c r="K107" s="10"/>
    </row>
    <row r="108" spans="1:11" x14ac:dyDescent="0.25">
      <c r="A108" s="34" t="s">
        <v>349</v>
      </c>
      <c r="B108" s="14">
        <f>'27-28'!B108*1.02</f>
        <v>0</v>
      </c>
      <c r="C108" s="14">
        <f>'27-28'!C108*1.02</f>
        <v>0</v>
      </c>
      <c r="D108" s="7"/>
      <c r="E108" s="7"/>
      <c r="F108" s="7"/>
      <c r="G108" s="7"/>
      <c r="H108" s="7"/>
      <c r="I108" s="7">
        <f t="shared" ref="I108:I122" si="24">SUM(B108:H108)</f>
        <v>0</v>
      </c>
      <c r="J108" s="19"/>
    </row>
    <row r="109" spans="1:11" x14ac:dyDescent="0.25">
      <c r="A109" s="34" t="s">
        <v>348</v>
      </c>
      <c r="B109" s="14">
        <f>'27-28'!B109*1.02</f>
        <v>122639.56372800004</v>
      </c>
      <c r="C109" s="14"/>
      <c r="D109" s="7"/>
      <c r="E109" s="7"/>
      <c r="F109" s="7"/>
      <c r="G109" s="7"/>
      <c r="H109" s="7"/>
      <c r="I109" s="7">
        <f t="shared" si="24"/>
        <v>122639.56372800004</v>
      </c>
      <c r="J109" s="19"/>
    </row>
    <row r="110" spans="1:11" x14ac:dyDescent="0.25">
      <c r="A110" s="40" t="s">
        <v>100</v>
      </c>
      <c r="B110" s="14">
        <f>'27-28'!B110*1.02</f>
        <v>0</v>
      </c>
      <c r="C110" s="14">
        <f>'27-28'!C110*1.02</f>
        <v>0</v>
      </c>
      <c r="D110" s="7"/>
      <c r="E110" s="7"/>
      <c r="F110" s="7"/>
      <c r="G110" s="7"/>
      <c r="H110" s="7"/>
      <c r="I110" s="7">
        <f t="shared" si="24"/>
        <v>0</v>
      </c>
      <c r="J110" s="19"/>
    </row>
    <row r="111" spans="1:11" x14ac:dyDescent="0.25">
      <c r="A111" s="40" t="s">
        <v>45</v>
      </c>
      <c r="B111" s="14">
        <f>'27-28'!B111*1.02</f>
        <v>0</v>
      </c>
      <c r="C111" s="14">
        <f>'27-28'!C111*1.02</f>
        <v>0</v>
      </c>
      <c r="D111" s="7"/>
      <c r="E111" s="7">
        <v>0</v>
      </c>
      <c r="F111" s="7"/>
      <c r="G111" s="7"/>
      <c r="H111" s="7"/>
      <c r="I111" s="7">
        <f t="shared" si="24"/>
        <v>0</v>
      </c>
      <c r="J111" s="19"/>
    </row>
    <row r="112" spans="1:11" x14ac:dyDescent="0.25">
      <c r="A112" s="43" t="s">
        <v>46</v>
      </c>
      <c r="B112" s="14">
        <f>'27-28'!B112*1.02</f>
        <v>0</v>
      </c>
      <c r="C112" s="14">
        <f>'27-28'!C112*1.02</f>
        <v>0</v>
      </c>
      <c r="D112" s="7"/>
      <c r="E112" s="7"/>
      <c r="F112" s="7"/>
      <c r="G112" s="7"/>
      <c r="H112" s="7"/>
      <c r="I112" s="7">
        <f>SUM(B112:H112)</f>
        <v>0</v>
      </c>
      <c r="J112" s="19"/>
    </row>
    <row r="113" spans="1:11" x14ac:dyDescent="0.25">
      <c r="A113" s="43" t="s">
        <v>47</v>
      </c>
      <c r="B113" s="14">
        <f>'27-28'!B113*1.02</f>
        <v>0</v>
      </c>
      <c r="C113" s="14">
        <f>'27-28'!C113*1.02</f>
        <v>0</v>
      </c>
      <c r="D113" s="7"/>
      <c r="E113" s="7"/>
      <c r="F113" s="7"/>
      <c r="G113" s="7"/>
      <c r="H113" s="7"/>
      <c r="I113" s="7">
        <f>SUM(B113:H113)</f>
        <v>0</v>
      </c>
      <c r="J113" s="19"/>
    </row>
    <row r="114" spans="1:11" x14ac:dyDescent="0.25">
      <c r="A114" s="40" t="s">
        <v>345</v>
      </c>
      <c r="B114" s="14">
        <f>'27-28'!B114*1.02</f>
        <v>55745.256240000002</v>
      </c>
      <c r="C114" s="14">
        <f>'27-28'!C114*1.02</f>
        <v>0</v>
      </c>
      <c r="D114" s="7"/>
      <c r="E114" s="7"/>
      <c r="F114" s="7"/>
      <c r="G114" s="7"/>
      <c r="H114" s="7"/>
      <c r="I114" s="7">
        <f>SUM(B114:H114)</f>
        <v>55745.256240000002</v>
      </c>
      <c r="J114" s="19"/>
    </row>
    <row r="115" spans="1:11" x14ac:dyDescent="0.25">
      <c r="A115" s="40" t="s">
        <v>101</v>
      </c>
      <c r="B115" s="14">
        <f>'27-28'!B115*1.02</f>
        <v>0</v>
      </c>
      <c r="C115" s="14">
        <f>'27-28'!C115*1.02</f>
        <v>0</v>
      </c>
      <c r="D115" s="7"/>
      <c r="E115" s="7"/>
      <c r="F115" s="7"/>
      <c r="G115" s="7"/>
      <c r="H115" s="7"/>
      <c r="I115" s="7">
        <f t="shared" si="24"/>
        <v>0</v>
      </c>
      <c r="J115" s="19"/>
    </row>
    <row r="116" spans="1:11" x14ac:dyDescent="0.25">
      <c r="A116" s="40" t="s">
        <v>102</v>
      </c>
      <c r="B116" s="14">
        <f>61000*B36</f>
        <v>488000</v>
      </c>
      <c r="C116" s="7"/>
      <c r="D116" s="7"/>
      <c r="E116" s="7"/>
      <c r="F116" s="7"/>
      <c r="G116" s="7"/>
      <c r="H116" s="7"/>
      <c r="I116" s="7">
        <f t="shared" si="24"/>
        <v>488000</v>
      </c>
      <c r="J116" s="19">
        <f>I116/B36</f>
        <v>61000</v>
      </c>
    </row>
    <row r="117" spans="1:11" x14ac:dyDescent="0.25">
      <c r="A117" s="40" t="s">
        <v>34</v>
      </c>
      <c r="B117" s="7"/>
      <c r="C117" s="7">
        <f>61000*I28</f>
        <v>61000</v>
      </c>
      <c r="D117" s="7"/>
      <c r="E117" s="7"/>
      <c r="F117" s="7"/>
      <c r="G117" s="7"/>
      <c r="H117" s="7"/>
      <c r="I117" s="7">
        <f t="shared" si="24"/>
        <v>61000</v>
      </c>
      <c r="J117" s="19"/>
    </row>
    <row r="118" spans="1:11" x14ac:dyDescent="0.25">
      <c r="A118" s="40" t="s">
        <v>103</v>
      </c>
      <c r="B118" s="14">
        <f>'26-27'!B118*1.02</f>
        <v>86971.344088320009</v>
      </c>
      <c r="C118" s="7"/>
      <c r="D118" s="7"/>
      <c r="E118" s="7"/>
      <c r="F118" s="7"/>
      <c r="G118" s="7"/>
      <c r="H118" s="7"/>
      <c r="I118" s="7">
        <f t="shared" si="24"/>
        <v>86971.344088320009</v>
      </c>
      <c r="J118" s="19"/>
    </row>
    <row r="119" spans="1:11" x14ac:dyDescent="0.25">
      <c r="A119" s="40" t="s">
        <v>104</v>
      </c>
      <c r="B119" s="14">
        <f>(18*8*190)*(B50+B49)</f>
        <v>0</v>
      </c>
      <c r="C119" s="7"/>
      <c r="D119" s="7"/>
      <c r="E119" s="7"/>
      <c r="F119" s="7"/>
      <c r="G119" s="7"/>
      <c r="H119" s="7"/>
      <c r="I119" s="7">
        <f t="shared" si="24"/>
        <v>0</v>
      </c>
      <c r="J119" s="19"/>
    </row>
    <row r="120" spans="1:11" x14ac:dyDescent="0.25">
      <c r="A120" s="40" t="s">
        <v>105</v>
      </c>
      <c r="B120" s="14">
        <f t="shared" ref="B120:E120" si="25">(15.5*8*180)*B51</f>
        <v>0</v>
      </c>
      <c r="C120" s="14">
        <f>(17.5*8*180)*C51</f>
        <v>0</v>
      </c>
      <c r="D120" s="14">
        <f t="shared" si="25"/>
        <v>0</v>
      </c>
      <c r="E120" s="14">
        <f t="shared" si="25"/>
        <v>0</v>
      </c>
      <c r="F120" s="14">
        <f>(16.25*8*180)*F51</f>
        <v>23400</v>
      </c>
      <c r="G120" s="7"/>
      <c r="H120" s="7"/>
      <c r="I120" s="7">
        <f t="shared" si="24"/>
        <v>23400</v>
      </c>
      <c r="J120" s="19"/>
    </row>
    <row r="121" spans="1:11" x14ac:dyDescent="0.25">
      <c r="A121" s="40" t="s">
        <v>106</v>
      </c>
      <c r="B121" s="14">
        <f>(18*8*210)*B52</f>
        <v>0</v>
      </c>
      <c r="C121" s="7"/>
      <c r="D121" s="7"/>
      <c r="E121" s="7"/>
      <c r="F121" s="7"/>
      <c r="G121" s="7"/>
      <c r="H121" s="7"/>
      <c r="I121" s="7">
        <f t="shared" si="24"/>
        <v>0</v>
      </c>
      <c r="J121" s="19"/>
    </row>
    <row r="122" spans="1:11" x14ac:dyDescent="0.25">
      <c r="A122" s="40" t="s">
        <v>55</v>
      </c>
      <c r="B122" s="7"/>
      <c r="C122" s="7"/>
      <c r="D122" s="7"/>
      <c r="E122" s="7"/>
      <c r="F122" s="7"/>
      <c r="G122" s="7"/>
      <c r="H122" s="7"/>
      <c r="I122" s="7">
        <f t="shared" si="24"/>
        <v>0</v>
      </c>
      <c r="J122" s="19"/>
    </row>
    <row r="123" spans="1:11" x14ac:dyDescent="0.25">
      <c r="A123" s="78" t="s">
        <v>107</v>
      </c>
      <c r="B123" s="79">
        <f>SUM(B108:B122)</f>
        <v>753356.16405632009</v>
      </c>
      <c r="C123" s="79">
        <f t="shared" ref="C123:D123" si="26">SUM(C108:C122)</f>
        <v>61000</v>
      </c>
      <c r="D123" s="79">
        <f t="shared" si="26"/>
        <v>0</v>
      </c>
      <c r="E123" s="79">
        <f t="shared" ref="E123:H123" si="27">SUM(E108:E122)</f>
        <v>0</v>
      </c>
      <c r="F123" s="79">
        <f t="shared" si="27"/>
        <v>23400</v>
      </c>
      <c r="G123" s="79">
        <f t="shared" si="27"/>
        <v>0</v>
      </c>
      <c r="H123" s="79">
        <f t="shared" si="27"/>
        <v>0</v>
      </c>
      <c r="I123" s="79">
        <f>SUM(I108:I122)</f>
        <v>837756.16405632009</v>
      </c>
      <c r="J123" s="10"/>
      <c r="K123" s="10"/>
    </row>
    <row r="124" spans="1:11" x14ac:dyDescent="0.25">
      <c r="A124" s="80" t="s">
        <v>108</v>
      </c>
      <c r="B124" s="61"/>
      <c r="C124" s="61"/>
      <c r="D124" s="61"/>
      <c r="E124" s="61"/>
      <c r="F124" s="61"/>
      <c r="G124" s="61"/>
      <c r="H124" s="61"/>
      <c r="I124" s="62"/>
      <c r="J124" s="10"/>
      <c r="K124" s="10"/>
    </row>
    <row r="125" spans="1:11" x14ac:dyDescent="0.25">
      <c r="A125" s="40" t="s">
        <v>57</v>
      </c>
      <c r="B125" s="7">
        <v>0</v>
      </c>
      <c r="C125" s="7"/>
      <c r="D125" s="7"/>
      <c r="E125" s="7"/>
      <c r="F125" s="7"/>
      <c r="G125" s="7"/>
      <c r="H125" s="7"/>
      <c r="I125" s="35">
        <f t="shared" ref="I125:I132" si="28">SUM(B125:H125)</f>
        <v>0</v>
      </c>
      <c r="J125" s="19"/>
    </row>
    <row r="126" spans="1:11" x14ac:dyDescent="0.25">
      <c r="A126" s="40" t="s">
        <v>58</v>
      </c>
      <c r="B126" s="7">
        <v>0</v>
      </c>
      <c r="C126" s="7"/>
      <c r="D126" s="7"/>
      <c r="E126" s="7"/>
      <c r="F126" s="7"/>
      <c r="G126" s="7"/>
      <c r="H126" s="7"/>
      <c r="I126" s="35">
        <f t="shared" si="28"/>
        <v>0</v>
      </c>
      <c r="J126" s="19"/>
    </row>
    <row r="127" spans="1:11" x14ac:dyDescent="0.25">
      <c r="A127" s="40" t="s">
        <v>59</v>
      </c>
      <c r="B127" s="7">
        <v>0</v>
      </c>
      <c r="C127" s="7"/>
      <c r="D127" s="7"/>
      <c r="E127" s="7"/>
      <c r="F127" s="7"/>
      <c r="G127" s="7"/>
      <c r="H127" s="7"/>
      <c r="I127" s="7">
        <f t="shared" si="28"/>
        <v>0</v>
      </c>
      <c r="J127" s="19"/>
    </row>
    <row r="128" spans="1:11" x14ac:dyDescent="0.25">
      <c r="A128" s="40" t="s">
        <v>109</v>
      </c>
      <c r="B128" s="7">
        <v>0</v>
      </c>
      <c r="C128" s="7"/>
      <c r="D128" s="7"/>
      <c r="E128" s="7"/>
      <c r="F128" s="7"/>
      <c r="G128" s="7"/>
      <c r="H128" s="7"/>
      <c r="I128" s="35">
        <f t="shared" si="28"/>
        <v>0</v>
      </c>
      <c r="J128" s="19"/>
    </row>
    <row r="129" spans="1:11" x14ac:dyDescent="0.25">
      <c r="A129" s="40" t="s">
        <v>61</v>
      </c>
      <c r="B129" s="7">
        <v>0</v>
      </c>
      <c r="C129" s="7"/>
      <c r="D129" s="7"/>
      <c r="E129" s="7"/>
      <c r="F129" s="7"/>
      <c r="G129" s="7"/>
      <c r="H129" s="7"/>
      <c r="I129" s="35">
        <f t="shared" si="28"/>
        <v>0</v>
      </c>
      <c r="J129" s="19"/>
    </row>
    <row r="130" spans="1:11" x14ac:dyDescent="0.25">
      <c r="A130" s="40" t="s">
        <v>256</v>
      </c>
      <c r="B130" s="7">
        <v>0</v>
      </c>
      <c r="C130" s="7"/>
      <c r="D130" s="7"/>
      <c r="E130" s="7"/>
      <c r="F130" s="7"/>
      <c r="G130" s="7"/>
      <c r="H130" s="7"/>
      <c r="I130" s="35">
        <f t="shared" si="28"/>
        <v>0</v>
      </c>
      <c r="J130" s="19"/>
    </row>
    <row r="131" spans="1:11" x14ac:dyDescent="0.25">
      <c r="A131" s="40" t="s">
        <v>110</v>
      </c>
      <c r="B131" s="7">
        <f>(12.5*6*185)*B53</f>
        <v>0</v>
      </c>
      <c r="C131" s="7">
        <f>(12.5*6*185)*C53</f>
        <v>0</v>
      </c>
      <c r="D131" s="7">
        <f>(18.25*8*180)*D53</f>
        <v>26280</v>
      </c>
      <c r="E131" s="7"/>
      <c r="F131" s="7"/>
      <c r="G131" s="7"/>
      <c r="H131" s="7">
        <f>(13.75*8*180)*H53</f>
        <v>0</v>
      </c>
      <c r="I131" s="7">
        <f>SUM(B131:H131)</f>
        <v>26280</v>
      </c>
      <c r="J131" s="19"/>
    </row>
    <row r="132" spans="1:11" x14ac:dyDescent="0.25">
      <c r="A132" s="40" t="s">
        <v>62</v>
      </c>
      <c r="B132" s="47">
        <v>0</v>
      </c>
      <c r="C132" s="7"/>
      <c r="D132" s="7"/>
      <c r="E132" s="7"/>
      <c r="F132" s="7"/>
      <c r="G132" s="7">
        <v>0</v>
      </c>
      <c r="H132" s="7"/>
      <c r="I132" s="35">
        <f t="shared" si="28"/>
        <v>0</v>
      </c>
      <c r="J132" s="19"/>
    </row>
    <row r="133" spans="1:11" x14ac:dyDescent="0.25">
      <c r="A133" s="81" t="s">
        <v>111</v>
      </c>
      <c r="B133" s="82">
        <f>SUM(B125:B132)</f>
        <v>0</v>
      </c>
      <c r="C133" s="82">
        <f>SUM(C125:C132)</f>
        <v>0</v>
      </c>
      <c r="D133" s="82">
        <f>SUM(D125:D132)</f>
        <v>26280</v>
      </c>
      <c r="E133" s="82">
        <f>SUM(E125:E132)</f>
        <v>0</v>
      </c>
      <c r="F133" s="82">
        <f t="shared" ref="F133" si="29">SUM(F125:F132)</f>
        <v>0</v>
      </c>
      <c r="G133" s="82"/>
      <c r="H133" s="82">
        <f>SUM(H125:H132)</f>
        <v>0</v>
      </c>
      <c r="I133" s="82">
        <f>SUM(I125:I132)</f>
        <v>26280</v>
      </c>
      <c r="J133" s="25"/>
      <c r="K133" s="28"/>
    </row>
    <row r="134" spans="1:11" x14ac:dyDescent="0.25">
      <c r="A134" s="83" t="s">
        <v>112</v>
      </c>
      <c r="B134" s="84">
        <f>B123+B133</f>
        <v>753356.16405632009</v>
      </c>
      <c r="C134" s="84">
        <f>C123+C133</f>
        <v>61000</v>
      </c>
      <c r="D134" s="84">
        <f>D123+D133</f>
        <v>26280</v>
      </c>
      <c r="E134" s="84">
        <f>E123+E133</f>
        <v>0</v>
      </c>
      <c r="F134" s="84">
        <f t="shared" ref="F134:H134" si="30">F123+F133</f>
        <v>23400</v>
      </c>
      <c r="G134" s="84">
        <f t="shared" si="30"/>
        <v>0</v>
      </c>
      <c r="H134" s="84">
        <f t="shared" si="30"/>
        <v>0</v>
      </c>
      <c r="I134" s="84">
        <f>I123+I133</f>
        <v>864036.16405632009</v>
      </c>
      <c r="J134" s="28"/>
      <c r="K134" s="10"/>
    </row>
    <row r="135" spans="1:11" x14ac:dyDescent="0.25">
      <c r="A135" s="40" t="s">
        <v>113</v>
      </c>
      <c r="B135" s="64">
        <f>B134*0.335</f>
        <v>252374.31495886724</v>
      </c>
      <c r="C135" s="64">
        <f t="shared" ref="C135:F135" si="31">C134*0.335</f>
        <v>20435</v>
      </c>
      <c r="D135" s="64">
        <f t="shared" si="31"/>
        <v>8803.8000000000011</v>
      </c>
      <c r="E135" s="64">
        <f t="shared" si="31"/>
        <v>0</v>
      </c>
      <c r="F135" s="64">
        <f t="shared" si="31"/>
        <v>7839.0000000000009</v>
      </c>
      <c r="G135" s="64">
        <f t="shared" ref="G135:H135" si="32">G134*0.2975</f>
        <v>0</v>
      </c>
      <c r="H135" s="64">
        <f t="shared" si="32"/>
        <v>0</v>
      </c>
      <c r="I135" s="7">
        <f>SUM(B135:H135)</f>
        <v>289452.11495886726</v>
      </c>
      <c r="J135" s="85">
        <f>I135/I134</f>
        <v>0.33500000000000002</v>
      </c>
      <c r="K135" s="86"/>
    </row>
    <row r="136" spans="1:11" x14ac:dyDescent="0.25">
      <c r="A136" s="87" t="s">
        <v>114</v>
      </c>
      <c r="B136" s="14">
        <f>B134*0.15</f>
        <v>113003.42460844801</v>
      </c>
      <c r="C136" s="14">
        <f t="shared" ref="C136:F136" si="33">C134*0.15</f>
        <v>9150</v>
      </c>
      <c r="D136" s="14">
        <f t="shared" si="33"/>
        <v>3942</v>
      </c>
      <c r="E136" s="14">
        <f t="shared" si="33"/>
        <v>0</v>
      </c>
      <c r="F136" s="14">
        <f t="shared" si="33"/>
        <v>3510</v>
      </c>
      <c r="G136" s="14">
        <f t="shared" ref="G136:H136" si="34">(((6400*(G66*0.8))+((275*(G66*0.8)))+((60*(G66*0.8)))))+(G134*0.0145)+(G134*0.031)</f>
        <v>0</v>
      </c>
      <c r="H136" s="14">
        <f t="shared" si="34"/>
        <v>0</v>
      </c>
      <c r="I136" s="7">
        <f>SUM(B136:H136)</f>
        <v>129605.42460844801</v>
      </c>
      <c r="J136" s="85">
        <f>I136/I134</f>
        <v>0.15</v>
      </c>
      <c r="K136" s="86"/>
    </row>
    <row r="137" spans="1:11" x14ac:dyDescent="0.25">
      <c r="A137" s="40" t="s">
        <v>115</v>
      </c>
      <c r="B137" s="7">
        <f>((1100*B36)+(2750*B39)+(2200*B41)+(1650*B42)+(1650*B43)+(1650*B44)+(1650*B45)+(1650*B46)+(1100*B47)+(1100*B48)+(500*B49)+(500*B50)+(500*B51)+(500*B52)+(500*B53)+(500*B54)+(1100*B55)+(1100*B56)+(1100*B57)+(1100*B58)+(1100*B59)+(1100*B60))*0.9</f>
        <v>11385</v>
      </c>
      <c r="C137" s="7">
        <f>((1100*C36)+(2750*C39)+(2200*C41)+(1650*C42)+(1650*C43)+(1650*C44)+(1650*C45)+(1650*C46)+(1100*C47)+(1100*C48)+(500*C49)+(500*C50)+(500*C51)+(500*C52)+(500*C53)+(500*C54)+(1100*C55)+(1100*C56)+(1100*C57)+(1100*C58)+(1100*C59)+(1100*C60))</f>
        <v>1100</v>
      </c>
      <c r="D137" s="7">
        <f t="shared" ref="D137" si="35">((1100*D36)+(2750*D39)+(2200*D41)+(1650*D42)+(1650*D43)+(1650*D44)+(1650*D45)+(1650*D46)+(1100*D47)+(1100*D48)+(500*D49)+(500*D50)+(500*D51)+(500*D52)+(500*D53)+(500*D54)+(1100*D55)+(1100*D56)+(1100*D57)+(1100*D58)+(1100*D59)+(1100*D60))*0.9</f>
        <v>450</v>
      </c>
      <c r="E137" s="7"/>
      <c r="F137" s="7"/>
      <c r="G137" s="7">
        <f t="shared" ref="G137:H137" si="36">((1000*G36)+(2000*G39)+(1750*G41)+(1500*G42)+(1500*G43)+(1500*G44)+(1000*G47)+(1000*G48)+(500*G49)+(500*G50)+(500*G51)+(500*G52)+(500*G53)+(500*G54)+(1000*G55)+(1000*G56)+(1000*G57)+(1000*G58)+(1000*G59)+(1000*G60))*0.7</f>
        <v>0</v>
      </c>
      <c r="H137" s="7">
        <f t="shared" si="36"/>
        <v>0</v>
      </c>
      <c r="I137" s="7">
        <f t="shared" ref="I137:I142" si="37">SUM(B137:H137)</f>
        <v>12935</v>
      </c>
      <c r="J137" s="19"/>
    </row>
    <row r="138" spans="1:11" x14ac:dyDescent="0.25">
      <c r="A138" s="87" t="s">
        <v>116</v>
      </c>
      <c r="B138" s="88">
        <f>125*B66+125*6</f>
        <v>2250</v>
      </c>
      <c r="C138" s="89">
        <f>125*C66</f>
        <v>125</v>
      </c>
      <c r="D138" s="89">
        <f t="shared" ref="D138:H138" si="38">125*D66</f>
        <v>125</v>
      </c>
      <c r="E138" s="89"/>
      <c r="F138" s="89"/>
      <c r="G138" s="89">
        <f t="shared" si="38"/>
        <v>0</v>
      </c>
      <c r="H138" s="89">
        <f t="shared" si="38"/>
        <v>0</v>
      </c>
      <c r="I138" s="7">
        <f t="shared" si="37"/>
        <v>2500</v>
      </c>
      <c r="J138" s="19"/>
    </row>
    <row r="139" spans="1:11" x14ac:dyDescent="0.25">
      <c r="A139" s="40" t="s">
        <v>117</v>
      </c>
      <c r="B139" s="7">
        <v>0</v>
      </c>
      <c r="C139" s="14"/>
      <c r="D139" s="14"/>
      <c r="E139" s="14"/>
      <c r="F139" s="14"/>
      <c r="G139" s="14"/>
      <c r="H139" s="14"/>
      <c r="I139" s="7">
        <f t="shared" si="37"/>
        <v>0</v>
      </c>
      <c r="J139" s="19"/>
    </row>
    <row r="140" spans="1:11" x14ac:dyDescent="0.25">
      <c r="A140" s="40" t="s">
        <v>118</v>
      </c>
      <c r="B140" s="7"/>
      <c r="C140" s="14"/>
      <c r="D140" s="14"/>
      <c r="E140" s="14"/>
      <c r="F140" s="14"/>
      <c r="G140" s="14"/>
      <c r="H140" s="14"/>
      <c r="I140" s="7">
        <f t="shared" si="37"/>
        <v>0</v>
      </c>
      <c r="J140" s="19"/>
    </row>
    <row r="141" spans="1:11" x14ac:dyDescent="0.25">
      <c r="A141" s="40" t="s">
        <v>119</v>
      </c>
      <c r="B141" s="14">
        <v>5000</v>
      </c>
      <c r="C141" s="14"/>
      <c r="D141" s="14"/>
      <c r="E141" s="14"/>
      <c r="F141" s="14"/>
      <c r="G141" s="14"/>
      <c r="H141" s="14"/>
      <c r="I141" s="7">
        <f t="shared" si="37"/>
        <v>5000</v>
      </c>
      <c r="J141" s="19"/>
    </row>
    <row r="142" spans="1:11" x14ac:dyDescent="0.25">
      <c r="A142" s="40" t="s">
        <v>120</v>
      </c>
      <c r="B142" s="47">
        <f>(185*11*B36)-B132</f>
        <v>16280</v>
      </c>
      <c r="C142" s="47">
        <f t="shared" ref="C142:G142" si="39">(185*11*C36)-C132</f>
        <v>2035</v>
      </c>
      <c r="D142" s="47">
        <f t="shared" si="39"/>
        <v>0</v>
      </c>
      <c r="E142" s="47">
        <f t="shared" si="39"/>
        <v>0</v>
      </c>
      <c r="F142" s="47">
        <f t="shared" si="39"/>
        <v>0</v>
      </c>
      <c r="G142" s="47">
        <f t="shared" si="39"/>
        <v>0</v>
      </c>
      <c r="H142" s="47">
        <f t="shared" ref="H142" si="40">(175*11*H36)-H132</f>
        <v>0</v>
      </c>
      <c r="I142" s="7">
        <f t="shared" si="37"/>
        <v>18315</v>
      </c>
      <c r="J142" s="19" t="s">
        <v>121</v>
      </c>
    </row>
    <row r="143" spans="1:11" x14ac:dyDescent="0.25">
      <c r="A143" s="91" t="s">
        <v>122</v>
      </c>
      <c r="B143" s="92">
        <f>SUM(B135:B142)</f>
        <v>400292.73956731526</v>
      </c>
      <c r="C143" s="92">
        <f t="shared" ref="C143:H143" si="41">SUM(C135:C142)</f>
        <v>32845</v>
      </c>
      <c r="D143" s="92">
        <f t="shared" si="41"/>
        <v>13320.800000000001</v>
      </c>
      <c r="E143" s="92">
        <f t="shared" si="41"/>
        <v>0</v>
      </c>
      <c r="F143" s="92">
        <f t="shared" si="41"/>
        <v>11349</v>
      </c>
      <c r="G143" s="92">
        <f t="shared" si="41"/>
        <v>0</v>
      </c>
      <c r="H143" s="92">
        <f t="shared" si="41"/>
        <v>0</v>
      </c>
      <c r="I143" s="92">
        <f>SUM(I135:I142)</f>
        <v>457807.53956731525</v>
      </c>
      <c r="J143" s="10"/>
      <c r="K143" s="10"/>
    </row>
    <row r="144" spans="1:11" x14ac:dyDescent="0.25">
      <c r="A144" s="83" t="s">
        <v>123</v>
      </c>
      <c r="B144" s="84">
        <f>B134+B143</f>
        <v>1153648.9036236354</v>
      </c>
      <c r="C144" s="84">
        <f>C134+C143</f>
        <v>93845</v>
      </c>
      <c r="D144" s="84">
        <f>D134+D143</f>
        <v>39600.800000000003</v>
      </c>
      <c r="E144" s="84">
        <f>E134+E143</f>
        <v>0</v>
      </c>
      <c r="F144" s="84">
        <f t="shared" ref="F144:G144" si="42">F134+F143</f>
        <v>34749</v>
      </c>
      <c r="G144" s="84">
        <f t="shared" si="42"/>
        <v>0</v>
      </c>
      <c r="H144" s="84">
        <f>H134+H143</f>
        <v>0</v>
      </c>
      <c r="I144" s="84">
        <f>I134+I143</f>
        <v>1321843.7036236352</v>
      </c>
      <c r="J144" s="10"/>
      <c r="K144" s="10"/>
    </row>
    <row r="145" spans="1:11" x14ac:dyDescent="0.25">
      <c r="A145" s="93" t="s">
        <v>124</v>
      </c>
      <c r="B145" s="24" t="str">
        <f>B1</f>
        <v>Operating</v>
      </c>
      <c r="C145" s="24" t="str">
        <f>C1</f>
        <v>SPED</v>
      </c>
      <c r="D145" s="24" t="str">
        <f>D1</f>
        <v>NSLP</v>
      </c>
      <c r="E145" s="24" t="str">
        <f>E1</f>
        <v>Other</v>
      </c>
      <c r="F145" s="24" t="str">
        <f t="shared" ref="F145:G145" si="43">F1</f>
        <v>Title I</v>
      </c>
      <c r="G145" s="24" t="str">
        <f t="shared" si="43"/>
        <v>Title II</v>
      </c>
      <c r="H145" s="24" t="str">
        <f>H1</f>
        <v>Title III</v>
      </c>
      <c r="I145" s="24" t="str">
        <f>I1</f>
        <v>Total (23-24)</v>
      </c>
      <c r="J145" s="10"/>
      <c r="K145" s="10"/>
    </row>
    <row r="146" spans="1:11" x14ac:dyDescent="0.25">
      <c r="A146" s="94" t="s">
        <v>125</v>
      </c>
      <c r="B146" s="7">
        <f>205*B17</f>
        <v>39975</v>
      </c>
      <c r="C146" s="14"/>
      <c r="D146" s="14"/>
      <c r="E146" s="14"/>
      <c r="F146" s="14"/>
      <c r="G146" s="14"/>
      <c r="H146" s="14"/>
      <c r="I146" s="7">
        <f t="shared" ref="I146:I154" si="44">SUM(B146:H146)</f>
        <v>39975</v>
      </c>
      <c r="J146" s="8" t="s">
        <v>126</v>
      </c>
    </row>
    <row r="147" spans="1:11" x14ac:dyDescent="0.25">
      <c r="A147" s="95" t="s">
        <v>127</v>
      </c>
      <c r="B147" s="7">
        <f>500*B16</f>
        <v>12500</v>
      </c>
      <c r="C147" s="14"/>
      <c r="D147" s="14"/>
      <c r="E147" s="14"/>
      <c r="F147" s="14"/>
      <c r="G147" s="14"/>
      <c r="H147" s="14"/>
      <c r="I147" s="7">
        <f t="shared" si="44"/>
        <v>12500</v>
      </c>
      <c r="J147" s="19"/>
    </row>
    <row r="148" spans="1:11" x14ac:dyDescent="0.25">
      <c r="A148" s="40" t="s">
        <v>128</v>
      </c>
      <c r="B148" s="14">
        <v>0</v>
      </c>
      <c r="C148" s="14"/>
      <c r="D148" s="14"/>
      <c r="E148" s="14"/>
      <c r="F148" s="14"/>
      <c r="G148" s="14"/>
      <c r="H148" s="14"/>
      <c r="I148" s="7">
        <f t="shared" si="44"/>
        <v>0</v>
      </c>
      <c r="J148" s="19"/>
    </row>
    <row r="149" spans="1:11" x14ac:dyDescent="0.25">
      <c r="A149" s="40" t="s">
        <v>129</v>
      </c>
      <c r="B149" s="7">
        <f>30*B17</f>
        <v>5850</v>
      </c>
      <c r="C149" s="14"/>
      <c r="D149" s="14"/>
      <c r="E149" s="14"/>
      <c r="F149" s="14"/>
      <c r="G149" s="14"/>
      <c r="H149" s="14"/>
      <c r="I149" s="7">
        <f t="shared" si="44"/>
        <v>5850</v>
      </c>
      <c r="J149" s="8" t="s">
        <v>130</v>
      </c>
    </row>
    <row r="150" spans="1:11" x14ac:dyDescent="0.25">
      <c r="A150" s="40" t="s">
        <v>131</v>
      </c>
      <c r="B150" s="7">
        <f>40*B17</f>
        <v>7800</v>
      </c>
      <c r="C150" s="14"/>
      <c r="D150" s="14"/>
      <c r="E150" s="14"/>
      <c r="F150" s="14"/>
      <c r="G150" s="14"/>
      <c r="H150" s="14"/>
      <c r="I150" s="7">
        <f t="shared" si="44"/>
        <v>7800</v>
      </c>
      <c r="J150" s="8" t="s">
        <v>132</v>
      </c>
    </row>
    <row r="151" spans="1:11" x14ac:dyDescent="0.25">
      <c r="A151" s="40" t="s">
        <v>133</v>
      </c>
      <c r="B151" s="7">
        <f>10*B17</f>
        <v>1950</v>
      </c>
      <c r="C151" s="14"/>
      <c r="D151" s="14"/>
      <c r="E151" s="14"/>
      <c r="F151" s="14"/>
      <c r="G151" s="14"/>
      <c r="H151" s="14"/>
      <c r="I151" s="7">
        <f t="shared" si="44"/>
        <v>1950</v>
      </c>
      <c r="J151" s="8" t="s">
        <v>134</v>
      </c>
    </row>
    <row r="152" spans="1:11" x14ac:dyDescent="0.25">
      <c r="A152" s="40" t="s">
        <v>135</v>
      </c>
      <c r="B152" s="7">
        <f>8*B17</f>
        <v>1560</v>
      </c>
      <c r="C152" s="14"/>
      <c r="D152" s="14"/>
      <c r="E152" s="14"/>
      <c r="F152" s="14"/>
      <c r="G152" s="14"/>
      <c r="H152" s="14"/>
      <c r="I152" s="7">
        <f t="shared" si="44"/>
        <v>1560</v>
      </c>
      <c r="J152" s="8" t="s">
        <v>136</v>
      </c>
    </row>
    <row r="153" spans="1:11" x14ac:dyDescent="0.25">
      <c r="A153" s="40" t="s">
        <v>137</v>
      </c>
      <c r="B153" s="7">
        <f>129*B20</f>
        <v>0</v>
      </c>
      <c r="C153" s="14">
        <f>150*(C20)</f>
        <v>3683.333333333333</v>
      </c>
      <c r="D153" s="14"/>
      <c r="E153" s="14"/>
      <c r="F153" s="14"/>
      <c r="G153" s="14"/>
      <c r="H153" s="14"/>
      <c r="I153" s="7">
        <f t="shared" si="44"/>
        <v>3683.333333333333</v>
      </c>
      <c r="J153" s="8" t="s">
        <v>138</v>
      </c>
    </row>
    <row r="154" spans="1:11" x14ac:dyDescent="0.25">
      <c r="A154" s="40" t="s">
        <v>139</v>
      </c>
      <c r="B154" s="7">
        <v>20000</v>
      </c>
      <c r="C154" s="7"/>
      <c r="D154" s="7"/>
      <c r="E154" s="7"/>
      <c r="F154" s="7"/>
      <c r="G154" s="7"/>
      <c r="H154" s="7"/>
      <c r="I154" s="7">
        <f t="shared" si="44"/>
        <v>20000</v>
      </c>
      <c r="J154" s="19"/>
    </row>
    <row r="155" spans="1:11" x14ac:dyDescent="0.25">
      <c r="A155" s="96" t="s">
        <v>140</v>
      </c>
      <c r="B155" s="97">
        <f>B17*45</f>
        <v>8775</v>
      </c>
      <c r="C155" s="7"/>
      <c r="D155" s="7"/>
      <c r="E155" s="7"/>
      <c r="F155" s="7"/>
      <c r="G155" s="7"/>
      <c r="H155" s="7"/>
      <c r="I155" s="7">
        <f>SUM(B155:H155)</f>
        <v>8775</v>
      </c>
      <c r="J155" s="19" t="s">
        <v>141</v>
      </c>
    </row>
    <row r="156" spans="1:11" x14ac:dyDescent="0.25">
      <c r="A156" s="83" t="s">
        <v>142</v>
      </c>
      <c r="B156" s="84">
        <f>SUM(B146:B155)</f>
        <v>98410</v>
      </c>
      <c r="C156" s="84">
        <f t="shared" ref="C156:H156" si="45">SUM(C146:C155)</f>
        <v>3683.333333333333</v>
      </c>
      <c r="D156" s="84">
        <f t="shared" si="45"/>
        <v>0</v>
      </c>
      <c r="E156" s="84">
        <f t="shared" si="45"/>
        <v>0</v>
      </c>
      <c r="F156" s="84">
        <f t="shared" si="45"/>
        <v>0</v>
      </c>
      <c r="G156" s="84">
        <f t="shared" si="45"/>
        <v>0</v>
      </c>
      <c r="H156" s="84">
        <f t="shared" si="45"/>
        <v>0</v>
      </c>
      <c r="I156" s="84">
        <f>SUM(I146:I155)</f>
        <v>102093.33333333333</v>
      </c>
      <c r="J156" s="10"/>
      <c r="K156" s="10"/>
    </row>
    <row r="157" spans="1:11" x14ac:dyDescent="0.25">
      <c r="A157" s="93" t="s">
        <v>143</v>
      </c>
      <c r="B157" s="24" t="str">
        <f t="shared" ref="B157:I157" si="46">B1</f>
        <v>Operating</v>
      </c>
      <c r="C157" s="24" t="str">
        <f t="shared" si="46"/>
        <v>SPED</v>
      </c>
      <c r="D157" s="24" t="str">
        <f t="shared" si="46"/>
        <v>NSLP</v>
      </c>
      <c r="E157" s="24" t="str">
        <f t="shared" si="46"/>
        <v>Other</v>
      </c>
      <c r="F157" s="24" t="str">
        <f t="shared" si="46"/>
        <v>Title I</v>
      </c>
      <c r="G157" s="24" t="str">
        <f t="shared" si="46"/>
        <v>Title II</v>
      </c>
      <c r="H157" s="24" t="str">
        <f t="shared" si="46"/>
        <v>Title III</v>
      </c>
      <c r="I157" s="24" t="str">
        <f t="shared" si="46"/>
        <v>Total (23-24)</v>
      </c>
      <c r="J157" s="10"/>
      <c r="K157" s="10"/>
    </row>
    <row r="158" spans="1:11" x14ac:dyDescent="0.25">
      <c r="A158" s="40" t="s">
        <v>144</v>
      </c>
      <c r="B158" s="14">
        <f>12000*1.09</f>
        <v>13080.000000000002</v>
      </c>
      <c r="C158" s="14"/>
      <c r="D158" s="14"/>
      <c r="E158" s="14"/>
      <c r="F158" s="14"/>
      <c r="G158" s="14"/>
      <c r="H158" s="14"/>
      <c r="I158" s="7">
        <f>SUM(B158:H158)</f>
        <v>13080.000000000002</v>
      </c>
      <c r="J158" s="19"/>
    </row>
    <row r="159" spans="1:11" x14ac:dyDescent="0.25">
      <c r="A159" s="40" t="s">
        <v>145</v>
      </c>
      <c r="B159" s="14">
        <v>0</v>
      </c>
      <c r="C159" s="14">
        <f>500*B17</f>
        <v>97500</v>
      </c>
      <c r="D159" s="7"/>
      <c r="E159" s="7"/>
      <c r="F159" s="7"/>
      <c r="G159" s="7"/>
      <c r="H159" s="7"/>
      <c r="I159" s="7">
        <f t="shared" ref="I159:I171" si="47">SUM(B159:H159)</f>
        <v>97500</v>
      </c>
      <c r="J159" s="19" t="s">
        <v>260</v>
      </c>
    </row>
    <row r="160" spans="1:11" x14ac:dyDescent="0.25">
      <c r="A160" s="40" t="s">
        <v>343</v>
      </c>
      <c r="B160" s="14">
        <f>'27-28'!B160*1.05</f>
        <v>76576.893750000003</v>
      </c>
      <c r="C160" s="7"/>
      <c r="D160" s="7"/>
      <c r="E160" s="7"/>
      <c r="F160" s="7"/>
      <c r="G160" s="7"/>
      <c r="H160" s="7"/>
      <c r="I160" s="7">
        <f t="shared" si="47"/>
        <v>76576.893750000003</v>
      </c>
      <c r="J160" s="19"/>
    </row>
    <row r="161" spans="1:11" x14ac:dyDescent="0.25">
      <c r="A161" s="40" t="s">
        <v>147</v>
      </c>
      <c r="B161" s="14"/>
      <c r="C161" s="7"/>
      <c r="D161" s="7"/>
      <c r="E161" s="7"/>
      <c r="F161" s="7"/>
      <c r="G161" s="7"/>
      <c r="H161" s="7"/>
      <c r="I161" s="7">
        <f t="shared" si="47"/>
        <v>0</v>
      </c>
      <c r="J161" s="19"/>
    </row>
    <row r="162" spans="1:11" x14ac:dyDescent="0.25">
      <c r="A162" s="40" t="s">
        <v>148</v>
      </c>
      <c r="B162" s="14">
        <f>495*B17</f>
        <v>96525</v>
      </c>
      <c r="C162" s="7"/>
      <c r="D162" s="7"/>
      <c r="E162" s="7"/>
      <c r="F162" s="7"/>
      <c r="G162" s="7"/>
      <c r="H162" s="7"/>
      <c r="I162" s="7">
        <f t="shared" si="47"/>
        <v>96525</v>
      </c>
      <c r="J162" s="19" t="s">
        <v>149</v>
      </c>
    </row>
    <row r="163" spans="1:11" x14ac:dyDescent="0.25">
      <c r="A163" s="40" t="s">
        <v>150</v>
      </c>
      <c r="B163" s="14">
        <f>'27-28'!B163*1.05</f>
        <v>9920.5365853125004</v>
      </c>
      <c r="C163" s="14"/>
      <c r="D163" s="14"/>
      <c r="E163" s="14"/>
      <c r="F163" s="14"/>
      <c r="G163" s="14"/>
      <c r="H163" s="14">
        <f>(240*H66)</f>
        <v>0</v>
      </c>
      <c r="I163" s="7">
        <f t="shared" si="47"/>
        <v>9920.5365853125004</v>
      </c>
      <c r="J163" s="19" t="s">
        <v>224</v>
      </c>
    </row>
    <row r="164" spans="1:11" x14ac:dyDescent="0.25">
      <c r="A164" s="40" t="s">
        <v>151</v>
      </c>
      <c r="B164" s="14">
        <f>'27-28'!B164*1.05</f>
        <v>72109.908281250013</v>
      </c>
      <c r="C164" s="7"/>
      <c r="D164" s="7"/>
      <c r="E164" s="7"/>
      <c r="F164" s="7"/>
      <c r="G164" s="7"/>
      <c r="H164" s="7"/>
      <c r="I164" s="7">
        <f t="shared" si="47"/>
        <v>72109.908281250013</v>
      </c>
      <c r="J164" s="19"/>
    </row>
    <row r="165" spans="1:11" x14ac:dyDescent="0.25">
      <c r="A165" s="40" t="s">
        <v>152</v>
      </c>
      <c r="B165" s="7">
        <f>5500</f>
        <v>5500</v>
      </c>
      <c r="C165" s="7"/>
      <c r="D165" s="7"/>
      <c r="E165" s="7"/>
      <c r="F165" s="7"/>
      <c r="G165" s="7"/>
      <c r="H165" s="7"/>
      <c r="I165" s="7">
        <f t="shared" si="47"/>
        <v>5500</v>
      </c>
      <c r="J165" s="19"/>
    </row>
    <row r="166" spans="1:11" x14ac:dyDescent="0.25">
      <c r="A166" s="40" t="s">
        <v>153</v>
      </c>
      <c r="B166" s="14">
        <f>50*B17+(60*12)</f>
        <v>10470</v>
      </c>
      <c r="C166" s="7"/>
      <c r="D166" s="7"/>
      <c r="E166" s="7"/>
      <c r="F166" s="7"/>
      <c r="G166" s="7"/>
      <c r="H166" s="7"/>
      <c r="I166" s="7">
        <f t="shared" si="47"/>
        <v>10470</v>
      </c>
      <c r="J166" s="19" t="s">
        <v>154</v>
      </c>
    </row>
    <row r="167" spans="1:11" x14ac:dyDescent="0.25">
      <c r="A167" s="40" t="s">
        <v>155</v>
      </c>
      <c r="B167" s="14">
        <f>15000</f>
        <v>15000</v>
      </c>
      <c r="C167" s="7"/>
      <c r="D167" s="7"/>
      <c r="E167" s="7"/>
      <c r="F167" s="7"/>
      <c r="G167" s="7"/>
      <c r="H167" s="7"/>
      <c r="I167" s="7">
        <f t="shared" si="47"/>
        <v>15000</v>
      </c>
      <c r="J167" s="19"/>
    </row>
    <row r="168" spans="1:11" x14ac:dyDescent="0.25">
      <c r="A168" s="40" t="s">
        <v>156</v>
      </c>
      <c r="B168" s="14">
        <f>(B75+B76+B77+B78)*0.0125</f>
        <v>25981.316166666667</v>
      </c>
      <c r="C168" s="7"/>
      <c r="D168" s="7"/>
      <c r="E168" s="7"/>
      <c r="F168" s="7"/>
      <c r="G168" s="7"/>
      <c r="H168" s="7"/>
      <c r="I168" s="7">
        <f t="shared" si="47"/>
        <v>25981.316166666667</v>
      </c>
      <c r="J168" s="98">
        <v>1.2500000000000001E-2</v>
      </c>
      <c r="K168" s="99"/>
    </row>
    <row r="169" spans="1:11" x14ac:dyDescent="0.25">
      <c r="A169" s="40" t="s">
        <v>157</v>
      </c>
      <c r="B169" s="14">
        <f>'27-28'!B169+500</f>
        <v>12500</v>
      </c>
      <c r="C169" s="7"/>
      <c r="D169" s="7"/>
      <c r="E169" s="7"/>
      <c r="F169" s="7"/>
      <c r="G169" s="7"/>
      <c r="H169" s="7"/>
      <c r="I169" s="7">
        <f t="shared" si="47"/>
        <v>12500</v>
      </c>
      <c r="J169" s="98" t="s">
        <v>158</v>
      </c>
      <c r="K169" s="99"/>
    </row>
    <row r="170" spans="1:11" x14ac:dyDescent="0.25">
      <c r="A170" s="40" t="s">
        <v>159</v>
      </c>
      <c r="B170" s="14">
        <v>0</v>
      </c>
      <c r="C170" s="7"/>
      <c r="D170" s="7"/>
      <c r="E170" s="7"/>
      <c r="F170" s="7"/>
      <c r="G170" s="7"/>
      <c r="H170" s="7"/>
      <c r="I170" s="7">
        <f t="shared" si="47"/>
        <v>0</v>
      </c>
      <c r="J170" s="98"/>
      <c r="K170" s="99"/>
    </row>
    <row r="171" spans="1:11" x14ac:dyDescent="0.25">
      <c r="A171" s="96" t="s">
        <v>161</v>
      </c>
      <c r="B171" s="14">
        <f>B75*0.005</f>
        <v>9655.9398000000001</v>
      </c>
      <c r="C171" s="7"/>
      <c r="D171" s="7"/>
      <c r="E171" s="7"/>
      <c r="F171" s="7"/>
      <c r="G171" s="7">
        <f>G87</f>
        <v>8000</v>
      </c>
      <c r="H171" s="7">
        <f>H88</f>
        <v>1500</v>
      </c>
      <c r="I171" s="7">
        <f t="shared" si="47"/>
        <v>19155.9398</v>
      </c>
      <c r="J171" s="98" t="s">
        <v>160</v>
      </c>
      <c r="K171" s="99"/>
    </row>
    <row r="172" spans="1:11" x14ac:dyDescent="0.25">
      <c r="A172" s="83" t="s">
        <v>162</v>
      </c>
      <c r="B172" s="84">
        <f>SUM(B158:B171)</f>
        <v>347319.59458322922</v>
      </c>
      <c r="C172" s="84">
        <f t="shared" ref="C172:H172" si="48">SUM(C158:C171)</f>
        <v>97500</v>
      </c>
      <c r="D172" s="84">
        <f t="shared" si="48"/>
        <v>0</v>
      </c>
      <c r="E172" s="84">
        <f t="shared" si="48"/>
        <v>0</v>
      </c>
      <c r="F172" s="84">
        <f t="shared" si="48"/>
        <v>0</v>
      </c>
      <c r="G172" s="84">
        <f t="shared" si="48"/>
        <v>8000</v>
      </c>
      <c r="H172" s="84">
        <f t="shared" si="48"/>
        <v>1500</v>
      </c>
      <c r="I172" s="84">
        <f>SUM(I158:I171)</f>
        <v>454319.59458322922</v>
      </c>
      <c r="J172" s="10"/>
      <c r="K172" s="10"/>
    </row>
    <row r="173" spans="1:11" x14ac:dyDescent="0.25">
      <c r="A173" s="93" t="s">
        <v>163</v>
      </c>
      <c r="B173" s="24" t="str">
        <f t="shared" ref="B173:I173" si="49">B1</f>
        <v>Operating</v>
      </c>
      <c r="C173" s="24" t="str">
        <f t="shared" si="49"/>
        <v>SPED</v>
      </c>
      <c r="D173" s="24" t="str">
        <f t="shared" si="49"/>
        <v>NSLP</v>
      </c>
      <c r="E173" s="24" t="str">
        <f t="shared" si="49"/>
        <v>Other</v>
      </c>
      <c r="F173" s="24" t="str">
        <f t="shared" si="49"/>
        <v>Title I</v>
      </c>
      <c r="G173" s="24" t="str">
        <f t="shared" si="49"/>
        <v>Title II</v>
      </c>
      <c r="H173" s="24" t="str">
        <f t="shared" si="49"/>
        <v>Title III</v>
      </c>
      <c r="I173" s="24" t="str">
        <f t="shared" si="49"/>
        <v>Total (23-24)</v>
      </c>
      <c r="J173" s="10"/>
      <c r="K173" s="10"/>
    </row>
    <row r="174" spans="1:11" x14ac:dyDescent="0.25">
      <c r="A174" s="100" t="s">
        <v>164</v>
      </c>
      <c r="B174" s="14">
        <f>'27-28'!B174*1.03</f>
        <v>6955.6444458000014</v>
      </c>
      <c r="C174" s="7"/>
      <c r="D174" s="7"/>
      <c r="E174" s="7"/>
      <c r="F174" s="7"/>
      <c r="G174" s="7"/>
      <c r="H174" s="7"/>
      <c r="I174" s="7">
        <f t="shared" ref="I174:I180" si="50">SUM(B174:H174)</f>
        <v>6955.6444458000014</v>
      </c>
      <c r="J174" s="19"/>
    </row>
    <row r="175" spans="1:11" x14ac:dyDescent="0.25">
      <c r="A175" s="40" t="s">
        <v>165</v>
      </c>
      <c r="B175" s="14">
        <f>'27-28'!B175*1.03</f>
        <v>8114.9185201</v>
      </c>
      <c r="C175" s="7"/>
      <c r="D175" s="7"/>
      <c r="E175" s="7"/>
      <c r="F175" s="7"/>
      <c r="G175" s="7"/>
      <c r="H175" s="7"/>
      <c r="I175" s="7">
        <f t="shared" si="50"/>
        <v>8114.9185201</v>
      </c>
      <c r="J175" s="19"/>
    </row>
    <row r="176" spans="1:11" x14ac:dyDescent="0.25">
      <c r="A176" s="40" t="s">
        <v>166</v>
      </c>
      <c r="B176" s="97"/>
      <c r="C176" s="7"/>
      <c r="D176" s="7"/>
      <c r="E176" s="7"/>
      <c r="F176" s="7"/>
      <c r="G176" s="7"/>
      <c r="H176" s="7"/>
      <c r="I176" s="7">
        <f t="shared" si="50"/>
        <v>0</v>
      </c>
      <c r="J176" s="19"/>
    </row>
    <row r="177" spans="1:11" x14ac:dyDescent="0.25">
      <c r="A177" s="40" t="s">
        <v>167</v>
      </c>
      <c r="B177" s="97">
        <f>1000</f>
        <v>1000</v>
      </c>
      <c r="C177" s="7"/>
      <c r="D177" s="7"/>
      <c r="E177" s="7"/>
      <c r="F177" s="7"/>
      <c r="G177" s="7"/>
      <c r="H177" s="7"/>
      <c r="I177" s="7">
        <f t="shared" si="50"/>
        <v>1000</v>
      </c>
      <c r="J177" s="19"/>
    </row>
    <row r="178" spans="1:11" x14ac:dyDescent="0.25">
      <c r="A178" s="40" t="s">
        <v>168</v>
      </c>
      <c r="B178" s="14">
        <f>'27-28'!B178*1.03</f>
        <v>6376.0074086499999</v>
      </c>
      <c r="C178" s="7"/>
      <c r="D178" s="7"/>
      <c r="E178" s="7"/>
      <c r="F178" s="7"/>
      <c r="G178" s="7"/>
      <c r="H178" s="7"/>
      <c r="I178" s="7">
        <f t="shared" si="50"/>
        <v>6376.0074086499999</v>
      </c>
      <c r="J178" s="19"/>
    </row>
    <row r="179" spans="1:11" x14ac:dyDescent="0.25">
      <c r="A179" s="40" t="s">
        <v>169</v>
      </c>
      <c r="B179" s="14">
        <f>'27-28'!B179*1.03</f>
        <v>31208.430451200005</v>
      </c>
      <c r="C179" s="7"/>
      <c r="D179" s="7"/>
      <c r="E179" s="7"/>
      <c r="F179" s="7"/>
      <c r="G179" s="7"/>
      <c r="H179" s="7"/>
      <c r="I179" s="7">
        <f t="shared" si="50"/>
        <v>31208.430451200005</v>
      </c>
      <c r="J179" s="19"/>
    </row>
    <row r="180" spans="1:11" x14ac:dyDescent="0.25">
      <c r="A180" s="40" t="s">
        <v>170</v>
      </c>
      <c r="B180" s="88">
        <f>8500+(B17*2.5)</f>
        <v>8987.5</v>
      </c>
      <c r="C180" s="7"/>
      <c r="D180" s="7"/>
      <c r="E180" s="7"/>
      <c r="F180" s="7"/>
      <c r="G180" s="7"/>
      <c r="H180" s="7"/>
      <c r="I180" s="7">
        <f t="shared" si="50"/>
        <v>8987.5</v>
      </c>
      <c r="J180" s="19"/>
    </row>
    <row r="181" spans="1:11" x14ac:dyDescent="0.25">
      <c r="A181" s="40" t="s">
        <v>171</v>
      </c>
      <c r="B181" s="14">
        <f>'27-28'!B181*1.06</f>
        <v>13938.957616281605</v>
      </c>
      <c r="C181" s="7"/>
      <c r="D181" s="7"/>
      <c r="E181" s="7"/>
      <c r="F181" s="7"/>
      <c r="G181" s="7"/>
      <c r="H181" s="7"/>
      <c r="I181" s="7">
        <f>SUM(B181:H181)</f>
        <v>13938.957616281605</v>
      </c>
      <c r="J181" s="19"/>
    </row>
    <row r="182" spans="1:11" x14ac:dyDescent="0.25">
      <c r="A182" s="40" t="s">
        <v>172</v>
      </c>
      <c r="B182" s="14">
        <f>'27-28'!B182*1.06</f>
        <v>12196.587914246402</v>
      </c>
      <c r="C182" s="7"/>
      <c r="D182" s="7"/>
      <c r="E182" s="7"/>
      <c r="F182" s="7"/>
      <c r="G182" s="7"/>
      <c r="H182" s="7"/>
      <c r="I182" s="7">
        <f>SUM(B182:H182)</f>
        <v>12196.587914246402</v>
      </c>
      <c r="J182" s="19"/>
    </row>
    <row r="183" spans="1:11" x14ac:dyDescent="0.25">
      <c r="A183" s="40" t="s">
        <v>173</v>
      </c>
      <c r="B183" s="14">
        <f>'27-28'!B183*1.06</f>
        <v>17423.697020352003</v>
      </c>
      <c r="C183" s="7"/>
      <c r="D183" s="7"/>
      <c r="E183" s="7"/>
      <c r="F183" s="7"/>
      <c r="G183" s="7"/>
      <c r="H183" s="7"/>
      <c r="I183" s="7">
        <f>SUM(B183:H183)</f>
        <v>17423.697020352003</v>
      </c>
      <c r="J183" s="19"/>
    </row>
    <row r="184" spans="1:11" x14ac:dyDescent="0.25">
      <c r="A184" s="40" t="s">
        <v>174</v>
      </c>
      <c r="B184" s="7"/>
      <c r="C184" s="7"/>
      <c r="D184" s="14">
        <f>((B17*D23)*2.4*180)</f>
        <v>84240</v>
      </c>
      <c r="E184" s="7"/>
      <c r="F184" s="7"/>
      <c r="G184" s="7"/>
      <c r="H184" s="7"/>
      <c r="I184" s="7">
        <f t="shared" ref="I184:I197" si="51">SUM(B184:H184)</f>
        <v>84240</v>
      </c>
      <c r="J184" s="70">
        <v>2.4</v>
      </c>
      <c r="K184" s="101"/>
    </row>
    <row r="185" spans="1:11" x14ac:dyDescent="0.25">
      <c r="A185" s="40" t="s">
        <v>175</v>
      </c>
      <c r="B185" s="7"/>
      <c r="C185" s="7"/>
      <c r="D185" s="14">
        <f>((B17*D23)*3.75*180)</f>
        <v>131625</v>
      </c>
      <c r="E185" s="7"/>
      <c r="F185" s="7"/>
      <c r="G185" s="7"/>
      <c r="H185" s="7"/>
      <c r="I185" s="7">
        <f t="shared" si="51"/>
        <v>131625</v>
      </c>
      <c r="J185" s="70">
        <v>3.75</v>
      </c>
      <c r="K185" s="101"/>
    </row>
    <row r="186" spans="1:11" x14ac:dyDescent="0.25">
      <c r="A186" s="40" t="s">
        <v>176</v>
      </c>
      <c r="B186" s="7">
        <f>5000</f>
        <v>5000</v>
      </c>
      <c r="C186" s="7"/>
      <c r="D186" s="7"/>
      <c r="E186" s="7"/>
      <c r="F186" s="7"/>
      <c r="G186" s="7"/>
      <c r="H186" s="7"/>
      <c r="I186" s="7">
        <f t="shared" si="51"/>
        <v>5000</v>
      </c>
      <c r="J186" s="19"/>
    </row>
    <row r="187" spans="1:11" x14ac:dyDescent="0.25">
      <c r="A187" s="40" t="s">
        <v>177</v>
      </c>
      <c r="B187" s="7">
        <v>1500</v>
      </c>
      <c r="C187" s="7"/>
      <c r="D187" s="7"/>
      <c r="E187" s="7"/>
      <c r="F187" s="7"/>
      <c r="G187" s="7"/>
      <c r="H187" s="7"/>
      <c r="I187" s="7">
        <f t="shared" si="51"/>
        <v>1500</v>
      </c>
      <c r="J187" s="19"/>
    </row>
    <row r="188" spans="1:11" x14ac:dyDescent="0.25">
      <c r="A188" s="40" t="s">
        <v>178</v>
      </c>
      <c r="B188" s="7">
        <f>60*20</f>
        <v>1200</v>
      </c>
      <c r="C188" s="7">
        <v>0</v>
      </c>
      <c r="D188" s="7">
        <v>0</v>
      </c>
      <c r="E188" s="7"/>
      <c r="F188" s="7"/>
      <c r="G188" s="7"/>
      <c r="H188" s="7"/>
      <c r="I188" s="7">
        <f t="shared" si="51"/>
        <v>1200</v>
      </c>
      <c r="J188" s="19"/>
    </row>
    <row r="189" spans="1:11" x14ac:dyDescent="0.25">
      <c r="A189" s="40" t="s">
        <v>179</v>
      </c>
      <c r="B189" s="14">
        <f>10000</f>
        <v>10000</v>
      </c>
      <c r="C189" s="7"/>
      <c r="D189" s="7"/>
      <c r="E189" s="7"/>
      <c r="F189" s="7"/>
      <c r="G189" s="7"/>
      <c r="H189" s="7"/>
      <c r="I189" s="7">
        <f t="shared" si="51"/>
        <v>10000</v>
      </c>
      <c r="J189" s="19"/>
    </row>
    <row r="190" spans="1:11" x14ac:dyDescent="0.25">
      <c r="A190" s="40" t="s">
        <v>180</v>
      </c>
      <c r="B190" s="14">
        <v>0</v>
      </c>
      <c r="C190" s="7"/>
      <c r="D190" s="7"/>
      <c r="E190" s="7"/>
      <c r="F190" s="7"/>
      <c r="G190" s="7"/>
      <c r="H190" s="7"/>
      <c r="I190" s="7">
        <f t="shared" si="51"/>
        <v>0</v>
      </c>
      <c r="J190" s="19"/>
    </row>
    <row r="191" spans="1:11" x14ac:dyDescent="0.25">
      <c r="A191" s="40" t="s">
        <v>181</v>
      </c>
      <c r="B191" s="14">
        <v>5000</v>
      </c>
      <c r="C191" s="7"/>
      <c r="D191" s="7"/>
      <c r="E191" s="7"/>
      <c r="F191" s="7"/>
      <c r="G191" s="7"/>
      <c r="H191" s="7"/>
      <c r="I191" s="7">
        <f t="shared" si="51"/>
        <v>5000</v>
      </c>
      <c r="J191" s="19"/>
    </row>
    <row r="192" spans="1:11" x14ac:dyDescent="0.25">
      <c r="A192" s="40" t="s">
        <v>182</v>
      </c>
      <c r="B192" s="14">
        <v>0</v>
      </c>
      <c r="C192" s="7"/>
      <c r="D192" s="7"/>
      <c r="E192" s="7"/>
      <c r="F192" s="7"/>
      <c r="G192" s="7"/>
      <c r="H192" s="7"/>
      <c r="I192" s="7">
        <f t="shared" si="51"/>
        <v>0</v>
      </c>
      <c r="J192" s="19"/>
    </row>
    <row r="193" spans="1:11" x14ac:dyDescent="0.25">
      <c r="A193" s="40" t="s">
        <v>183</v>
      </c>
      <c r="B193" s="14">
        <v>0</v>
      </c>
      <c r="C193" s="14"/>
      <c r="D193" s="14"/>
      <c r="E193" s="14"/>
      <c r="F193" s="14"/>
      <c r="G193" s="14"/>
      <c r="H193" s="14"/>
      <c r="I193" s="7">
        <f t="shared" si="51"/>
        <v>0</v>
      </c>
      <c r="J193" s="19"/>
    </row>
    <row r="194" spans="1:11" x14ac:dyDescent="0.25">
      <c r="A194" s="40" t="s">
        <v>184</v>
      </c>
      <c r="B194" s="14">
        <v>0</v>
      </c>
      <c r="C194" s="14"/>
      <c r="D194" s="14"/>
      <c r="E194" s="14"/>
      <c r="F194" s="14"/>
      <c r="G194" s="14"/>
      <c r="H194" s="14"/>
      <c r="I194" s="7">
        <f t="shared" si="51"/>
        <v>0</v>
      </c>
      <c r="J194" s="19"/>
    </row>
    <row r="195" spans="1:11" x14ac:dyDescent="0.25">
      <c r="A195" s="40" t="s">
        <v>185</v>
      </c>
      <c r="B195" s="14">
        <v>0</v>
      </c>
      <c r="C195" s="14"/>
      <c r="D195" s="14"/>
      <c r="E195" s="14"/>
      <c r="F195" s="14"/>
      <c r="G195" s="14"/>
      <c r="H195" s="14"/>
      <c r="I195" s="7">
        <f t="shared" si="51"/>
        <v>0</v>
      </c>
      <c r="J195" s="19"/>
    </row>
    <row r="196" spans="1:11" x14ac:dyDescent="0.25">
      <c r="A196" s="40" t="s">
        <v>362</v>
      </c>
      <c r="B196" s="14"/>
      <c r="C196" s="14"/>
      <c r="D196" s="14"/>
      <c r="E196" s="14"/>
      <c r="F196" s="14"/>
      <c r="G196" s="14"/>
      <c r="H196" s="14"/>
      <c r="I196" s="7">
        <f t="shared" si="51"/>
        <v>0</v>
      </c>
      <c r="J196" s="19"/>
    </row>
    <row r="197" spans="1:11" x14ac:dyDescent="0.25">
      <c r="A197" s="40" t="s">
        <v>186</v>
      </c>
      <c r="B197" s="104">
        <v>10000</v>
      </c>
      <c r="C197" s="14"/>
      <c r="D197" s="14"/>
      <c r="E197" s="14"/>
      <c r="F197" s="14"/>
      <c r="G197" s="14"/>
      <c r="H197" s="14"/>
      <c r="I197" s="7">
        <f t="shared" si="51"/>
        <v>10000</v>
      </c>
      <c r="J197" s="19"/>
    </row>
    <row r="198" spans="1:11" x14ac:dyDescent="0.25">
      <c r="A198" s="96" t="s">
        <v>187</v>
      </c>
      <c r="B198" s="7">
        <f>((B2*B3)*0)+0</f>
        <v>0</v>
      </c>
      <c r="C198" s="7"/>
      <c r="D198" s="7"/>
      <c r="E198" s="7"/>
      <c r="F198" s="7"/>
      <c r="G198" s="7"/>
      <c r="H198" s="7"/>
      <c r="I198" s="7">
        <f>SUM(B198:H198)</f>
        <v>0</v>
      </c>
      <c r="J198" s="103"/>
      <c r="K198" s="66"/>
    </row>
    <row r="199" spans="1:11" x14ac:dyDescent="0.25">
      <c r="A199" s="83" t="s">
        <v>188</v>
      </c>
      <c r="B199" s="84">
        <f>SUM(B174:B198)</f>
        <v>138901.74337663001</v>
      </c>
      <c r="C199" s="84">
        <f t="shared" ref="C199:I199" si="52">SUM(C174:C198)</f>
        <v>0</v>
      </c>
      <c r="D199" s="84">
        <f t="shared" si="52"/>
        <v>215865</v>
      </c>
      <c r="E199" s="84">
        <f t="shared" si="52"/>
        <v>0</v>
      </c>
      <c r="F199" s="84">
        <f t="shared" si="52"/>
        <v>0</v>
      </c>
      <c r="G199" s="84">
        <f t="shared" si="52"/>
        <v>0</v>
      </c>
      <c r="H199" s="84">
        <f t="shared" si="52"/>
        <v>0</v>
      </c>
      <c r="I199" s="84">
        <f t="shared" si="52"/>
        <v>354766.74337663001</v>
      </c>
      <c r="J199" s="10"/>
      <c r="K199" s="10"/>
    </row>
    <row r="200" spans="1:11" x14ac:dyDescent="0.25">
      <c r="A200" s="93" t="s">
        <v>189</v>
      </c>
      <c r="B200" s="24" t="str">
        <f t="shared" ref="B200:I200" si="53">B1</f>
        <v>Operating</v>
      </c>
      <c r="C200" s="24" t="str">
        <f t="shared" si="53"/>
        <v>SPED</v>
      </c>
      <c r="D200" s="24" t="str">
        <f t="shared" si="53"/>
        <v>NSLP</v>
      </c>
      <c r="E200" s="24" t="str">
        <f t="shared" si="53"/>
        <v>Other</v>
      </c>
      <c r="F200" s="24" t="str">
        <f t="shared" si="53"/>
        <v>Title I</v>
      </c>
      <c r="G200" s="24" t="str">
        <f t="shared" si="53"/>
        <v>Title II</v>
      </c>
      <c r="H200" s="24" t="str">
        <f t="shared" si="53"/>
        <v>Title III</v>
      </c>
      <c r="I200" s="24" t="str">
        <f t="shared" si="53"/>
        <v>Total (23-24)</v>
      </c>
      <c r="J200" s="10"/>
      <c r="K200" s="10"/>
    </row>
    <row r="201" spans="1:11" x14ac:dyDescent="0.25">
      <c r="A201" s="100" t="s">
        <v>190</v>
      </c>
      <c r="B201" s="14">
        <f>'27-28'!B201*1.03</f>
        <v>49522.387640000001</v>
      </c>
      <c r="C201" s="7"/>
      <c r="D201" s="7"/>
      <c r="E201" s="7"/>
      <c r="F201" s="7"/>
      <c r="G201" s="7"/>
      <c r="H201" s="7"/>
      <c r="I201" s="7">
        <f t="shared" ref="I201:I210" si="54">SUM(B201:H201)</f>
        <v>49522.387640000001</v>
      </c>
      <c r="J201" s="8"/>
      <c r="K201" s="9"/>
    </row>
    <row r="202" spans="1:11" x14ac:dyDescent="0.25">
      <c r="A202" s="40" t="s">
        <v>193</v>
      </c>
      <c r="B202" s="14">
        <f>'27-28'!B202*1.03</f>
        <v>900.40704800000003</v>
      </c>
      <c r="C202" s="7"/>
      <c r="D202" s="7"/>
      <c r="E202" s="7"/>
      <c r="F202" s="7"/>
      <c r="G202" s="7"/>
      <c r="H202" s="7"/>
      <c r="I202" s="7">
        <f t="shared" si="54"/>
        <v>900.40704800000003</v>
      </c>
      <c r="J202" s="8"/>
    </row>
    <row r="203" spans="1:11" x14ac:dyDescent="0.25">
      <c r="A203" s="40" t="s">
        <v>196</v>
      </c>
      <c r="B203" s="14">
        <f>'27-28'!B203*1.03</f>
        <v>12380.59691</v>
      </c>
      <c r="C203" s="7"/>
      <c r="D203" s="7"/>
      <c r="E203" s="7"/>
      <c r="F203" s="7"/>
      <c r="G203" s="7"/>
      <c r="H203" s="7"/>
      <c r="I203" s="7">
        <f t="shared" si="54"/>
        <v>12380.59691</v>
      </c>
      <c r="J203" s="19"/>
    </row>
    <row r="204" spans="1:11" x14ac:dyDescent="0.25">
      <c r="A204" s="40" t="s">
        <v>198</v>
      </c>
      <c r="B204" s="14">
        <f>'27-28'!B204*1.03</f>
        <v>4502.0352400000002</v>
      </c>
      <c r="C204" s="7"/>
      <c r="D204" s="7"/>
      <c r="E204" s="7"/>
      <c r="F204" s="7"/>
      <c r="G204" s="7"/>
      <c r="H204" s="7"/>
      <c r="I204" s="7">
        <f t="shared" si="54"/>
        <v>4502.0352400000002</v>
      </c>
      <c r="J204" s="19"/>
    </row>
    <row r="205" spans="1:11" x14ac:dyDescent="0.25">
      <c r="A205" s="40" t="s">
        <v>199</v>
      </c>
      <c r="B205" s="14">
        <f>'27-28'!B205*1.03</f>
        <v>1125.50881</v>
      </c>
      <c r="C205" s="7"/>
      <c r="D205" s="7"/>
      <c r="E205" s="7"/>
      <c r="F205" s="7"/>
      <c r="G205" s="7"/>
      <c r="H205" s="7"/>
      <c r="I205" s="7">
        <f t="shared" si="54"/>
        <v>1125.50881</v>
      </c>
      <c r="J205" s="19"/>
    </row>
    <row r="206" spans="1:11" x14ac:dyDescent="0.25">
      <c r="A206" s="40" t="s">
        <v>201</v>
      </c>
      <c r="B206" s="14">
        <f>'27-28'!B206*1.03</f>
        <v>13506.105720000003</v>
      </c>
      <c r="C206" s="7"/>
      <c r="D206" s="7"/>
      <c r="E206" s="7"/>
      <c r="F206" s="7"/>
      <c r="G206" s="7"/>
      <c r="H206" s="7"/>
      <c r="I206" s="7">
        <f t="shared" si="54"/>
        <v>13506.105720000003</v>
      </c>
      <c r="J206" s="19"/>
    </row>
    <row r="207" spans="1:11" x14ac:dyDescent="0.25">
      <c r="A207" s="40" t="s">
        <v>203</v>
      </c>
      <c r="B207" s="14">
        <f>15000</f>
        <v>15000</v>
      </c>
      <c r="C207" s="7"/>
      <c r="D207" s="7"/>
      <c r="E207" s="7"/>
      <c r="F207" s="7"/>
      <c r="G207" s="7"/>
      <c r="H207" s="7"/>
      <c r="I207" s="7">
        <f t="shared" si="54"/>
        <v>15000</v>
      </c>
      <c r="J207" s="19"/>
    </row>
    <row r="208" spans="1:11" x14ac:dyDescent="0.25">
      <c r="A208" s="40" t="s">
        <v>204</v>
      </c>
      <c r="B208" s="14">
        <f>'27-28'!B208*1.05</f>
        <v>0</v>
      </c>
      <c r="C208" s="7"/>
      <c r="D208" s="7"/>
      <c r="E208" s="7"/>
      <c r="F208" s="7"/>
      <c r="G208" s="7"/>
      <c r="H208" s="7"/>
      <c r="I208" s="7">
        <f t="shared" si="54"/>
        <v>0</v>
      </c>
      <c r="J208" s="19"/>
    </row>
    <row r="209" spans="1:11" x14ac:dyDescent="0.25">
      <c r="A209" s="40" t="s">
        <v>205</v>
      </c>
      <c r="B209" s="14">
        <f>'27-28'!B209*1.05</f>
        <v>0</v>
      </c>
      <c r="C209" s="7"/>
      <c r="D209" s="7"/>
      <c r="E209" s="7"/>
      <c r="F209" s="7"/>
      <c r="G209" s="7"/>
      <c r="H209" s="7"/>
      <c r="I209" s="7">
        <f t="shared" si="54"/>
        <v>0</v>
      </c>
      <c r="J209" s="19"/>
    </row>
    <row r="210" spans="1:11" x14ac:dyDescent="0.25">
      <c r="A210" s="96" t="s">
        <v>206</v>
      </c>
      <c r="B210" s="14">
        <v>5000</v>
      </c>
      <c r="C210" s="7"/>
      <c r="D210" s="7"/>
      <c r="E210" s="7"/>
      <c r="F210" s="7"/>
      <c r="G210" s="7"/>
      <c r="H210" s="7"/>
      <c r="I210" s="7">
        <f t="shared" si="54"/>
        <v>5000</v>
      </c>
      <c r="J210" s="19"/>
    </row>
    <row r="211" spans="1:11" x14ac:dyDescent="0.25">
      <c r="A211" s="83" t="s">
        <v>207</v>
      </c>
      <c r="B211" s="84">
        <f t="shared" ref="B211:I211" si="55">SUM(B201:B210)</f>
        <v>101937.04136800001</v>
      </c>
      <c r="C211" s="84">
        <f t="shared" si="55"/>
        <v>0</v>
      </c>
      <c r="D211" s="84">
        <f t="shared" si="55"/>
        <v>0</v>
      </c>
      <c r="E211" s="84">
        <f t="shared" si="55"/>
        <v>0</v>
      </c>
      <c r="F211" s="84">
        <f t="shared" si="55"/>
        <v>0</v>
      </c>
      <c r="G211" s="84">
        <f t="shared" si="55"/>
        <v>0</v>
      </c>
      <c r="H211" s="84">
        <f t="shared" si="55"/>
        <v>0</v>
      </c>
      <c r="I211" s="84">
        <f t="shared" si="55"/>
        <v>101937.04136800001</v>
      </c>
      <c r="J211" s="10"/>
      <c r="K211" s="10"/>
    </row>
    <row r="212" spans="1:11" x14ac:dyDescent="0.25">
      <c r="A212" s="105"/>
      <c r="B212" s="7"/>
      <c r="C212" s="7"/>
      <c r="D212" s="7"/>
      <c r="E212" s="7"/>
      <c r="F212" s="7"/>
      <c r="G212" s="7"/>
      <c r="H212" s="7"/>
      <c r="I212" s="7"/>
      <c r="J212" s="10"/>
      <c r="K212" s="10"/>
    </row>
    <row r="213" spans="1:11" x14ac:dyDescent="0.25">
      <c r="A213" s="83" t="s">
        <v>208</v>
      </c>
      <c r="B213" s="84">
        <f>B144+B156+B172+B199+B211</f>
        <v>1840217.2829514944</v>
      </c>
      <c r="C213" s="84">
        <f t="shared" ref="C213:I213" si="56">C144+C156+C172+C199+C211</f>
        <v>195028.33333333331</v>
      </c>
      <c r="D213" s="84">
        <f t="shared" si="56"/>
        <v>255465.8</v>
      </c>
      <c r="E213" s="84">
        <f t="shared" si="56"/>
        <v>0</v>
      </c>
      <c r="F213" s="84">
        <f t="shared" si="56"/>
        <v>34749</v>
      </c>
      <c r="G213" s="84">
        <f t="shared" si="56"/>
        <v>8000</v>
      </c>
      <c r="H213" s="84">
        <f t="shared" si="56"/>
        <v>1500</v>
      </c>
      <c r="I213" s="84">
        <f t="shared" si="56"/>
        <v>2334960.416284828</v>
      </c>
      <c r="J213" s="10"/>
      <c r="K213" s="10"/>
    </row>
    <row r="214" spans="1:11" x14ac:dyDescent="0.25">
      <c r="A214" s="106"/>
      <c r="B214" s="64"/>
      <c r="C214" s="64"/>
      <c r="D214" s="64"/>
      <c r="E214" s="64"/>
      <c r="F214" s="64"/>
      <c r="G214" s="64"/>
      <c r="H214" s="64"/>
      <c r="I214" s="64"/>
      <c r="J214" s="10"/>
      <c r="K214" s="10"/>
    </row>
    <row r="215" spans="1:11" x14ac:dyDescent="0.25">
      <c r="A215" s="55" t="s">
        <v>209</v>
      </c>
      <c r="B215" s="12">
        <f>605*B17</f>
        <v>117975</v>
      </c>
      <c r="C215" s="12"/>
      <c r="D215" s="12"/>
      <c r="E215" s="12"/>
      <c r="F215" s="12"/>
      <c r="G215" s="12"/>
      <c r="H215" s="12"/>
      <c r="I215" s="12">
        <f t="shared" ref="I215:I220" si="57">SUM(B215:H215)</f>
        <v>117975</v>
      </c>
      <c r="J215" s="19">
        <f>550*1.1</f>
        <v>605</v>
      </c>
    </row>
    <row r="216" spans="1:11" x14ac:dyDescent="0.25">
      <c r="A216" s="55" t="s">
        <v>210</v>
      </c>
      <c r="B216" s="12">
        <v>0</v>
      </c>
      <c r="C216" s="12"/>
      <c r="D216" s="12"/>
      <c r="E216" s="12"/>
      <c r="F216" s="12"/>
      <c r="G216" s="12"/>
      <c r="H216" s="12"/>
      <c r="I216" s="12">
        <f t="shared" si="57"/>
        <v>0</v>
      </c>
      <c r="J216" s="19"/>
    </row>
    <row r="217" spans="1:11" x14ac:dyDescent="0.25">
      <c r="A217" s="55" t="s">
        <v>211</v>
      </c>
      <c r="B217" s="12">
        <v>0</v>
      </c>
      <c r="C217" s="12"/>
      <c r="D217" s="12"/>
      <c r="E217" s="12"/>
      <c r="F217" s="12"/>
      <c r="G217" s="12"/>
      <c r="H217" s="12"/>
      <c r="I217" s="12">
        <f t="shared" si="57"/>
        <v>0</v>
      </c>
      <c r="J217" s="19"/>
    </row>
    <row r="218" spans="1:11" x14ac:dyDescent="0.25">
      <c r="A218" s="55" t="s">
        <v>212</v>
      </c>
      <c r="B218" s="12">
        <v>0</v>
      </c>
      <c r="C218" s="12"/>
      <c r="D218" s="12"/>
      <c r="E218" s="12"/>
      <c r="F218" s="12"/>
      <c r="G218" s="12"/>
      <c r="H218" s="12"/>
      <c r="I218" s="12">
        <f t="shared" si="57"/>
        <v>0</v>
      </c>
      <c r="J218" s="19"/>
    </row>
    <row r="219" spans="1:11" x14ac:dyDescent="0.25">
      <c r="A219" s="55"/>
      <c r="B219" s="12">
        <v>0</v>
      </c>
      <c r="C219" s="12">
        <v>0</v>
      </c>
      <c r="D219" s="12">
        <v>0</v>
      </c>
      <c r="E219" s="12"/>
      <c r="F219" s="12"/>
      <c r="G219" s="12"/>
      <c r="H219" s="12">
        <v>0</v>
      </c>
      <c r="I219" s="12">
        <f t="shared" si="57"/>
        <v>0</v>
      </c>
      <c r="J219" s="19"/>
    </row>
    <row r="220" spans="1:11" ht="15.75" thickBot="1" x14ac:dyDescent="0.3">
      <c r="A220" s="40"/>
      <c r="B220" s="47"/>
      <c r="C220" s="47"/>
      <c r="D220" s="47"/>
      <c r="E220" s="47"/>
      <c r="F220" s="47"/>
      <c r="G220" s="47"/>
      <c r="H220" s="47"/>
      <c r="I220" s="7">
        <f t="shared" si="57"/>
        <v>0</v>
      </c>
      <c r="J220" s="10"/>
      <c r="K220" s="10"/>
    </row>
    <row r="221" spans="1:11" ht="15.75" thickBot="1" x14ac:dyDescent="0.3">
      <c r="A221" s="107" t="s">
        <v>213</v>
      </c>
      <c r="B221" s="108">
        <f t="shared" ref="B221:I221" si="58">B98-B213-B215-B216-B218-B217</f>
        <v>173916.8360068386</v>
      </c>
      <c r="C221" s="108">
        <f t="shared" si="58"/>
        <v>-67658.666666666657</v>
      </c>
      <c r="D221" s="108">
        <f t="shared" si="58"/>
        <v>-22752.799999999988</v>
      </c>
      <c r="E221" s="108">
        <f t="shared" si="58"/>
        <v>0</v>
      </c>
      <c r="F221" s="108">
        <f t="shared" si="58"/>
        <v>-5499</v>
      </c>
      <c r="G221" s="108">
        <f t="shared" si="58"/>
        <v>0</v>
      </c>
      <c r="H221" s="108">
        <f t="shared" si="58"/>
        <v>0</v>
      </c>
      <c r="I221" s="108">
        <f t="shared" si="58"/>
        <v>78006.369340172037</v>
      </c>
      <c r="J221" s="10"/>
      <c r="K221" s="10"/>
    </row>
    <row r="222" spans="1:11" x14ac:dyDescent="0.25">
      <c r="A222" s="109"/>
      <c r="B222" s="110">
        <f t="shared" ref="B222:I222" si="59">B221/(B98)</f>
        <v>8.1570326049638445E-2</v>
      </c>
      <c r="C222" s="110">
        <f t="shared" si="59"/>
        <v>-0.53119921279006777</v>
      </c>
      <c r="D222" s="110">
        <f t="shared" si="59"/>
        <v>-9.7771933669369523E-2</v>
      </c>
      <c r="E222" s="110" t="e">
        <f t="shared" si="59"/>
        <v>#DIV/0!</v>
      </c>
      <c r="F222" s="110">
        <f t="shared" si="59"/>
        <v>-0.188</v>
      </c>
      <c r="G222" s="110">
        <f t="shared" si="59"/>
        <v>0</v>
      </c>
      <c r="H222" s="110">
        <f t="shared" si="59"/>
        <v>0</v>
      </c>
      <c r="I222" s="110">
        <f t="shared" si="59"/>
        <v>3.0821083986690298E-2</v>
      </c>
      <c r="J222" s="28"/>
      <c r="K222" s="10"/>
    </row>
    <row r="223" spans="1:11" x14ac:dyDescent="0.25">
      <c r="B223" s="111"/>
      <c r="C223" s="111"/>
      <c r="D223" s="111"/>
      <c r="E223" s="111"/>
      <c r="F223" s="111"/>
      <c r="G223" s="111"/>
      <c r="H223" s="111"/>
      <c r="I223" s="111"/>
    </row>
    <row r="224" spans="1:11" x14ac:dyDescent="0.25">
      <c r="A224" s="1" t="str">
        <f t="shared" ref="A224:I224" si="60">A1</f>
        <v>Young Women's Leadership Academy (YWLA) - FY29</v>
      </c>
      <c r="B224" s="1" t="str">
        <f t="shared" si="60"/>
        <v>Operating</v>
      </c>
      <c r="C224" s="1" t="str">
        <f t="shared" si="60"/>
        <v>SPED</v>
      </c>
      <c r="D224" s="1" t="str">
        <f t="shared" si="60"/>
        <v>NSLP</v>
      </c>
      <c r="E224" s="1" t="str">
        <f t="shared" si="60"/>
        <v>Other</v>
      </c>
      <c r="F224" s="1" t="str">
        <f t="shared" si="60"/>
        <v>Title I</v>
      </c>
      <c r="G224" s="1" t="str">
        <f t="shared" si="60"/>
        <v>Title II</v>
      </c>
      <c r="H224" s="1" t="str">
        <f t="shared" si="60"/>
        <v>Title III</v>
      </c>
      <c r="I224" s="1" t="str">
        <f t="shared" si="60"/>
        <v>Total (23-24)</v>
      </c>
      <c r="J224" s="2"/>
      <c r="K224" s="2"/>
    </row>
    <row r="226" spans="1:11" s="18" customFormat="1" x14ac:dyDescent="0.25">
      <c r="A226" s="10"/>
      <c r="B226" s="112"/>
      <c r="C226" s="112"/>
      <c r="D226" s="112"/>
      <c r="E226" s="112"/>
      <c r="F226" s="112"/>
      <c r="G226" s="112"/>
      <c r="H226" s="112"/>
      <c r="I226" s="112"/>
    </row>
    <row r="227" spans="1:11" s="18" customFormat="1" x14ac:dyDescent="0.25">
      <c r="A227" s="113" t="s">
        <v>214</v>
      </c>
      <c r="B227" s="114"/>
      <c r="C227" s="114"/>
      <c r="D227" s="114"/>
      <c r="E227" s="114"/>
      <c r="F227" s="114"/>
      <c r="G227" s="114"/>
      <c r="H227" s="114"/>
      <c r="I227" s="114">
        <f>I98-I213</f>
        <v>195981.36934017204</v>
      </c>
    </row>
    <row r="228" spans="1:11" x14ac:dyDescent="0.25">
      <c r="A228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x14ac:dyDescent="0.25">
      <c r="A229" s="115" t="str">
        <f>A215</f>
        <v>Scheduled Lease Payment</v>
      </c>
      <c r="B229" s="116"/>
      <c r="C229" s="116"/>
      <c r="D229" s="116"/>
      <c r="E229" s="116"/>
      <c r="F229" s="116"/>
      <c r="G229" s="116"/>
      <c r="H229" s="116"/>
      <c r="I229" s="116">
        <f>I215</f>
        <v>117975</v>
      </c>
      <c r="J229" s="10"/>
      <c r="K229" s="10"/>
    </row>
    <row r="230" spans="1:11" x14ac:dyDescent="0.25">
      <c r="A230" s="115" t="str">
        <f>A216</f>
        <v>Scheduled Bond Payment - Principal</v>
      </c>
      <c r="B230" s="116"/>
      <c r="C230" s="116"/>
      <c r="D230" s="116"/>
      <c r="E230" s="116"/>
      <c r="F230" s="116"/>
      <c r="G230" s="116"/>
      <c r="H230" s="116"/>
      <c r="I230" s="116">
        <f t="shared" ref="I230:I231" si="61">I216</f>
        <v>0</v>
      </c>
      <c r="J230" s="10"/>
      <c r="K230" s="10"/>
    </row>
    <row r="231" spans="1:11" x14ac:dyDescent="0.25">
      <c r="A231" s="115" t="str">
        <f>A217</f>
        <v>Scheduled Bond Payment - Interest</v>
      </c>
      <c r="B231" s="116"/>
      <c r="C231" s="116"/>
      <c r="D231" s="116"/>
      <c r="E231" s="116"/>
      <c r="F231" s="116"/>
      <c r="G231" s="116"/>
      <c r="H231" s="116"/>
      <c r="I231" s="116">
        <f t="shared" si="61"/>
        <v>0</v>
      </c>
      <c r="J231" s="10"/>
      <c r="K231" s="10"/>
    </row>
    <row r="232" spans="1:11" x14ac:dyDescent="0.25">
      <c r="A232"/>
      <c r="B232" s="116"/>
      <c r="C232" s="116"/>
      <c r="D232" s="116"/>
      <c r="E232" s="116"/>
      <c r="F232" s="116"/>
      <c r="G232" s="116"/>
      <c r="H232" s="116"/>
      <c r="I232" s="116"/>
      <c r="J232" s="10"/>
      <c r="K232" s="10"/>
    </row>
    <row r="233" spans="1:11" x14ac:dyDescent="0.25">
      <c r="A233" s="113" t="s">
        <v>215</v>
      </c>
      <c r="B233" s="117"/>
      <c r="C233" s="117"/>
      <c r="D233" s="117"/>
      <c r="E233" s="117"/>
      <c r="F233" s="117"/>
      <c r="G233" s="117"/>
      <c r="H233" s="117"/>
      <c r="I233" s="117">
        <f>SUM(I229:I231)</f>
        <v>117975</v>
      </c>
      <c r="J233" s="10"/>
      <c r="K233" s="10"/>
    </row>
    <row r="234" spans="1:11" x14ac:dyDescent="0.25">
      <c r="A234" s="118" t="s">
        <v>216</v>
      </c>
      <c r="B234" s="119"/>
      <c r="C234" s="119"/>
      <c r="D234" s="119"/>
      <c r="E234" s="119"/>
      <c r="F234" s="119"/>
      <c r="G234" s="119"/>
      <c r="H234" s="119"/>
      <c r="I234" s="119">
        <f>I227/I233</f>
        <v>1.6612110136907992</v>
      </c>
      <c r="J234" s="120"/>
      <c r="K234" s="120"/>
    </row>
    <row r="235" spans="1:11" x14ac:dyDescent="0.25">
      <c r="A235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x14ac:dyDescent="0.25">
      <c r="A236" s="121" t="s">
        <v>217</v>
      </c>
      <c r="B236" s="122"/>
      <c r="C236" s="122"/>
      <c r="D236" s="122"/>
      <c r="E236" s="122"/>
      <c r="F236" s="122"/>
      <c r="G236" s="122"/>
      <c r="H236" s="122"/>
      <c r="I236" s="122"/>
      <c r="J236" s="10"/>
      <c r="K236" s="10"/>
    </row>
    <row r="237" spans="1:11" x14ac:dyDescent="0.25">
      <c r="A237" t="s">
        <v>218</v>
      </c>
      <c r="B237" s="123"/>
      <c r="C237" s="123"/>
      <c r="D237" s="123"/>
      <c r="E237" s="123"/>
      <c r="F237" s="123"/>
      <c r="G237" s="123"/>
      <c r="H237" s="123"/>
      <c r="I237" s="124"/>
      <c r="J237" s="10"/>
      <c r="K237" s="10"/>
    </row>
    <row r="238" spans="1:11" x14ac:dyDescent="0.25">
      <c r="A238" s="10" t="s">
        <v>219</v>
      </c>
      <c r="B238" s="123"/>
      <c r="C238" s="123"/>
      <c r="D238" s="123"/>
      <c r="E238" s="123"/>
      <c r="F238" s="123"/>
      <c r="G238" s="123"/>
      <c r="H238" s="123"/>
      <c r="I238" s="123"/>
      <c r="J238" s="10"/>
      <c r="K238" s="10"/>
    </row>
    <row r="239" spans="1:11" x14ac:dyDescent="0.25">
      <c r="A239" s="10" t="s">
        <v>220</v>
      </c>
      <c r="B239" s="123"/>
      <c r="C239" s="123"/>
      <c r="D239" s="123"/>
      <c r="E239" s="123"/>
      <c r="F239" s="123"/>
      <c r="G239" s="123"/>
      <c r="H239" s="123"/>
      <c r="I239" s="123"/>
      <c r="J239" s="120"/>
      <c r="K239" s="120"/>
    </row>
    <row r="240" spans="1:11" x14ac:dyDescent="0.25">
      <c r="A240" s="125" t="s">
        <v>221</v>
      </c>
      <c r="B240" s="126"/>
      <c r="C240" s="126"/>
      <c r="D240" s="126"/>
      <c r="E240" s="126"/>
      <c r="F240" s="126"/>
      <c r="G240" s="126"/>
      <c r="H240" s="126"/>
      <c r="I240" s="126">
        <f>SUM(I237:I239)</f>
        <v>0</v>
      </c>
      <c r="J240" s="10"/>
      <c r="K240" s="10"/>
    </row>
    <row r="241" spans="1:11" x14ac:dyDescent="0.25">
      <c r="A241" s="127" t="s">
        <v>222</v>
      </c>
      <c r="B241" s="128"/>
      <c r="C241" s="128"/>
      <c r="D241" s="128"/>
      <c r="E241" s="128"/>
      <c r="F241" s="128"/>
      <c r="G241" s="128"/>
      <c r="H241" s="128"/>
      <c r="I241" s="128">
        <f>I240/((SUM(I213:I219))/365)</f>
        <v>0</v>
      </c>
      <c r="J241" s="10"/>
      <c r="K241" s="10"/>
    </row>
    <row r="242" spans="1:11" x14ac:dyDescent="0.25">
      <c r="A242"/>
      <c r="B242" s="129"/>
    </row>
    <row r="243" spans="1:11" x14ac:dyDescent="0.25">
      <c r="C243" s="130"/>
      <c r="D243" s="130"/>
      <c r="E243" s="130"/>
      <c r="F243" s="130"/>
      <c r="G243" s="130"/>
      <c r="H243" s="130"/>
      <c r="I243" s="130"/>
    </row>
  </sheetData>
  <pageMargins left="0.7" right="0.7" top="0.75" bottom="0.75" header="0.3" footer="0.3"/>
  <pageSetup scale="49" orientation="portrait" r:id="rId1"/>
  <headerFooter>
    <oddFooter>&amp;LPage &amp;P&amp;C
&amp;R
 &amp;G</oddFooter>
  </headerFooter>
  <rowBreaks count="2" manualBreakCount="2">
    <brk id="71" max="8" man="1"/>
    <brk id="156" max="8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62"/>
  <sheetViews>
    <sheetView zoomScale="80" zoomScaleNormal="80" workbookViewId="0">
      <selection activeCell="F95" sqref="A95:F95"/>
    </sheetView>
  </sheetViews>
  <sheetFormatPr defaultColWidth="8.7109375" defaultRowHeight="15" x14ac:dyDescent="0.25"/>
  <cols>
    <col min="1" max="1" width="56.5703125" style="10" customWidth="1"/>
    <col min="2" max="7" width="15.7109375" style="112" customWidth="1"/>
    <col min="8" max="16384" width="8.7109375" style="10"/>
  </cols>
  <sheetData>
    <row r="1" spans="1:14" s="5" customFormat="1" x14ac:dyDescent="0.25">
      <c r="A1" s="1" t="s">
        <v>249</v>
      </c>
      <c r="B1" s="1" t="s">
        <v>250</v>
      </c>
      <c r="C1" s="1" t="s">
        <v>251</v>
      </c>
      <c r="D1" s="1" t="s">
        <v>252</v>
      </c>
      <c r="E1" s="1" t="s">
        <v>253</v>
      </c>
      <c r="F1" s="1" t="s">
        <v>254</v>
      </c>
      <c r="G1" s="1" t="s">
        <v>255</v>
      </c>
    </row>
    <row r="2" spans="1:14" x14ac:dyDescent="0.25">
      <c r="A2" s="6" t="s">
        <v>11</v>
      </c>
      <c r="B2" s="7">
        <f>'23-24'!I2</f>
        <v>8966</v>
      </c>
      <c r="C2" s="7">
        <f>'24-25'!I2</f>
        <v>9414</v>
      </c>
      <c r="D2" s="7">
        <f>'25-26'!I2</f>
        <v>9536.3819999999996</v>
      </c>
      <c r="E2" s="7">
        <f>'26-27'!I2</f>
        <v>9658.764000000001</v>
      </c>
      <c r="F2" s="7">
        <f>'27-28'!I2</f>
        <v>9781.1459999999988</v>
      </c>
      <c r="G2" s="7">
        <f>'28-29'!I2</f>
        <v>9903.5280000000002</v>
      </c>
      <c r="J2" s="232">
        <f>(C2-B2)/B2</f>
        <v>4.9966540263216598E-2</v>
      </c>
      <c r="K2" s="232">
        <f t="shared" ref="K2:N2" si="0">(D2-C2)/C2</f>
        <v>1.2999999999999958E-2</v>
      </c>
      <c r="L2" s="232">
        <f t="shared" si="0"/>
        <v>1.2833168805528284E-2</v>
      </c>
      <c r="M2" s="232">
        <f t="shared" si="0"/>
        <v>1.267056530214402E-2</v>
      </c>
      <c r="N2" s="232">
        <f t="shared" si="0"/>
        <v>1.251203079884519E-2</v>
      </c>
    </row>
    <row r="3" spans="1:14" x14ac:dyDescent="0.25">
      <c r="A3" s="11" t="s">
        <v>12</v>
      </c>
      <c r="B3" s="12">
        <f t="shared" ref="B3:C3" si="1">B4+B5+B6+B7+B8+B9+B10+B11+B12+B13+B14+B15+B16</f>
        <v>118</v>
      </c>
      <c r="C3" s="12">
        <f t="shared" si="1"/>
        <v>135</v>
      </c>
      <c r="D3" s="12">
        <f t="shared" ref="D3:G3" si="2">D4+D5+D6+D7+D8+D9+D10+D11+D12+D13+D14+D15+D16</f>
        <v>150</v>
      </c>
      <c r="E3" s="12">
        <f t="shared" si="2"/>
        <v>165</v>
      </c>
      <c r="F3" s="12">
        <f t="shared" si="2"/>
        <v>180</v>
      </c>
      <c r="G3" s="12">
        <f t="shared" si="2"/>
        <v>195</v>
      </c>
    </row>
    <row r="4" spans="1:14" x14ac:dyDescent="0.25">
      <c r="A4" s="13" t="s">
        <v>13</v>
      </c>
      <c r="B4" s="7">
        <f>'23-24'!I4</f>
        <v>0</v>
      </c>
      <c r="C4" s="7">
        <f>'24-25'!I4</f>
        <v>0</v>
      </c>
      <c r="D4" s="7">
        <f>'25-26'!I4</f>
        <v>0</v>
      </c>
      <c r="E4" s="7">
        <f>'26-27'!I4</f>
        <v>0</v>
      </c>
      <c r="F4" s="7">
        <f>'27-28'!I4</f>
        <v>0</v>
      </c>
      <c r="G4" s="7">
        <f>'28-29'!I4</f>
        <v>0</v>
      </c>
      <c r="I4" s="143">
        <f>B4/30</f>
        <v>0</v>
      </c>
      <c r="J4" s="143">
        <f t="shared" ref="J4:N9" si="3">C4/30</f>
        <v>0</v>
      </c>
      <c r="K4" s="143">
        <f t="shared" si="3"/>
        <v>0</v>
      </c>
      <c r="L4" s="143">
        <f t="shared" si="3"/>
        <v>0</v>
      </c>
      <c r="M4" s="143">
        <f t="shared" si="3"/>
        <v>0</v>
      </c>
      <c r="N4" s="143">
        <f t="shared" si="3"/>
        <v>0</v>
      </c>
    </row>
    <row r="5" spans="1:14" x14ac:dyDescent="0.25">
      <c r="A5" s="11" t="s">
        <v>14</v>
      </c>
      <c r="B5" s="7">
        <f>'23-24'!I5</f>
        <v>0</v>
      </c>
      <c r="C5" s="7">
        <f>'24-25'!I5</f>
        <v>0</v>
      </c>
      <c r="D5" s="7">
        <f>'25-26'!I5</f>
        <v>0</v>
      </c>
      <c r="E5" s="7">
        <f>'26-27'!I5</f>
        <v>0</v>
      </c>
      <c r="F5" s="7">
        <f>'27-28'!I5</f>
        <v>0</v>
      </c>
      <c r="G5" s="7">
        <f>'28-29'!I5</f>
        <v>0</v>
      </c>
      <c r="I5" s="143">
        <f t="shared" ref="I5:I9" si="4">B5/30</f>
        <v>0</v>
      </c>
      <c r="J5" s="143">
        <f t="shared" si="3"/>
        <v>0</v>
      </c>
      <c r="K5" s="143">
        <f t="shared" si="3"/>
        <v>0</v>
      </c>
      <c r="L5" s="143">
        <f t="shared" si="3"/>
        <v>0</v>
      </c>
      <c r="M5" s="143">
        <f t="shared" si="3"/>
        <v>0</v>
      </c>
      <c r="N5" s="143">
        <f t="shared" si="3"/>
        <v>0</v>
      </c>
    </row>
    <row r="6" spans="1:14" x14ac:dyDescent="0.25">
      <c r="A6" s="11" t="s">
        <v>15</v>
      </c>
      <c r="B6" s="7">
        <f>'23-24'!I6</f>
        <v>0</v>
      </c>
      <c r="C6" s="7">
        <f>'24-25'!I6</f>
        <v>0</v>
      </c>
      <c r="D6" s="7">
        <f>'25-26'!I6</f>
        <v>0</v>
      </c>
      <c r="E6" s="7">
        <f>'26-27'!I6</f>
        <v>0</v>
      </c>
      <c r="F6" s="7">
        <f>'27-28'!I6</f>
        <v>0</v>
      </c>
      <c r="G6" s="7">
        <f>'28-29'!I6</f>
        <v>0</v>
      </c>
      <c r="I6" s="143">
        <f t="shared" si="4"/>
        <v>0</v>
      </c>
      <c r="J6" s="143">
        <f t="shared" si="3"/>
        <v>0</v>
      </c>
      <c r="K6" s="143">
        <f t="shared" si="3"/>
        <v>0</v>
      </c>
      <c r="L6" s="143">
        <f t="shared" si="3"/>
        <v>0</v>
      </c>
      <c r="M6" s="143">
        <f t="shared" si="3"/>
        <v>0</v>
      </c>
      <c r="N6" s="143">
        <f t="shared" si="3"/>
        <v>0</v>
      </c>
    </row>
    <row r="7" spans="1:14" x14ac:dyDescent="0.25">
      <c r="A7" s="17" t="s">
        <v>16</v>
      </c>
      <c r="B7" s="7">
        <f>'23-24'!I7</f>
        <v>0</v>
      </c>
      <c r="C7" s="7">
        <f>'24-25'!I7</f>
        <v>0</v>
      </c>
      <c r="D7" s="7">
        <f>'25-26'!I7</f>
        <v>0</v>
      </c>
      <c r="E7" s="7">
        <f>'26-27'!I7</f>
        <v>0</v>
      </c>
      <c r="F7" s="7">
        <f>'27-28'!I7</f>
        <v>0</v>
      </c>
      <c r="G7" s="7">
        <f>'28-29'!I7</f>
        <v>0</v>
      </c>
      <c r="I7" s="143">
        <f t="shared" si="4"/>
        <v>0</v>
      </c>
      <c r="J7" s="143">
        <f t="shared" si="3"/>
        <v>0</v>
      </c>
      <c r="K7" s="143">
        <f t="shared" si="3"/>
        <v>0</v>
      </c>
      <c r="L7" s="143">
        <f t="shared" si="3"/>
        <v>0</v>
      </c>
      <c r="M7" s="143">
        <f t="shared" si="3"/>
        <v>0</v>
      </c>
      <c r="N7" s="143">
        <f t="shared" si="3"/>
        <v>0</v>
      </c>
    </row>
    <row r="8" spans="1:14" x14ac:dyDescent="0.25">
      <c r="A8" s="17" t="s">
        <v>17</v>
      </c>
      <c r="B8" s="7">
        <f>'23-24'!I8</f>
        <v>0</v>
      </c>
      <c r="C8" s="7">
        <f>'24-25'!I8</f>
        <v>0</v>
      </c>
      <c r="D8" s="7">
        <f>'25-26'!I8</f>
        <v>0</v>
      </c>
      <c r="E8" s="7">
        <f>'26-27'!I8</f>
        <v>0</v>
      </c>
      <c r="F8" s="7">
        <f>'27-28'!I8</f>
        <v>0</v>
      </c>
      <c r="G8" s="7">
        <f>'28-29'!I8</f>
        <v>0</v>
      </c>
      <c r="I8" s="143">
        <f t="shared" si="4"/>
        <v>0</v>
      </c>
      <c r="J8" s="143">
        <f t="shared" si="3"/>
        <v>0</v>
      </c>
      <c r="K8" s="143">
        <f t="shared" si="3"/>
        <v>0</v>
      </c>
      <c r="L8" s="143">
        <f t="shared" si="3"/>
        <v>0</v>
      </c>
      <c r="M8" s="143">
        <f t="shared" si="3"/>
        <v>0</v>
      </c>
      <c r="N8" s="143">
        <f t="shared" si="3"/>
        <v>0</v>
      </c>
    </row>
    <row r="9" spans="1:14" x14ac:dyDescent="0.25">
      <c r="A9" s="17" t="s">
        <v>18</v>
      </c>
      <c r="B9" s="7">
        <f>'23-24'!I9</f>
        <v>0</v>
      </c>
      <c r="C9" s="7">
        <f>'24-25'!I9</f>
        <v>0</v>
      </c>
      <c r="D9" s="7">
        <f>'25-26'!I9</f>
        <v>0</v>
      </c>
      <c r="E9" s="7">
        <f>'26-27'!I9</f>
        <v>0</v>
      </c>
      <c r="F9" s="7">
        <f>'27-28'!I9</f>
        <v>0</v>
      </c>
      <c r="G9" s="7">
        <f>'28-29'!I9</f>
        <v>0</v>
      </c>
      <c r="I9" s="143">
        <f t="shared" si="4"/>
        <v>0</v>
      </c>
      <c r="J9" s="143">
        <f t="shared" si="3"/>
        <v>0</v>
      </c>
      <c r="K9" s="143">
        <f t="shared" si="3"/>
        <v>0</v>
      </c>
      <c r="L9" s="143">
        <f t="shared" si="3"/>
        <v>0</v>
      </c>
      <c r="M9" s="143">
        <f t="shared" si="3"/>
        <v>0</v>
      </c>
      <c r="N9" s="143">
        <f t="shared" si="3"/>
        <v>0</v>
      </c>
    </row>
    <row r="10" spans="1:14" x14ac:dyDescent="0.25">
      <c r="A10" s="17" t="s">
        <v>19</v>
      </c>
      <c r="B10" s="7">
        <f>'23-24'!I10</f>
        <v>30</v>
      </c>
      <c r="C10" s="14">
        <f>'24-25'!I10</f>
        <v>30</v>
      </c>
      <c r="D10" s="14">
        <f>'25-26'!I10</f>
        <v>30</v>
      </c>
      <c r="E10" s="14">
        <f>'26-27'!I10</f>
        <v>30</v>
      </c>
      <c r="F10" s="14">
        <f>'27-28'!I10</f>
        <v>30</v>
      </c>
      <c r="G10" s="14">
        <f>'28-29'!I10</f>
        <v>30</v>
      </c>
      <c r="I10" s="143">
        <f>'23-24'!J10</f>
        <v>1</v>
      </c>
      <c r="J10" s="143">
        <f>'24-25'!J10</f>
        <v>1</v>
      </c>
      <c r="K10" s="143">
        <f>'25-26'!J10</f>
        <v>1</v>
      </c>
      <c r="L10" s="143">
        <f>'26-27'!J10</f>
        <v>1</v>
      </c>
      <c r="M10" s="143">
        <f>'27-28'!J10</f>
        <v>1</v>
      </c>
      <c r="N10" s="143">
        <f>'28-29'!J10</f>
        <v>1</v>
      </c>
    </row>
    <row r="11" spans="1:14" x14ac:dyDescent="0.25">
      <c r="A11" s="17" t="s">
        <v>20</v>
      </c>
      <c r="B11" s="7">
        <f>'23-24'!I11</f>
        <v>40</v>
      </c>
      <c r="C11" s="7">
        <f>'24-25'!I11</f>
        <v>25</v>
      </c>
      <c r="D11" s="7">
        <f>'25-26'!I11</f>
        <v>30</v>
      </c>
      <c r="E11" s="7">
        <f>'26-27'!I11</f>
        <v>30</v>
      </c>
      <c r="F11" s="7">
        <f>'27-28'!I11</f>
        <v>30</v>
      </c>
      <c r="G11" s="7">
        <f>'28-29'!I11</f>
        <v>30</v>
      </c>
      <c r="I11" s="143">
        <f>'23-24'!J11</f>
        <v>2</v>
      </c>
      <c r="J11" s="143">
        <f>'24-25'!J11</f>
        <v>1</v>
      </c>
      <c r="K11" s="143">
        <f>'25-26'!J11</f>
        <v>1</v>
      </c>
      <c r="L11" s="143">
        <f>'26-27'!J11</f>
        <v>1</v>
      </c>
      <c r="M11" s="143">
        <f>'27-28'!J11</f>
        <v>1</v>
      </c>
      <c r="N11" s="143">
        <f>'28-29'!J11</f>
        <v>1</v>
      </c>
    </row>
    <row r="12" spans="1:14" x14ac:dyDescent="0.25">
      <c r="A12" s="17" t="s">
        <v>21</v>
      </c>
      <c r="B12" s="7">
        <f>'23-24'!I12</f>
        <v>25</v>
      </c>
      <c r="C12" s="7">
        <f>'24-25'!I12</f>
        <v>25</v>
      </c>
      <c r="D12" s="7">
        <f>'25-26'!I12</f>
        <v>25</v>
      </c>
      <c r="E12" s="7">
        <f>'26-27'!I12</f>
        <v>30</v>
      </c>
      <c r="F12" s="7">
        <f>'27-28'!I12</f>
        <v>30</v>
      </c>
      <c r="G12" s="7">
        <f>'28-29'!I12</f>
        <v>30</v>
      </c>
      <c r="I12" s="143">
        <f>'23-24'!J12</f>
        <v>1</v>
      </c>
      <c r="J12" s="143">
        <f>'24-25'!J12</f>
        <v>1</v>
      </c>
      <c r="K12" s="143">
        <f>'25-26'!J12</f>
        <v>1</v>
      </c>
      <c r="L12" s="143">
        <f>'26-27'!J12</f>
        <v>1</v>
      </c>
      <c r="M12" s="143">
        <f>'27-28'!J12</f>
        <v>1</v>
      </c>
      <c r="N12" s="143">
        <f>'28-29'!J12</f>
        <v>1</v>
      </c>
    </row>
    <row r="13" spans="1:14" x14ac:dyDescent="0.25">
      <c r="A13" s="17" t="s">
        <v>22</v>
      </c>
      <c r="B13" s="7">
        <f>'23-24'!I13</f>
        <v>12</v>
      </c>
      <c r="C13" s="7">
        <f>'24-25'!I13</f>
        <v>25</v>
      </c>
      <c r="D13" s="7">
        <f>'25-26'!I13</f>
        <v>25</v>
      </c>
      <c r="E13" s="7">
        <f>'26-27'!I13</f>
        <v>25</v>
      </c>
      <c r="F13" s="7">
        <f>'27-28'!I13</f>
        <v>25</v>
      </c>
      <c r="G13" s="7">
        <f>'28-29'!I13</f>
        <v>30</v>
      </c>
      <c r="I13" s="143">
        <f>'23-24'!J13</f>
        <v>1</v>
      </c>
      <c r="J13" s="143">
        <f>'24-25'!J13</f>
        <v>1</v>
      </c>
      <c r="K13" s="143">
        <f>'25-26'!J13</f>
        <v>1</v>
      </c>
      <c r="L13" s="143">
        <f>'26-27'!J13</f>
        <v>1</v>
      </c>
      <c r="M13" s="143">
        <f>'27-28'!J13</f>
        <v>1</v>
      </c>
      <c r="N13" s="143">
        <f>'28-29'!J13</f>
        <v>1</v>
      </c>
    </row>
    <row r="14" spans="1:14" x14ac:dyDescent="0.25">
      <c r="A14" s="17" t="s">
        <v>23</v>
      </c>
      <c r="B14" s="7">
        <f>'23-24'!I14</f>
        <v>11</v>
      </c>
      <c r="C14" s="7">
        <f>'24-25'!I14</f>
        <v>15</v>
      </c>
      <c r="D14" s="7">
        <f>'25-26'!I14</f>
        <v>20</v>
      </c>
      <c r="E14" s="7">
        <f>'26-27'!I14</f>
        <v>25</v>
      </c>
      <c r="F14" s="7">
        <f>'27-28'!I14</f>
        <v>25</v>
      </c>
      <c r="G14" s="7">
        <f>'28-29'!I14</f>
        <v>25</v>
      </c>
      <c r="I14" s="143">
        <f>'23-24'!J14</f>
        <v>1</v>
      </c>
      <c r="J14" s="143">
        <f>'24-25'!J14</f>
        <v>1</v>
      </c>
      <c r="K14" s="143">
        <f>'25-26'!J14</f>
        <v>1</v>
      </c>
      <c r="L14" s="143">
        <f>'26-27'!J14</f>
        <v>1</v>
      </c>
      <c r="M14" s="143">
        <f>'27-28'!J14</f>
        <v>1</v>
      </c>
      <c r="N14" s="143">
        <f>'28-29'!J14</f>
        <v>1</v>
      </c>
    </row>
    <row r="15" spans="1:14" x14ac:dyDescent="0.25">
      <c r="A15" s="17" t="s">
        <v>24</v>
      </c>
      <c r="B15" s="7">
        <f>'23-24'!I15</f>
        <v>0</v>
      </c>
      <c r="C15" s="7">
        <f>'24-25'!I15</f>
        <v>15</v>
      </c>
      <c r="D15" s="7">
        <f>'25-26'!I15</f>
        <v>10</v>
      </c>
      <c r="E15" s="7">
        <f>'26-27'!I15</f>
        <v>15</v>
      </c>
      <c r="F15" s="7">
        <f>'27-28'!I15</f>
        <v>25</v>
      </c>
      <c r="G15" s="7">
        <f>'28-29'!I15</f>
        <v>25</v>
      </c>
      <c r="I15" s="143">
        <f>'23-24'!J15</f>
        <v>0</v>
      </c>
      <c r="J15" s="143">
        <f>'24-25'!J15</f>
        <v>1</v>
      </c>
      <c r="K15" s="143">
        <f>'25-26'!J15</f>
        <v>1</v>
      </c>
      <c r="L15" s="143">
        <f>'26-27'!J15</f>
        <v>1</v>
      </c>
      <c r="M15" s="143">
        <f>'27-28'!J15</f>
        <v>1</v>
      </c>
      <c r="N15" s="143">
        <f>'28-29'!J15</f>
        <v>1</v>
      </c>
    </row>
    <row r="16" spans="1:14" x14ac:dyDescent="0.25">
      <c r="A16" s="17" t="s">
        <v>25</v>
      </c>
      <c r="B16" s="7">
        <f>'23-24'!I16</f>
        <v>0</v>
      </c>
      <c r="C16" s="7">
        <f>'24-25'!I16</f>
        <v>0</v>
      </c>
      <c r="D16" s="7">
        <f>'25-26'!I16</f>
        <v>10</v>
      </c>
      <c r="E16" s="7">
        <f>'26-27'!I16</f>
        <v>10</v>
      </c>
      <c r="F16" s="7">
        <f>'27-28'!I16</f>
        <v>15</v>
      </c>
      <c r="G16" s="7">
        <f>'28-29'!I16</f>
        <v>25</v>
      </c>
      <c r="I16" s="143">
        <f>'23-24'!J16</f>
        <v>0</v>
      </c>
      <c r="J16" s="143">
        <f>'24-25'!J16</f>
        <v>0</v>
      </c>
      <c r="K16" s="143">
        <f>'25-26'!J16</f>
        <v>1</v>
      </c>
      <c r="L16" s="143">
        <f>'26-27'!J16</f>
        <v>1</v>
      </c>
      <c r="M16" s="143">
        <f>'27-28'!J16</f>
        <v>1</v>
      </c>
      <c r="N16" s="143">
        <f>'28-29'!J16</f>
        <v>1</v>
      </c>
    </row>
    <row r="17" spans="1:14" x14ac:dyDescent="0.25">
      <c r="A17" s="20" t="s">
        <v>12</v>
      </c>
      <c r="B17" s="12">
        <f t="shared" ref="B17:C17" si="5">SUM(B4:B16)</f>
        <v>118</v>
      </c>
      <c r="C17" s="12">
        <f t="shared" si="5"/>
        <v>135</v>
      </c>
      <c r="D17" s="12">
        <f t="shared" ref="D17:G17" si="6">SUM(D4:D16)</f>
        <v>150</v>
      </c>
      <c r="E17" s="12">
        <f t="shared" si="6"/>
        <v>165</v>
      </c>
      <c r="F17" s="12">
        <f t="shared" si="6"/>
        <v>180</v>
      </c>
      <c r="G17" s="12">
        <f t="shared" si="6"/>
        <v>195</v>
      </c>
      <c r="I17" s="143">
        <f>SUM(I4:I16)</f>
        <v>6</v>
      </c>
      <c r="J17" s="143">
        <f t="shared" ref="J17:N17" si="7">SUM(J4:J16)</f>
        <v>6</v>
      </c>
      <c r="K17" s="143">
        <f t="shared" si="7"/>
        <v>7</v>
      </c>
      <c r="L17" s="143">
        <f t="shared" si="7"/>
        <v>7</v>
      </c>
      <c r="M17" s="143">
        <f t="shared" si="7"/>
        <v>7</v>
      </c>
      <c r="N17" s="143">
        <f t="shared" si="7"/>
        <v>7</v>
      </c>
    </row>
    <row r="18" spans="1:14" x14ac:dyDescent="0.25">
      <c r="A18" s="17"/>
      <c r="B18" s="7"/>
      <c r="C18" s="7"/>
      <c r="D18" s="7"/>
      <c r="E18" s="7"/>
      <c r="F18" s="7"/>
      <c r="G18" s="7"/>
      <c r="I18" s="10" t="b">
        <f>I17=B27</f>
        <v>1</v>
      </c>
      <c r="J18" s="10" t="b">
        <f t="shared" ref="J18:N18" si="8">J17=C27</f>
        <v>1</v>
      </c>
      <c r="K18" s="10" t="b">
        <f t="shared" si="8"/>
        <v>1</v>
      </c>
      <c r="L18" s="10" t="b">
        <f t="shared" si="8"/>
        <v>1</v>
      </c>
      <c r="M18" s="10" t="b">
        <f t="shared" si="8"/>
        <v>1</v>
      </c>
      <c r="N18" s="10" t="b">
        <f t="shared" si="8"/>
        <v>1</v>
      </c>
    </row>
    <row r="19" spans="1:14" x14ac:dyDescent="0.25">
      <c r="A19" s="23" t="s">
        <v>26</v>
      </c>
      <c r="B19" s="24" t="str">
        <f t="shared" ref="B19:G19" si="9">B1</f>
        <v>23-24 (FY24)</v>
      </c>
      <c r="C19" s="24" t="str">
        <f t="shared" si="9"/>
        <v>24-25 (FY25)</v>
      </c>
      <c r="D19" s="24" t="str">
        <f t="shared" si="9"/>
        <v>25-26 (FY26)</v>
      </c>
      <c r="E19" s="24" t="str">
        <f t="shared" si="9"/>
        <v>26-27 (FY27)</v>
      </c>
      <c r="F19" s="24" t="str">
        <f t="shared" si="9"/>
        <v>27-28 (FY28)</v>
      </c>
      <c r="G19" s="24" t="str">
        <f t="shared" si="9"/>
        <v>28-29 (FY29)</v>
      </c>
    </row>
    <row r="20" spans="1:14" x14ac:dyDescent="0.25">
      <c r="A20" s="17" t="s">
        <v>27</v>
      </c>
      <c r="B20" s="7">
        <f>'23-24'!I20</f>
        <v>7</v>
      </c>
      <c r="C20" s="7">
        <f>'24-25'!I20</f>
        <v>17</v>
      </c>
      <c r="D20" s="7">
        <f>'25-26'!I20</f>
        <v>18.888888888888886</v>
      </c>
      <c r="E20" s="7">
        <f>'26-27'!I20</f>
        <v>20.777777777777775</v>
      </c>
      <c r="F20" s="7">
        <f>'27-28'!I20</f>
        <v>22.666666666666664</v>
      </c>
      <c r="G20" s="7">
        <f>'28-29'!I20</f>
        <v>24.555555555555554</v>
      </c>
      <c r="J20" s="28">
        <f>C20/21</f>
        <v>0.80952380952380953</v>
      </c>
      <c r="K20" s="28">
        <f>D20/21</f>
        <v>0.89947089947089931</v>
      </c>
      <c r="L20" s="28">
        <f>E20/21</f>
        <v>0.98941798941798931</v>
      </c>
      <c r="M20" s="28">
        <f>F20/21</f>
        <v>1.0793650793650793</v>
      </c>
      <c r="N20" s="28">
        <f>G20/21</f>
        <v>1.1693121693121693</v>
      </c>
    </row>
    <row r="21" spans="1:14" x14ac:dyDescent="0.25">
      <c r="A21" s="17" t="s">
        <v>29</v>
      </c>
      <c r="B21" s="7">
        <f>'23-24'!I21</f>
        <v>5</v>
      </c>
      <c r="C21" s="7">
        <f>'24-25'!I21</f>
        <v>23</v>
      </c>
      <c r="D21" s="7">
        <f>'25-26'!I21</f>
        <v>25.555555555555554</v>
      </c>
      <c r="E21" s="7">
        <f>'26-27'!I21</f>
        <v>28.111111111111111</v>
      </c>
      <c r="F21" s="7">
        <f>'27-28'!I21</f>
        <v>30.666666666666664</v>
      </c>
      <c r="G21" s="7">
        <f>'28-29'!I21</f>
        <v>33.222222222222221</v>
      </c>
    </row>
    <row r="22" spans="1:14" x14ac:dyDescent="0.25">
      <c r="A22" s="17" t="s">
        <v>30</v>
      </c>
      <c r="B22" s="7">
        <f>'23-24'!I22</f>
        <v>0</v>
      </c>
      <c r="C22" s="7">
        <f>'24-25'!I22</f>
        <v>0</v>
      </c>
      <c r="D22" s="7">
        <f>'25-26'!I22</f>
        <v>0</v>
      </c>
      <c r="E22" s="7">
        <f>'26-27'!I22</f>
        <v>0</v>
      </c>
      <c r="F22" s="7">
        <f>'27-28'!I22</f>
        <v>0</v>
      </c>
      <c r="G22" s="7">
        <f>'28-29'!I22</f>
        <v>0</v>
      </c>
    </row>
    <row r="23" spans="1:14" x14ac:dyDescent="0.25">
      <c r="A23" s="17" t="s">
        <v>31</v>
      </c>
      <c r="B23" s="32">
        <f>'23-24'!I23</f>
        <v>0.7097</v>
      </c>
      <c r="C23" s="32">
        <f>'24-25'!I23</f>
        <v>1</v>
      </c>
      <c r="D23" s="32">
        <f>'25-26'!I23</f>
        <v>1</v>
      </c>
      <c r="E23" s="32">
        <f>'26-27'!I23</f>
        <v>1</v>
      </c>
      <c r="F23" s="32">
        <f>'27-28'!I23</f>
        <v>1</v>
      </c>
      <c r="G23" s="32">
        <f>'28-29'!I23</f>
        <v>1</v>
      </c>
      <c r="I23" s="233"/>
      <c r="J23" s="233"/>
      <c r="K23" s="233"/>
      <c r="L23" s="233"/>
      <c r="M23" s="233"/>
      <c r="N23" s="233"/>
    </row>
    <row r="24" spans="1:14" x14ac:dyDescent="0.25">
      <c r="A24" s="17" t="s">
        <v>351</v>
      </c>
      <c r="B24" s="7">
        <f>'23-24'!I24</f>
        <v>0</v>
      </c>
      <c r="C24" s="7">
        <f>'24-25'!I24</f>
        <v>2</v>
      </c>
      <c r="D24" s="7">
        <f>'25-26'!I24</f>
        <v>2</v>
      </c>
      <c r="E24" s="7">
        <f>'26-27'!I24</f>
        <v>2</v>
      </c>
      <c r="F24" s="7">
        <f>'27-28'!I24</f>
        <v>2</v>
      </c>
      <c r="G24" s="7">
        <f>'28-29'!I24</f>
        <v>2</v>
      </c>
    </row>
    <row r="25" spans="1:14" x14ac:dyDescent="0.25">
      <c r="A25" s="17"/>
      <c r="B25" s="7"/>
      <c r="C25" s="7"/>
      <c r="D25" s="7"/>
      <c r="E25" s="7"/>
      <c r="F25" s="7"/>
      <c r="G25" s="7"/>
    </row>
    <row r="26" spans="1:14" x14ac:dyDescent="0.25">
      <c r="A26" s="33" t="s">
        <v>32</v>
      </c>
      <c r="B26" s="24" t="str">
        <f t="shared" ref="B26:G26" si="10">B1</f>
        <v>23-24 (FY24)</v>
      </c>
      <c r="C26" s="24" t="str">
        <f t="shared" si="10"/>
        <v>24-25 (FY25)</v>
      </c>
      <c r="D26" s="24" t="str">
        <f t="shared" si="10"/>
        <v>25-26 (FY26)</v>
      </c>
      <c r="E26" s="24" t="str">
        <f t="shared" si="10"/>
        <v>26-27 (FY27)</v>
      </c>
      <c r="F26" s="24" t="str">
        <f t="shared" si="10"/>
        <v>27-28 (FY28)</v>
      </c>
      <c r="G26" s="24" t="str">
        <f t="shared" si="10"/>
        <v>28-29 (FY29)</v>
      </c>
    </row>
    <row r="27" spans="1:14" x14ac:dyDescent="0.25">
      <c r="A27" s="34" t="s">
        <v>33</v>
      </c>
      <c r="B27" s="35">
        <f>'23-24'!I27</f>
        <v>6</v>
      </c>
      <c r="C27" s="35">
        <f>'24-25'!I27</f>
        <v>6</v>
      </c>
      <c r="D27" s="35">
        <f>'25-26'!I27</f>
        <v>7</v>
      </c>
      <c r="E27" s="35">
        <f>'26-27'!I27</f>
        <v>7</v>
      </c>
      <c r="F27" s="35">
        <f>'27-28'!I27</f>
        <v>7</v>
      </c>
      <c r="G27" s="35">
        <f>'28-29'!I27</f>
        <v>7</v>
      </c>
    </row>
    <row r="28" spans="1:14" x14ac:dyDescent="0.25">
      <c r="A28" s="34" t="s">
        <v>34</v>
      </c>
      <c r="B28" s="35">
        <f>'23-24'!I28</f>
        <v>1</v>
      </c>
      <c r="C28" s="35">
        <f>'24-25'!I28</f>
        <v>1</v>
      </c>
      <c r="D28" s="35">
        <f>'25-26'!I28</f>
        <v>1</v>
      </c>
      <c r="E28" s="35">
        <f>'26-27'!I28</f>
        <v>1</v>
      </c>
      <c r="F28" s="35">
        <f>'27-28'!I28</f>
        <v>1</v>
      </c>
      <c r="G28" s="35">
        <f>'28-29'!I28</f>
        <v>1</v>
      </c>
      <c r="J28" s="28">
        <f>C28-J20</f>
        <v>0.19047619047619047</v>
      </c>
      <c r="K28" s="28">
        <f t="shared" ref="K28:N28" si="11">D28-K20</f>
        <v>0.10052910052910069</v>
      </c>
      <c r="L28" s="28">
        <f t="shared" si="11"/>
        <v>1.0582010582010692E-2</v>
      </c>
      <c r="M28" s="28">
        <f t="shared" si="11"/>
        <v>-7.9365079365079305E-2</v>
      </c>
      <c r="N28" s="28">
        <f t="shared" si="11"/>
        <v>-0.1693121693121693</v>
      </c>
    </row>
    <row r="29" spans="1:14" x14ac:dyDescent="0.25">
      <c r="A29" s="34" t="s">
        <v>35</v>
      </c>
      <c r="B29" s="35">
        <f>'23-24'!I29</f>
        <v>0</v>
      </c>
      <c r="C29" s="35">
        <f>'24-25'!I29</f>
        <v>0</v>
      </c>
      <c r="D29" s="35">
        <f>'25-26'!I29</f>
        <v>0</v>
      </c>
      <c r="E29" s="35">
        <f>'26-27'!I29</f>
        <v>0</v>
      </c>
      <c r="F29" s="35">
        <f>'27-28'!I29</f>
        <v>0</v>
      </c>
      <c r="G29" s="35">
        <f>'28-29'!I29</f>
        <v>0</v>
      </c>
    </row>
    <row r="30" spans="1:14" x14ac:dyDescent="0.25">
      <c r="A30" s="34" t="s">
        <v>36</v>
      </c>
      <c r="B30" s="35">
        <f>'23-24'!I30</f>
        <v>0</v>
      </c>
      <c r="C30" s="35">
        <f>'24-25'!I30</f>
        <v>0</v>
      </c>
      <c r="D30" s="35">
        <f>'25-26'!I30</f>
        <v>0</v>
      </c>
      <c r="E30" s="35">
        <f>'26-27'!I30</f>
        <v>0</v>
      </c>
      <c r="F30" s="35">
        <f>'27-28'!I30</f>
        <v>0</v>
      </c>
      <c r="G30" s="35">
        <f>'28-29'!I30</f>
        <v>0</v>
      </c>
    </row>
    <row r="31" spans="1:14" x14ac:dyDescent="0.25">
      <c r="A31" s="34" t="s">
        <v>37</v>
      </c>
      <c r="B31" s="35">
        <f>'23-24'!I31</f>
        <v>0</v>
      </c>
      <c r="C31" s="35">
        <f>'24-25'!I31</f>
        <v>0</v>
      </c>
      <c r="D31" s="35">
        <f>'25-26'!I31</f>
        <v>0</v>
      </c>
      <c r="E31" s="35">
        <f>'26-27'!I31</f>
        <v>0</v>
      </c>
      <c r="F31" s="35">
        <f>'27-28'!I31</f>
        <v>0</v>
      </c>
      <c r="G31" s="35">
        <f>'28-29'!I31</f>
        <v>0</v>
      </c>
    </row>
    <row r="32" spans="1:14" x14ac:dyDescent="0.25">
      <c r="A32" s="39" t="s">
        <v>38</v>
      </c>
      <c r="B32" s="35">
        <f>'23-24'!I32</f>
        <v>0</v>
      </c>
      <c r="C32" s="35">
        <f>'24-25'!I32</f>
        <v>0</v>
      </c>
      <c r="D32" s="35">
        <f>'25-26'!I32</f>
        <v>0</v>
      </c>
      <c r="E32" s="35">
        <f>'26-27'!I32</f>
        <v>0</v>
      </c>
      <c r="F32" s="35">
        <f>'27-28'!I32</f>
        <v>0</v>
      </c>
      <c r="G32" s="35">
        <f>'28-29'!I32</f>
        <v>0</v>
      </c>
    </row>
    <row r="33" spans="1:7" x14ac:dyDescent="0.25">
      <c r="A33" s="39" t="s">
        <v>39</v>
      </c>
      <c r="B33" s="35">
        <f>'23-24'!I33</f>
        <v>0</v>
      </c>
      <c r="C33" s="35">
        <f>'24-25'!I33</f>
        <v>0</v>
      </c>
      <c r="D33" s="35">
        <f>'25-26'!I33</f>
        <v>0</v>
      </c>
      <c r="E33" s="35">
        <f>'26-27'!I33</f>
        <v>0</v>
      </c>
      <c r="F33" s="35">
        <f>'27-28'!I33</f>
        <v>0</v>
      </c>
      <c r="G33" s="35">
        <f>'28-29'!I33</f>
        <v>0</v>
      </c>
    </row>
    <row r="34" spans="1:7" x14ac:dyDescent="0.25">
      <c r="A34" s="39" t="s">
        <v>40</v>
      </c>
      <c r="B34" s="35">
        <f>'23-24'!I34</f>
        <v>0.75</v>
      </c>
      <c r="C34" s="35">
        <f>'24-25'!I34</f>
        <v>1</v>
      </c>
      <c r="D34" s="35">
        <f>'25-26'!I34</f>
        <v>1</v>
      </c>
      <c r="E34" s="35">
        <f>'26-27'!I34</f>
        <v>1</v>
      </c>
      <c r="F34" s="35">
        <f>'27-28'!I34</f>
        <v>1</v>
      </c>
      <c r="G34" s="35">
        <f>'28-29'!I34</f>
        <v>1</v>
      </c>
    </row>
    <row r="35" spans="1:7" x14ac:dyDescent="0.25">
      <c r="A35" s="40" t="s">
        <v>41</v>
      </c>
      <c r="B35" s="35">
        <f>'23-24'!I35</f>
        <v>0</v>
      </c>
      <c r="C35" s="35">
        <f>'24-25'!I35</f>
        <v>0</v>
      </c>
      <c r="D35" s="35">
        <f>'25-26'!I35</f>
        <v>0</v>
      </c>
      <c r="E35" s="35">
        <f>'26-27'!I35</f>
        <v>0</v>
      </c>
      <c r="F35" s="35">
        <f>'27-28'!I35</f>
        <v>0</v>
      </c>
      <c r="G35" s="35">
        <f>'28-29'!I35</f>
        <v>0</v>
      </c>
    </row>
    <row r="36" spans="1:7" x14ac:dyDescent="0.25">
      <c r="A36" s="33" t="s">
        <v>42</v>
      </c>
      <c r="B36" s="41">
        <f t="shared" ref="B36:G36" si="12">SUM(B27:B35)</f>
        <v>7.75</v>
      </c>
      <c r="C36" s="41">
        <f t="shared" si="12"/>
        <v>8</v>
      </c>
      <c r="D36" s="41">
        <f t="shared" si="12"/>
        <v>9</v>
      </c>
      <c r="E36" s="41">
        <f t="shared" si="12"/>
        <v>9</v>
      </c>
      <c r="F36" s="41">
        <f t="shared" si="12"/>
        <v>9</v>
      </c>
      <c r="G36" s="41">
        <f t="shared" si="12"/>
        <v>9</v>
      </c>
    </row>
    <row r="37" spans="1:7" x14ac:dyDescent="0.25">
      <c r="A37" s="42"/>
      <c r="B37" s="7"/>
      <c r="C37" s="7"/>
      <c r="D37" s="7"/>
      <c r="E37" s="7"/>
      <c r="F37" s="7"/>
      <c r="G37" s="7"/>
    </row>
    <row r="38" spans="1:7" x14ac:dyDescent="0.25">
      <c r="A38" s="33" t="s">
        <v>43</v>
      </c>
      <c r="B38" s="24" t="str">
        <f t="shared" ref="B38:G38" si="13">B1</f>
        <v>23-24 (FY24)</v>
      </c>
      <c r="C38" s="24" t="str">
        <f t="shared" si="13"/>
        <v>24-25 (FY25)</v>
      </c>
      <c r="D38" s="24" t="str">
        <f t="shared" si="13"/>
        <v>25-26 (FY26)</v>
      </c>
      <c r="E38" s="24" t="str">
        <f t="shared" si="13"/>
        <v>26-27 (FY27)</v>
      </c>
      <c r="F38" s="24" t="str">
        <f t="shared" si="13"/>
        <v>27-28 (FY28)</v>
      </c>
      <c r="G38" s="24" t="str">
        <f t="shared" si="13"/>
        <v>28-29 (FY29)</v>
      </c>
    </row>
    <row r="39" spans="1:7" x14ac:dyDescent="0.25">
      <c r="A39" s="34" t="s">
        <v>349</v>
      </c>
      <c r="B39" s="35">
        <f>'23-24'!I39</f>
        <v>0</v>
      </c>
      <c r="C39" s="35">
        <f>'24-25'!I39</f>
        <v>0</v>
      </c>
      <c r="D39" s="35">
        <f>'25-26'!I39</f>
        <v>0</v>
      </c>
      <c r="E39" s="35">
        <f>'26-27'!I39</f>
        <v>0</v>
      </c>
      <c r="F39" s="35">
        <f>'27-28'!I39</f>
        <v>0</v>
      </c>
      <c r="G39" s="35">
        <f>'28-29'!I39</f>
        <v>0</v>
      </c>
    </row>
    <row r="40" spans="1:7" x14ac:dyDescent="0.25">
      <c r="A40" s="34" t="s">
        <v>348</v>
      </c>
      <c r="B40" s="35">
        <f>'23-24'!I40</f>
        <v>1</v>
      </c>
      <c r="C40" s="35">
        <f>'24-25'!I40</f>
        <v>1</v>
      </c>
      <c r="D40" s="35">
        <f>'25-26'!I40</f>
        <v>1</v>
      </c>
      <c r="E40" s="35">
        <f>'26-27'!I40</f>
        <v>1</v>
      </c>
      <c r="F40" s="35">
        <f>'27-28'!I40</f>
        <v>1</v>
      </c>
      <c r="G40" s="35">
        <f>'28-29'!I40</f>
        <v>1</v>
      </c>
    </row>
    <row r="41" spans="1:7" x14ac:dyDescent="0.25">
      <c r="A41" s="34" t="s">
        <v>44</v>
      </c>
      <c r="B41" s="35">
        <f>'23-24'!I41</f>
        <v>0</v>
      </c>
      <c r="C41" s="35">
        <f>'24-25'!I41</f>
        <v>0</v>
      </c>
      <c r="D41" s="37">
        <f>'25-26'!I41</f>
        <v>0</v>
      </c>
      <c r="E41" s="37">
        <f>'26-27'!I41</f>
        <v>0</v>
      </c>
      <c r="F41" s="37">
        <f>'27-28'!I41</f>
        <v>0</v>
      </c>
      <c r="G41" s="37">
        <f>'28-29'!I41</f>
        <v>0</v>
      </c>
    </row>
    <row r="42" spans="1:7" x14ac:dyDescent="0.25">
      <c r="A42" s="40" t="s">
        <v>45</v>
      </c>
      <c r="B42" s="35">
        <f>'23-24'!I42</f>
        <v>0</v>
      </c>
      <c r="C42" s="35">
        <f>'24-25'!I42</f>
        <v>0</v>
      </c>
      <c r="D42" s="37">
        <f>'25-26'!I42</f>
        <v>0</v>
      </c>
      <c r="E42" s="37">
        <f>'26-27'!I42</f>
        <v>0</v>
      </c>
      <c r="F42" s="37">
        <f>'27-28'!I42</f>
        <v>0</v>
      </c>
      <c r="G42" s="37">
        <f>'28-29'!I42</f>
        <v>0</v>
      </c>
    </row>
    <row r="43" spans="1:7" x14ac:dyDescent="0.25">
      <c r="A43" s="43" t="s">
        <v>46</v>
      </c>
      <c r="B43" s="35">
        <f>'23-24'!I43</f>
        <v>0</v>
      </c>
      <c r="C43" s="35">
        <f>'24-25'!I43</f>
        <v>0</v>
      </c>
      <c r="D43" s="37">
        <f>'25-26'!I43</f>
        <v>0</v>
      </c>
      <c r="E43" s="37">
        <f>'26-27'!I43</f>
        <v>0</v>
      </c>
      <c r="F43" s="37">
        <f>'27-28'!I43</f>
        <v>0</v>
      </c>
      <c r="G43" s="37">
        <f>'28-29'!I43</f>
        <v>0</v>
      </c>
    </row>
    <row r="44" spans="1:7" x14ac:dyDescent="0.25">
      <c r="A44" s="43" t="s">
        <v>47</v>
      </c>
      <c r="B44" s="35">
        <f>'23-24'!I44</f>
        <v>0</v>
      </c>
      <c r="C44" s="35">
        <f>'24-25'!I44</f>
        <v>0</v>
      </c>
      <c r="D44" s="37">
        <f>'25-26'!I44</f>
        <v>0</v>
      </c>
      <c r="E44" s="37">
        <f>'26-27'!I44</f>
        <v>0</v>
      </c>
      <c r="F44" s="37">
        <f>'27-28'!I44</f>
        <v>0</v>
      </c>
      <c r="G44" s="37">
        <f>'28-29'!I44</f>
        <v>0</v>
      </c>
    </row>
    <row r="45" spans="1:7" x14ac:dyDescent="0.25">
      <c r="A45" s="43" t="s">
        <v>354</v>
      </c>
      <c r="B45" s="35">
        <f>'23-24'!I45</f>
        <v>1</v>
      </c>
      <c r="C45" s="35">
        <f>'24-25'!I45</f>
        <v>1</v>
      </c>
      <c r="D45" s="37">
        <f>'25-26'!I45</f>
        <v>1</v>
      </c>
      <c r="E45" s="37">
        <f>'26-27'!I45</f>
        <v>1</v>
      </c>
      <c r="F45" s="37">
        <f>'27-28'!I45</f>
        <v>1</v>
      </c>
      <c r="G45" s="37">
        <f>'28-29'!I45</f>
        <v>1</v>
      </c>
    </row>
    <row r="46" spans="1:7" x14ac:dyDescent="0.25">
      <c r="A46" s="43" t="s">
        <v>48</v>
      </c>
      <c r="B46" s="35">
        <f>'23-24'!I46</f>
        <v>0</v>
      </c>
      <c r="C46" s="35">
        <f>'24-25'!I46</f>
        <v>0</v>
      </c>
      <c r="D46" s="35">
        <f>'25-26'!I46</f>
        <v>0</v>
      </c>
      <c r="E46" s="35">
        <f>'26-27'!I46</f>
        <v>0</v>
      </c>
      <c r="F46" s="35">
        <f>'27-28'!I46</f>
        <v>0</v>
      </c>
      <c r="G46" s="35">
        <f>'28-29'!I46</f>
        <v>0</v>
      </c>
    </row>
    <row r="47" spans="1:7" x14ac:dyDescent="0.25">
      <c r="A47" s="34" t="s">
        <v>49</v>
      </c>
      <c r="B47" s="35">
        <f>'23-24'!I47</f>
        <v>1</v>
      </c>
      <c r="C47" s="35">
        <f>'24-25'!I47</f>
        <v>1</v>
      </c>
      <c r="D47" s="35">
        <f>'25-26'!I47</f>
        <v>1</v>
      </c>
      <c r="E47" s="35">
        <f>'26-27'!I47</f>
        <v>1</v>
      </c>
      <c r="F47" s="35">
        <f>'27-28'!I47</f>
        <v>1</v>
      </c>
      <c r="G47" s="35">
        <f>'28-29'!I47</f>
        <v>1</v>
      </c>
    </row>
    <row r="48" spans="1:7" x14ac:dyDescent="0.25">
      <c r="A48" s="34" t="s">
        <v>50</v>
      </c>
      <c r="B48" s="35">
        <f>'23-24'!I48</f>
        <v>1</v>
      </c>
      <c r="C48" s="35">
        <f>'24-25'!I48</f>
        <v>1</v>
      </c>
      <c r="D48" s="35">
        <f>'25-26'!I48</f>
        <v>1</v>
      </c>
      <c r="E48" s="35">
        <f>'26-27'!I48</f>
        <v>1</v>
      </c>
      <c r="F48" s="35">
        <f>'27-28'!I48</f>
        <v>1</v>
      </c>
      <c r="G48" s="35">
        <f>'28-29'!I48</f>
        <v>1</v>
      </c>
    </row>
    <row r="49" spans="1:7" x14ac:dyDescent="0.25">
      <c r="A49" s="34" t="s">
        <v>51</v>
      </c>
      <c r="B49" s="35">
        <f>'23-24'!I49</f>
        <v>0</v>
      </c>
      <c r="C49" s="35">
        <f>'24-25'!I49</f>
        <v>0</v>
      </c>
      <c r="D49" s="35">
        <f>'25-26'!I49</f>
        <v>0</v>
      </c>
      <c r="E49" s="37">
        <f>'26-27'!I49</f>
        <v>0</v>
      </c>
      <c r="F49" s="37">
        <f>'27-28'!I49</f>
        <v>0</v>
      </c>
      <c r="G49" s="37">
        <f>'28-29'!I49</f>
        <v>0</v>
      </c>
    </row>
    <row r="50" spans="1:7" x14ac:dyDescent="0.25">
      <c r="A50" s="34" t="s">
        <v>52</v>
      </c>
      <c r="B50" s="35">
        <f>'23-24'!I50</f>
        <v>0</v>
      </c>
      <c r="C50" s="35">
        <f>'24-25'!I50</f>
        <v>0</v>
      </c>
      <c r="D50" s="35">
        <f>'25-26'!I50</f>
        <v>0</v>
      </c>
      <c r="E50" s="35">
        <f>'26-27'!I50</f>
        <v>0</v>
      </c>
      <c r="F50" s="35">
        <f>'27-28'!I50</f>
        <v>0</v>
      </c>
      <c r="G50" s="35">
        <f>'28-29'!I50</f>
        <v>0</v>
      </c>
    </row>
    <row r="51" spans="1:7" x14ac:dyDescent="0.25">
      <c r="A51" s="34" t="s">
        <v>53</v>
      </c>
      <c r="B51" s="35">
        <f>'23-24'!I51</f>
        <v>1</v>
      </c>
      <c r="C51" s="35">
        <f>'24-25'!I51</f>
        <v>1</v>
      </c>
      <c r="D51" s="35">
        <f>'25-26'!I51</f>
        <v>1</v>
      </c>
      <c r="E51" s="37">
        <f>'26-27'!I51</f>
        <v>1</v>
      </c>
      <c r="F51" s="37">
        <f>'27-28'!I51</f>
        <v>1</v>
      </c>
      <c r="G51" s="37">
        <f>'28-29'!I51</f>
        <v>1</v>
      </c>
    </row>
    <row r="52" spans="1:7" x14ac:dyDescent="0.25">
      <c r="A52" s="34" t="s">
        <v>54</v>
      </c>
      <c r="B52" s="35">
        <f>'23-24'!I52</f>
        <v>0</v>
      </c>
      <c r="C52" s="35">
        <f>'24-25'!I52</f>
        <v>0</v>
      </c>
      <c r="D52" s="35">
        <f>'25-26'!I52</f>
        <v>0</v>
      </c>
      <c r="E52" s="35">
        <f>'26-27'!I52</f>
        <v>0</v>
      </c>
      <c r="F52" s="35">
        <f>'27-28'!I52</f>
        <v>0</v>
      </c>
      <c r="G52" s="35">
        <f>'28-29'!I52</f>
        <v>0</v>
      </c>
    </row>
    <row r="53" spans="1:7" x14ac:dyDescent="0.25">
      <c r="A53" s="34" t="s">
        <v>55</v>
      </c>
      <c r="B53" s="35">
        <f>'23-24'!I53</f>
        <v>1</v>
      </c>
      <c r="C53" s="35">
        <f>'24-25'!I53</f>
        <v>1</v>
      </c>
      <c r="D53" s="35">
        <f>'25-26'!I53</f>
        <v>1</v>
      </c>
      <c r="E53" s="35">
        <f>'26-27'!I53</f>
        <v>1</v>
      </c>
      <c r="F53" s="35">
        <f>'27-28'!I53</f>
        <v>1</v>
      </c>
      <c r="G53" s="35">
        <f>'28-29'!I53</f>
        <v>1</v>
      </c>
    </row>
    <row r="54" spans="1:7" x14ac:dyDescent="0.25">
      <c r="A54" s="34" t="s">
        <v>56</v>
      </c>
      <c r="B54" s="35">
        <f>'23-24'!I54</f>
        <v>0</v>
      </c>
      <c r="C54" s="35">
        <f>'24-25'!I54</f>
        <v>0</v>
      </c>
      <c r="D54" s="35">
        <f>'25-26'!I54</f>
        <v>0</v>
      </c>
      <c r="E54" s="35">
        <f>'26-27'!I54</f>
        <v>0</v>
      </c>
      <c r="F54" s="35">
        <f>'27-28'!I54</f>
        <v>0</v>
      </c>
      <c r="G54" s="35">
        <f>'28-29'!I54</f>
        <v>0</v>
      </c>
    </row>
    <row r="55" spans="1:7" x14ac:dyDescent="0.25">
      <c r="A55" s="40" t="s">
        <v>57</v>
      </c>
      <c r="B55" s="35">
        <f>'23-24'!I55</f>
        <v>0</v>
      </c>
      <c r="C55" s="35">
        <f>'24-25'!I55</f>
        <v>0</v>
      </c>
      <c r="D55" s="35">
        <f>'25-26'!I55</f>
        <v>0</v>
      </c>
      <c r="E55" s="35">
        <f>'26-27'!I55</f>
        <v>0</v>
      </c>
      <c r="F55" s="35">
        <f>'27-28'!I55</f>
        <v>0</v>
      </c>
      <c r="G55" s="35">
        <f>'28-29'!I55</f>
        <v>0</v>
      </c>
    </row>
    <row r="56" spans="1:7" x14ac:dyDescent="0.25">
      <c r="A56" s="40" t="s">
        <v>58</v>
      </c>
      <c r="B56" s="35">
        <f>'23-24'!I56</f>
        <v>0</v>
      </c>
      <c r="C56" s="35">
        <f>'24-25'!I56</f>
        <v>0</v>
      </c>
      <c r="D56" s="35">
        <f>'25-26'!I56</f>
        <v>0</v>
      </c>
      <c r="E56" s="35">
        <f>'26-27'!I56</f>
        <v>0</v>
      </c>
      <c r="F56" s="35">
        <f>'27-28'!I56</f>
        <v>0</v>
      </c>
      <c r="G56" s="35">
        <f>'28-29'!I56</f>
        <v>0</v>
      </c>
    </row>
    <row r="57" spans="1:7" x14ac:dyDescent="0.25">
      <c r="A57" s="40" t="s">
        <v>59</v>
      </c>
      <c r="B57" s="35">
        <f>'23-24'!I57</f>
        <v>0</v>
      </c>
      <c r="C57" s="35">
        <f>'24-25'!I57</f>
        <v>0</v>
      </c>
      <c r="D57" s="35">
        <f>'25-26'!I57</f>
        <v>0</v>
      </c>
      <c r="E57" s="35">
        <f>'26-27'!I57</f>
        <v>0</v>
      </c>
      <c r="F57" s="35">
        <f>'27-28'!I57</f>
        <v>0</v>
      </c>
      <c r="G57" s="35">
        <f>'28-29'!I57</f>
        <v>0</v>
      </c>
    </row>
    <row r="58" spans="1:7" x14ac:dyDescent="0.25">
      <c r="A58" s="40" t="s">
        <v>60</v>
      </c>
      <c r="B58" s="35">
        <f>'23-24'!I58</f>
        <v>0</v>
      </c>
      <c r="C58" s="35">
        <f>'24-25'!I58</f>
        <v>0</v>
      </c>
      <c r="D58" s="35">
        <f>'25-26'!I58</f>
        <v>0</v>
      </c>
      <c r="E58" s="35">
        <f>'26-27'!I58</f>
        <v>0</v>
      </c>
      <c r="F58" s="35">
        <f>'27-28'!I58</f>
        <v>0</v>
      </c>
      <c r="G58" s="35">
        <f>'28-29'!I58</f>
        <v>0</v>
      </c>
    </row>
    <row r="59" spans="1:7" x14ac:dyDescent="0.25">
      <c r="A59" s="40" t="s">
        <v>61</v>
      </c>
      <c r="B59" s="35">
        <f>'23-24'!I59</f>
        <v>0</v>
      </c>
      <c r="C59" s="35">
        <f>'24-25'!I59</f>
        <v>0</v>
      </c>
      <c r="D59" s="35">
        <f>'25-26'!I59</f>
        <v>0</v>
      </c>
      <c r="E59" s="35">
        <f>'26-27'!I59</f>
        <v>0</v>
      </c>
      <c r="F59" s="35">
        <f>'27-28'!I59</f>
        <v>0</v>
      </c>
      <c r="G59" s="35">
        <f>'28-29'!I59</f>
        <v>0</v>
      </c>
    </row>
    <row r="60" spans="1:7" x14ac:dyDescent="0.25">
      <c r="A60" s="40" t="s">
        <v>341</v>
      </c>
      <c r="B60" s="35">
        <f>'23-24'!I60</f>
        <v>0</v>
      </c>
      <c r="C60" s="35">
        <f>'24-25'!I60</f>
        <v>0</v>
      </c>
      <c r="D60" s="35">
        <f>'25-26'!I60</f>
        <v>0</v>
      </c>
      <c r="E60" s="35">
        <f>'26-27'!I60</f>
        <v>0</v>
      </c>
      <c r="F60" s="35">
        <f>'27-28'!I60</f>
        <v>0</v>
      </c>
      <c r="G60" s="35">
        <f>'28-29'!I60</f>
        <v>0</v>
      </c>
    </row>
    <row r="61" spans="1:7" x14ac:dyDescent="0.25">
      <c r="A61" s="34" t="s">
        <v>63</v>
      </c>
      <c r="B61" s="35">
        <f>'23-24'!I61</f>
        <v>0</v>
      </c>
      <c r="C61" s="35">
        <f>'24-25'!I61</f>
        <v>0</v>
      </c>
      <c r="D61" s="35">
        <f>'25-26'!I61</f>
        <v>0</v>
      </c>
      <c r="E61" s="35">
        <f>'26-27'!I61</f>
        <v>0</v>
      </c>
      <c r="F61" s="35">
        <f>'27-28'!I61</f>
        <v>0</v>
      </c>
      <c r="G61" s="35">
        <f>'28-29'!I61</f>
        <v>0</v>
      </c>
    </row>
    <row r="62" spans="1:7" x14ac:dyDescent="0.25">
      <c r="A62" s="33" t="s">
        <v>64</v>
      </c>
      <c r="B62" s="45">
        <f t="shared" ref="B62:G62" si="14">SUM(B39:B61)</f>
        <v>6</v>
      </c>
      <c r="C62" s="45">
        <f t="shared" si="14"/>
        <v>6</v>
      </c>
      <c r="D62" s="45">
        <f t="shared" si="14"/>
        <v>6</v>
      </c>
      <c r="E62" s="45">
        <f t="shared" si="14"/>
        <v>6</v>
      </c>
      <c r="F62" s="45">
        <f t="shared" si="14"/>
        <v>6</v>
      </c>
      <c r="G62" s="45">
        <f t="shared" si="14"/>
        <v>6</v>
      </c>
    </row>
    <row r="63" spans="1:7" ht="15.75" thickBot="1" x14ac:dyDescent="0.3">
      <c r="A63" s="46"/>
      <c r="B63" s="47"/>
      <c r="C63" s="47"/>
      <c r="D63" s="47"/>
      <c r="E63" s="47"/>
      <c r="F63" s="47"/>
      <c r="G63" s="47"/>
    </row>
    <row r="64" spans="1:7" x14ac:dyDescent="0.25">
      <c r="A64" s="48" t="s">
        <v>65</v>
      </c>
      <c r="B64" s="49">
        <f t="shared" ref="B64:G64" si="15">B36</f>
        <v>7.75</v>
      </c>
      <c r="C64" s="49">
        <f t="shared" si="15"/>
        <v>8</v>
      </c>
      <c r="D64" s="49">
        <f t="shared" si="15"/>
        <v>9</v>
      </c>
      <c r="E64" s="49">
        <f t="shared" si="15"/>
        <v>9</v>
      </c>
      <c r="F64" s="49">
        <f t="shared" si="15"/>
        <v>9</v>
      </c>
      <c r="G64" s="49">
        <f t="shared" si="15"/>
        <v>9</v>
      </c>
    </row>
    <row r="65" spans="1:7" x14ac:dyDescent="0.25">
      <c r="A65" s="50" t="s">
        <v>66</v>
      </c>
      <c r="B65" s="51">
        <f t="shared" ref="B65:G65" si="16">B62</f>
        <v>6</v>
      </c>
      <c r="C65" s="51">
        <f t="shared" si="16"/>
        <v>6</v>
      </c>
      <c r="D65" s="51">
        <f t="shared" si="16"/>
        <v>6</v>
      </c>
      <c r="E65" s="51">
        <f t="shared" si="16"/>
        <v>6</v>
      </c>
      <c r="F65" s="51">
        <f t="shared" si="16"/>
        <v>6</v>
      </c>
      <c r="G65" s="51">
        <f t="shared" si="16"/>
        <v>6</v>
      </c>
    </row>
    <row r="66" spans="1:7" ht="15.75" thickBot="1" x14ac:dyDescent="0.3">
      <c r="A66" s="52" t="s">
        <v>67</v>
      </c>
      <c r="B66" s="53">
        <f t="shared" ref="B66:G66" si="17">SUM(B64:B65)</f>
        <v>13.75</v>
      </c>
      <c r="C66" s="53">
        <f t="shared" si="17"/>
        <v>14</v>
      </c>
      <c r="D66" s="53">
        <f t="shared" si="17"/>
        <v>15</v>
      </c>
      <c r="E66" s="53">
        <f t="shared" si="17"/>
        <v>15</v>
      </c>
      <c r="F66" s="53">
        <f t="shared" si="17"/>
        <v>15</v>
      </c>
      <c r="G66" s="53">
        <f t="shared" si="17"/>
        <v>15</v>
      </c>
    </row>
    <row r="67" spans="1:7" x14ac:dyDescent="0.25">
      <c r="A67" s="40"/>
      <c r="B67" s="54"/>
      <c r="C67" s="54"/>
      <c r="D67" s="54"/>
      <c r="E67" s="54"/>
      <c r="F67" s="54"/>
      <c r="G67" s="54"/>
    </row>
    <row r="68" spans="1:7" x14ac:dyDescent="0.25">
      <c r="A68" s="55" t="s">
        <v>68</v>
      </c>
      <c r="B68" s="56"/>
      <c r="C68" s="56"/>
      <c r="D68" s="56"/>
      <c r="E68" s="56"/>
      <c r="F68" s="56"/>
      <c r="G68" s="56"/>
    </row>
    <row r="69" spans="1:7" x14ac:dyDescent="0.25">
      <c r="A69" s="55" t="s">
        <v>69</v>
      </c>
      <c r="B69" s="56"/>
      <c r="C69" s="56"/>
      <c r="D69" s="56"/>
      <c r="E69" s="56"/>
      <c r="F69" s="56"/>
      <c r="G69" s="56"/>
    </row>
    <row r="70" spans="1:7" x14ac:dyDescent="0.25">
      <c r="A70" s="55" t="s">
        <v>70</v>
      </c>
      <c r="B70" s="56"/>
      <c r="C70" s="56"/>
      <c r="D70" s="56"/>
      <c r="E70" s="56"/>
      <c r="F70" s="56"/>
      <c r="G70" s="56"/>
    </row>
    <row r="71" spans="1:7" x14ac:dyDescent="0.25">
      <c r="A71" s="55" t="s">
        <v>71</v>
      </c>
      <c r="B71" s="56"/>
      <c r="C71" s="56"/>
      <c r="D71" s="56"/>
      <c r="E71" s="56"/>
      <c r="F71" s="56"/>
      <c r="G71" s="56"/>
    </row>
    <row r="72" spans="1:7" ht="15.75" thickBot="1" x14ac:dyDescent="0.3">
      <c r="B72" s="54"/>
      <c r="C72" s="54"/>
      <c r="D72" s="54"/>
      <c r="E72" s="54"/>
      <c r="F72" s="54"/>
      <c r="G72" s="54"/>
    </row>
    <row r="73" spans="1:7" ht="15.75" thickBot="1" x14ac:dyDescent="0.3">
      <c r="A73" s="58" t="s">
        <v>72</v>
      </c>
      <c r="B73" s="59" t="str">
        <f t="shared" ref="B73:G73" si="18">B1</f>
        <v>23-24 (FY24)</v>
      </c>
      <c r="C73" s="59" t="str">
        <f t="shared" si="18"/>
        <v>24-25 (FY25)</v>
      </c>
      <c r="D73" s="59" t="str">
        <f t="shared" si="18"/>
        <v>25-26 (FY26)</v>
      </c>
      <c r="E73" s="59" t="str">
        <f t="shared" si="18"/>
        <v>26-27 (FY27)</v>
      </c>
      <c r="F73" s="59" t="str">
        <f t="shared" si="18"/>
        <v>27-28 (FY28)</v>
      </c>
      <c r="G73" s="59" t="str">
        <f t="shared" si="18"/>
        <v>28-29 (FY29)</v>
      </c>
    </row>
    <row r="74" spans="1:7" x14ac:dyDescent="0.25">
      <c r="A74" s="60" t="s">
        <v>73</v>
      </c>
      <c r="B74" s="61"/>
      <c r="C74" s="61"/>
      <c r="D74" s="61"/>
      <c r="E74" s="61"/>
      <c r="F74" s="61"/>
      <c r="G74" s="61"/>
    </row>
    <row r="75" spans="1:7" x14ac:dyDescent="0.25">
      <c r="A75" s="40" t="s">
        <v>74</v>
      </c>
      <c r="B75" s="7">
        <f>'23-24'!I75</f>
        <v>1057988</v>
      </c>
      <c r="C75" s="7">
        <f>'24-25'!I75</f>
        <v>1270890</v>
      </c>
      <c r="D75" s="7">
        <f>'25-26'!I75</f>
        <v>1430457.3</v>
      </c>
      <c r="E75" s="7">
        <f>'26-27'!I75</f>
        <v>1593696.06</v>
      </c>
      <c r="F75" s="7">
        <f>'27-28'!I75</f>
        <v>1760606.2799999998</v>
      </c>
      <c r="G75" s="7">
        <f>'28-29'!I75</f>
        <v>1931187.96</v>
      </c>
    </row>
    <row r="76" spans="1:7" x14ac:dyDescent="0.25">
      <c r="A76" s="40" t="s">
        <v>75</v>
      </c>
      <c r="B76" s="7">
        <f>'23-24'!I76</f>
        <v>20170</v>
      </c>
      <c r="C76" s="7">
        <f>'24-25'!I76</f>
        <v>97428</v>
      </c>
      <c r="D76" s="7">
        <f>'25-26'!I76</f>
        <v>108253.33333333333</v>
      </c>
      <c r="E76" s="7">
        <f>'26-27'!I76</f>
        <v>119078.66666666667</v>
      </c>
      <c r="F76" s="7">
        <f>'27-28'!I76</f>
        <v>129903.99999999999</v>
      </c>
      <c r="G76" s="7">
        <f>'28-29'!I76</f>
        <v>140729.33333333334</v>
      </c>
    </row>
    <row r="77" spans="1:7" x14ac:dyDescent="0.25">
      <c r="A77" s="40" t="s">
        <v>76</v>
      </c>
      <c r="B77" s="7">
        <f>'23-24'!I77</f>
        <v>0</v>
      </c>
      <c r="C77" s="7">
        <f>'24-25'!I77</f>
        <v>0</v>
      </c>
      <c r="D77" s="7">
        <f>'25-26'!I77</f>
        <v>0</v>
      </c>
      <c r="E77" s="7">
        <f>'26-27'!I77</f>
        <v>0</v>
      </c>
      <c r="F77" s="7">
        <f>'27-28'!I77</f>
        <v>0</v>
      </c>
      <c r="G77" s="7">
        <f>'28-29'!I77</f>
        <v>0</v>
      </c>
    </row>
    <row r="78" spans="1:7" x14ac:dyDescent="0.25">
      <c r="A78" s="40" t="s">
        <v>77</v>
      </c>
      <c r="B78" s="7">
        <f>'23-24'!I78</f>
        <v>0</v>
      </c>
      <c r="C78" s="7">
        <f>'24-25'!I78</f>
        <v>6588</v>
      </c>
      <c r="D78" s="7">
        <f>'25-26'!I78</f>
        <v>6588</v>
      </c>
      <c r="E78" s="7">
        <f>'26-27'!I78</f>
        <v>6588</v>
      </c>
      <c r="F78" s="7">
        <f>'27-28'!I78</f>
        <v>6588</v>
      </c>
      <c r="G78" s="7">
        <f>'28-29'!I78</f>
        <v>6588</v>
      </c>
    </row>
    <row r="79" spans="1:7" x14ac:dyDescent="0.25">
      <c r="A79" s="40" t="s">
        <v>78</v>
      </c>
      <c r="B79" s="7">
        <f>'23-24'!I79</f>
        <v>0</v>
      </c>
      <c r="C79" s="7">
        <f>'24-25'!I79</f>
        <v>0</v>
      </c>
      <c r="D79" s="7">
        <f>'25-26'!I79</f>
        <v>0</v>
      </c>
      <c r="E79" s="7">
        <f>'26-27'!I79</f>
        <v>0</v>
      </c>
      <c r="F79" s="7">
        <f>'27-28'!I79</f>
        <v>0</v>
      </c>
      <c r="G79" s="7">
        <f>'28-29'!I79</f>
        <v>0</v>
      </c>
    </row>
    <row r="80" spans="1:7" x14ac:dyDescent="0.25">
      <c r="A80" s="40" t="s">
        <v>79</v>
      </c>
      <c r="B80" s="7">
        <f>'23-24'!I80</f>
        <v>26915</v>
      </c>
      <c r="C80" s="7">
        <f>'24-25'!I80</f>
        <v>65280</v>
      </c>
      <c r="D80" s="7">
        <f>'25-26'!I80</f>
        <v>69888.888888888876</v>
      </c>
      <c r="E80" s="7">
        <f>'26-27'!I80</f>
        <v>74799.999999999985</v>
      </c>
      <c r="F80" s="7">
        <f>'27-28'!I80</f>
        <v>90666.666666666657</v>
      </c>
      <c r="G80" s="7">
        <f>'28-29'!I80</f>
        <v>95766.666666666657</v>
      </c>
    </row>
    <row r="81" spans="1:7" x14ac:dyDescent="0.25">
      <c r="A81" s="67" t="s">
        <v>80</v>
      </c>
      <c r="B81" s="68">
        <f t="shared" ref="B81:G81" si="19">SUM(B75:B80)</f>
        <v>1105073</v>
      </c>
      <c r="C81" s="68">
        <f t="shared" si="19"/>
        <v>1440186</v>
      </c>
      <c r="D81" s="68">
        <f t="shared" si="19"/>
        <v>1615187.5222222223</v>
      </c>
      <c r="E81" s="68">
        <f t="shared" si="19"/>
        <v>1794162.7266666668</v>
      </c>
      <c r="F81" s="68">
        <f t="shared" si="19"/>
        <v>1987764.9466666665</v>
      </c>
      <c r="G81" s="68">
        <f t="shared" si="19"/>
        <v>2174271.96</v>
      </c>
    </row>
    <row r="82" spans="1:7" x14ac:dyDescent="0.25">
      <c r="A82" s="69" t="s">
        <v>81</v>
      </c>
      <c r="B82" s="61"/>
      <c r="C82" s="61"/>
      <c r="D82" s="61"/>
      <c r="E82" s="61"/>
      <c r="F82" s="61"/>
      <c r="G82" s="61"/>
    </row>
    <row r="83" spans="1:7" x14ac:dyDescent="0.25">
      <c r="A83" s="40" t="s">
        <v>82</v>
      </c>
      <c r="B83" s="7">
        <f>'23-24'!I83</f>
        <v>9009</v>
      </c>
      <c r="C83" s="7">
        <f>'24-25'!I83</f>
        <v>21879</v>
      </c>
      <c r="D83" s="7">
        <f>'25-26'!I83</f>
        <v>24309.999999999996</v>
      </c>
      <c r="E83" s="7">
        <f>'26-27'!I83</f>
        <v>26740.999999999996</v>
      </c>
      <c r="F83" s="7">
        <f>'27-28'!I83</f>
        <v>29171.999999999996</v>
      </c>
      <c r="G83" s="7">
        <f>'28-29'!I83</f>
        <v>31602.999999999996</v>
      </c>
    </row>
    <row r="84" spans="1:7" x14ac:dyDescent="0.25">
      <c r="A84" s="40" t="s">
        <v>83</v>
      </c>
      <c r="B84" s="7">
        <f>'23-24'!I84</f>
        <v>34067.30328</v>
      </c>
      <c r="C84" s="7">
        <f>'24-25'!I84</f>
        <v>54917.999999999993</v>
      </c>
      <c r="D84" s="7">
        <f>'25-26'!I84</f>
        <v>61019.999999999993</v>
      </c>
      <c r="E84" s="7">
        <f>'26-27'!I84</f>
        <v>67122</v>
      </c>
      <c r="F84" s="7">
        <f>'27-28'!I84</f>
        <v>73223.999999999985</v>
      </c>
      <c r="G84" s="7">
        <f>'28-29'!I84</f>
        <v>79325.999999999985</v>
      </c>
    </row>
    <row r="85" spans="1:7" x14ac:dyDescent="0.25">
      <c r="A85" s="40" t="s">
        <v>84</v>
      </c>
      <c r="B85" s="7">
        <f>'23-24'!I85</f>
        <v>65873.502359999999</v>
      </c>
      <c r="C85" s="7">
        <f>'24-25'!I85</f>
        <v>106191.00000000001</v>
      </c>
      <c r="D85" s="7">
        <f>'25-26'!I85</f>
        <v>117990</v>
      </c>
      <c r="E85" s="7">
        <f>'26-27'!I85</f>
        <v>129789.00000000001</v>
      </c>
      <c r="F85" s="7">
        <f>'27-28'!I85</f>
        <v>141588</v>
      </c>
      <c r="G85" s="7">
        <f>'28-29'!I85</f>
        <v>153387</v>
      </c>
    </row>
    <row r="86" spans="1:7" x14ac:dyDescent="0.25">
      <c r="A86" s="40" t="s">
        <v>3</v>
      </c>
      <c r="B86" s="7">
        <f>'23-24'!I86</f>
        <v>18727.87</v>
      </c>
      <c r="C86" s="7">
        <f>'24-25'!I86</f>
        <v>20250</v>
      </c>
      <c r="D86" s="7">
        <f>'25-26'!I86</f>
        <v>22500</v>
      </c>
      <c r="E86" s="7">
        <f>'26-27'!I86</f>
        <v>24750</v>
      </c>
      <c r="F86" s="7">
        <f>'27-28'!I86</f>
        <v>27000</v>
      </c>
      <c r="G86" s="7">
        <f>'28-29'!I86</f>
        <v>29250</v>
      </c>
    </row>
    <row r="87" spans="1:7" x14ac:dyDescent="0.25">
      <c r="A87" s="40" t="s">
        <v>4</v>
      </c>
      <c r="B87" s="7">
        <f>'23-24'!I87</f>
        <v>7153.52</v>
      </c>
      <c r="C87" s="7">
        <f>'24-25'!I87</f>
        <v>8000</v>
      </c>
      <c r="D87" s="7">
        <f>'25-26'!I87</f>
        <v>8000</v>
      </c>
      <c r="E87" s="7">
        <f>'26-27'!I87</f>
        <v>8000</v>
      </c>
      <c r="F87" s="7">
        <f>'27-28'!I87</f>
        <v>8000</v>
      </c>
      <c r="G87" s="7">
        <f>'28-29'!I87</f>
        <v>8000</v>
      </c>
    </row>
    <row r="88" spans="1:7" x14ac:dyDescent="0.25">
      <c r="A88" s="40" t="s">
        <v>5</v>
      </c>
      <c r="B88" s="7">
        <f>'23-24'!I88</f>
        <v>1239.1600000000001</v>
      </c>
      <c r="C88" s="7">
        <f>'24-25'!I88</f>
        <v>1500</v>
      </c>
      <c r="D88" s="7">
        <f>'25-26'!I88</f>
        <v>1500</v>
      </c>
      <c r="E88" s="7">
        <f>'26-27'!I88</f>
        <v>1500</v>
      </c>
      <c r="F88" s="7">
        <f>'27-28'!I88</f>
        <v>1500</v>
      </c>
      <c r="G88" s="7">
        <f>'28-29'!I88</f>
        <v>1500</v>
      </c>
    </row>
    <row r="89" spans="1:7" x14ac:dyDescent="0.25">
      <c r="A89" s="40" t="s">
        <v>85</v>
      </c>
      <c r="B89" s="7">
        <f>'23-24'!I89</f>
        <v>0</v>
      </c>
      <c r="C89" s="7">
        <f>'24-25'!I89</f>
        <v>0</v>
      </c>
      <c r="D89" s="7">
        <f>'25-26'!I89</f>
        <v>0</v>
      </c>
      <c r="E89" s="7">
        <f>'26-27'!I89</f>
        <v>0</v>
      </c>
      <c r="F89" s="7">
        <f>'27-28'!I89</f>
        <v>0</v>
      </c>
      <c r="G89" s="7">
        <f>'28-29'!I89</f>
        <v>0</v>
      </c>
    </row>
    <row r="90" spans="1:7" x14ac:dyDescent="0.25">
      <c r="A90" s="40" t="s">
        <v>350</v>
      </c>
      <c r="B90" s="7">
        <f>'23-24'!I90</f>
        <v>334639</v>
      </c>
      <c r="C90" s="7">
        <f>'24-25'!I90</f>
        <v>44100</v>
      </c>
      <c r="D90" s="7">
        <f>'25-26'!I90</f>
        <v>46305</v>
      </c>
      <c r="E90" s="7">
        <f>'26-27'!I90</f>
        <v>48620.25</v>
      </c>
      <c r="F90" s="7">
        <f>'27-28'!I90</f>
        <v>51051.262499999997</v>
      </c>
      <c r="G90" s="7">
        <f>'28-29'!I90</f>
        <v>53603.825624999998</v>
      </c>
    </row>
    <row r="91" spans="1:7" x14ac:dyDescent="0.25">
      <c r="A91" s="67" t="s">
        <v>86</v>
      </c>
      <c r="B91" s="68">
        <f t="shared" ref="B91:C91" si="20">SUM(B83:B90)</f>
        <v>470709.35563999997</v>
      </c>
      <c r="C91" s="68">
        <f t="shared" si="20"/>
        <v>256838</v>
      </c>
      <c r="D91" s="68">
        <f t="shared" ref="D91:G91" si="21">SUM(D83:D90)</f>
        <v>281625</v>
      </c>
      <c r="E91" s="68">
        <f t="shared" si="21"/>
        <v>306522.25</v>
      </c>
      <c r="F91" s="68">
        <f t="shared" si="21"/>
        <v>331535.26250000001</v>
      </c>
      <c r="G91" s="68">
        <f t="shared" si="21"/>
        <v>356669.825625</v>
      </c>
    </row>
    <row r="92" spans="1:7" x14ac:dyDescent="0.25">
      <c r="A92" s="69" t="s">
        <v>87</v>
      </c>
      <c r="B92" s="61"/>
      <c r="C92" s="61"/>
      <c r="D92" s="61"/>
      <c r="E92" s="61"/>
      <c r="F92" s="61"/>
      <c r="G92" s="61"/>
    </row>
    <row r="93" spans="1:7" x14ac:dyDescent="0.25">
      <c r="A93" s="40" t="s">
        <v>88</v>
      </c>
      <c r="B93" s="7">
        <f>'23-24'!I93</f>
        <v>0</v>
      </c>
      <c r="C93" s="7">
        <f>'24-25'!I93</f>
        <v>0</v>
      </c>
      <c r="D93" s="7">
        <f>'25-26'!I93</f>
        <v>0</v>
      </c>
      <c r="E93" s="7">
        <f>'26-27'!I93</f>
        <v>0</v>
      </c>
      <c r="F93" s="7">
        <f>'27-28'!I93</f>
        <v>0</v>
      </c>
      <c r="G93" s="7">
        <f>'28-29'!I93</f>
        <v>0</v>
      </c>
    </row>
    <row r="94" spans="1:7" x14ac:dyDescent="0.25">
      <c r="A94" s="40" t="s">
        <v>90</v>
      </c>
      <c r="B94" s="7">
        <f>'23-24'!I94</f>
        <v>0</v>
      </c>
      <c r="C94" s="7">
        <f>'24-25'!I94</f>
        <v>0</v>
      </c>
      <c r="D94" s="7">
        <f>'25-26'!I94</f>
        <v>0</v>
      </c>
      <c r="E94" s="7">
        <f>'26-27'!I94</f>
        <v>0</v>
      </c>
      <c r="F94" s="7">
        <f>'27-28'!I94</f>
        <v>0</v>
      </c>
      <c r="G94" s="7">
        <f>'28-29'!I94</f>
        <v>0</v>
      </c>
    </row>
    <row r="95" spans="1:7" x14ac:dyDescent="0.25">
      <c r="A95" s="40" t="s">
        <v>363</v>
      </c>
      <c r="B95" s="7">
        <f>'23-24'!I95</f>
        <v>389085</v>
      </c>
      <c r="C95" s="7">
        <f>'24-25'!I95</f>
        <v>258900</v>
      </c>
      <c r="D95" s="7">
        <f>'25-26'!I95</f>
        <v>257957</v>
      </c>
      <c r="E95" s="7">
        <f>'26-27'!I95</f>
        <v>145954</v>
      </c>
      <c r="F95" s="7">
        <f>'27-28'!I95</f>
        <v>25515</v>
      </c>
      <c r="G95" s="7">
        <f>'28-29'!I95</f>
        <v>0</v>
      </c>
    </row>
    <row r="96" spans="1:7" x14ac:dyDescent="0.25">
      <c r="A96" s="40" t="s">
        <v>91</v>
      </c>
      <c r="B96" s="7">
        <f>'23-24'!I96</f>
        <v>0</v>
      </c>
      <c r="C96" s="7">
        <f>'24-25'!I96</f>
        <v>0</v>
      </c>
      <c r="D96" s="7">
        <f>'25-26'!I96</f>
        <v>0</v>
      </c>
      <c r="E96" s="7">
        <f>'26-27'!I96</f>
        <v>0</v>
      </c>
      <c r="F96" s="7">
        <f>'27-28'!I96</f>
        <v>0</v>
      </c>
      <c r="G96" s="7">
        <f>'28-29'!I96</f>
        <v>0</v>
      </c>
    </row>
    <row r="97" spans="1:7" x14ac:dyDescent="0.25">
      <c r="A97" s="67" t="s">
        <v>92</v>
      </c>
      <c r="B97" s="68">
        <f t="shared" ref="B97:G97" si="22">SUM(B93:B96)</f>
        <v>389085</v>
      </c>
      <c r="C97" s="68">
        <f t="shared" si="22"/>
        <v>258900</v>
      </c>
      <c r="D97" s="68">
        <f t="shared" si="22"/>
        <v>257957</v>
      </c>
      <c r="E97" s="68">
        <f t="shared" si="22"/>
        <v>145954</v>
      </c>
      <c r="F97" s="68">
        <f t="shared" si="22"/>
        <v>25515</v>
      </c>
      <c r="G97" s="68">
        <f t="shared" si="22"/>
        <v>0</v>
      </c>
    </row>
    <row r="98" spans="1:7" x14ac:dyDescent="0.25">
      <c r="A98" s="74" t="s">
        <v>93</v>
      </c>
      <c r="B98" s="75">
        <f t="shared" ref="B98:G98" si="23">B81+B91+B97</f>
        <v>1964867.35564</v>
      </c>
      <c r="C98" s="75">
        <f t="shared" si="23"/>
        <v>1955924</v>
      </c>
      <c r="D98" s="75">
        <f t="shared" si="23"/>
        <v>2154769.5222222223</v>
      </c>
      <c r="E98" s="75">
        <f t="shared" si="23"/>
        <v>2246638.9766666666</v>
      </c>
      <c r="F98" s="75">
        <f t="shared" si="23"/>
        <v>2344815.2091666665</v>
      </c>
      <c r="G98" s="75">
        <f t="shared" si="23"/>
        <v>2530941.785625</v>
      </c>
    </row>
    <row r="99" spans="1:7" x14ac:dyDescent="0.25">
      <c r="A99" s="69" t="s">
        <v>94</v>
      </c>
      <c r="B99" s="61"/>
      <c r="C99" s="61"/>
      <c r="D99" s="61"/>
      <c r="E99" s="61"/>
      <c r="F99" s="61"/>
      <c r="G99" s="61"/>
    </row>
    <row r="100" spans="1:7" x14ac:dyDescent="0.25">
      <c r="A100" s="40" t="s">
        <v>95</v>
      </c>
      <c r="B100" s="7">
        <f>'23-24'!I100</f>
        <v>0</v>
      </c>
      <c r="C100" s="7">
        <f>'24-25'!I100</f>
        <v>0</v>
      </c>
      <c r="D100" s="7">
        <f>'25-26'!I100</f>
        <v>0</v>
      </c>
      <c r="E100" s="7">
        <f>'26-27'!I100</f>
        <v>0</v>
      </c>
      <c r="F100" s="7">
        <f>'27-28'!I100</f>
        <v>0</v>
      </c>
      <c r="G100" s="7">
        <f>'28-29'!I100</f>
        <v>0</v>
      </c>
    </row>
    <row r="101" spans="1:7" x14ac:dyDescent="0.25">
      <c r="A101" s="40" t="s">
        <v>96</v>
      </c>
      <c r="B101" s="7">
        <f>'23-24'!I101</f>
        <v>0</v>
      </c>
      <c r="C101" s="7">
        <f>'24-25'!I101</f>
        <v>0</v>
      </c>
      <c r="D101" s="7">
        <f>'25-26'!I101</f>
        <v>0</v>
      </c>
      <c r="E101" s="7">
        <f>'26-27'!I101</f>
        <v>0</v>
      </c>
      <c r="F101" s="7">
        <f>'27-28'!I101</f>
        <v>0</v>
      </c>
      <c r="G101" s="7">
        <f>'28-29'!I101</f>
        <v>0</v>
      </c>
    </row>
    <row r="102" spans="1:7" x14ac:dyDescent="0.25">
      <c r="A102" s="40"/>
      <c r="B102" s="7">
        <f>'23-24'!I102</f>
        <v>0</v>
      </c>
      <c r="C102" s="7">
        <f>'24-25'!I102</f>
        <v>0</v>
      </c>
      <c r="D102" s="7">
        <f>'25-26'!I102</f>
        <v>0</v>
      </c>
      <c r="E102" s="7">
        <f>'26-27'!I102</f>
        <v>0</v>
      </c>
      <c r="F102" s="7">
        <f>'27-28'!I102</f>
        <v>0</v>
      </c>
      <c r="G102" s="7">
        <f>'28-29'!I102</f>
        <v>0</v>
      </c>
    </row>
    <row r="103" spans="1:7" x14ac:dyDescent="0.25">
      <c r="A103" s="40"/>
      <c r="B103" s="7">
        <f>'23-24'!I103</f>
        <v>0</v>
      </c>
      <c r="C103" s="7">
        <f>'24-25'!I103</f>
        <v>0</v>
      </c>
      <c r="D103" s="7">
        <f>'25-26'!I103</f>
        <v>0</v>
      </c>
      <c r="E103" s="7">
        <f>'26-27'!I103</f>
        <v>0</v>
      </c>
      <c r="F103" s="7">
        <f>'27-28'!I103</f>
        <v>0</v>
      </c>
      <c r="G103" s="7">
        <f>'28-29'!I103</f>
        <v>0</v>
      </c>
    </row>
    <row r="104" spans="1:7" x14ac:dyDescent="0.25">
      <c r="A104" s="67" t="s">
        <v>97</v>
      </c>
      <c r="B104" s="68">
        <f t="shared" ref="B104:G104" si="24">SUM(B100:B103)</f>
        <v>0</v>
      </c>
      <c r="C104" s="68">
        <f t="shared" si="24"/>
        <v>0</v>
      </c>
      <c r="D104" s="68">
        <f t="shared" si="24"/>
        <v>0</v>
      </c>
      <c r="E104" s="68">
        <f t="shared" si="24"/>
        <v>0</v>
      </c>
      <c r="F104" s="68">
        <f t="shared" si="24"/>
        <v>0</v>
      </c>
      <c r="G104" s="68">
        <f t="shared" si="24"/>
        <v>0</v>
      </c>
    </row>
    <row r="105" spans="1:7" ht="15.75" thickBot="1" x14ac:dyDescent="0.3">
      <c r="A105" s="40"/>
      <c r="B105" s="54"/>
      <c r="C105" s="54"/>
      <c r="D105" s="54"/>
      <c r="E105" s="54"/>
      <c r="F105" s="54"/>
      <c r="G105" s="54"/>
    </row>
    <row r="106" spans="1:7" ht="15.75" thickBot="1" x14ac:dyDescent="0.3">
      <c r="A106" s="76" t="s">
        <v>98</v>
      </c>
      <c r="B106" s="77" t="str">
        <f t="shared" ref="B106:G106" si="25">B1</f>
        <v>23-24 (FY24)</v>
      </c>
      <c r="C106" s="77" t="str">
        <f t="shared" si="25"/>
        <v>24-25 (FY25)</v>
      </c>
      <c r="D106" s="77" t="str">
        <f t="shared" si="25"/>
        <v>25-26 (FY26)</v>
      </c>
      <c r="E106" s="77" t="str">
        <f t="shared" si="25"/>
        <v>26-27 (FY27)</v>
      </c>
      <c r="F106" s="77" t="str">
        <f t="shared" si="25"/>
        <v>27-28 (FY28)</v>
      </c>
      <c r="G106" s="77" t="str">
        <f t="shared" si="25"/>
        <v>28-29 (FY29)</v>
      </c>
    </row>
    <row r="107" spans="1:7" x14ac:dyDescent="0.25">
      <c r="A107" s="60" t="s">
        <v>99</v>
      </c>
      <c r="B107" s="61"/>
      <c r="C107" s="61"/>
      <c r="D107" s="61"/>
      <c r="E107" s="61"/>
      <c r="F107" s="61"/>
      <c r="G107" s="61"/>
    </row>
    <row r="108" spans="1:7" x14ac:dyDescent="0.25">
      <c r="A108" s="34" t="s">
        <v>349</v>
      </c>
      <c r="B108" s="7">
        <f>'23-24'!I108</f>
        <v>0</v>
      </c>
      <c r="C108" s="7">
        <f>'24-25'!I108</f>
        <v>0</v>
      </c>
      <c r="D108" s="7">
        <f>'25-26'!I108</f>
        <v>0</v>
      </c>
      <c r="E108" s="7">
        <f>'26-27'!I108</f>
        <v>0</v>
      </c>
      <c r="F108" s="7">
        <f>'27-28'!I108</f>
        <v>0</v>
      </c>
      <c r="G108" s="7">
        <f>'28-29'!I108</f>
        <v>0</v>
      </c>
    </row>
    <row r="109" spans="1:7" x14ac:dyDescent="0.25">
      <c r="A109" s="34" t="s">
        <v>348</v>
      </c>
      <c r="B109" s="7">
        <f>'23-24'!I109</f>
        <v>110000.00000000001</v>
      </c>
      <c r="C109" s="7">
        <f>'24-25'!I109</f>
        <v>113300.00000000001</v>
      </c>
      <c r="D109" s="7">
        <f>'25-26'!I109</f>
        <v>115566.00000000001</v>
      </c>
      <c r="E109" s="7">
        <f>'26-27'!I109</f>
        <v>117877.32000000002</v>
      </c>
      <c r="F109" s="7">
        <f>'27-28'!I109</f>
        <v>120234.86640000003</v>
      </c>
      <c r="G109" s="7">
        <f>'28-29'!I109</f>
        <v>122639.56372800004</v>
      </c>
    </row>
    <row r="110" spans="1:7" x14ac:dyDescent="0.25">
      <c r="A110" s="40" t="s">
        <v>100</v>
      </c>
      <c r="B110" s="7">
        <f>'23-24'!I110</f>
        <v>0</v>
      </c>
      <c r="C110" s="7">
        <f>'24-25'!I110</f>
        <v>0</v>
      </c>
      <c r="D110" s="14">
        <f>'25-26'!I110</f>
        <v>0</v>
      </c>
      <c r="E110" s="14">
        <f>'26-27'!I110</f>
        <v>0</v>
      </c>
      <c r="F110" s="14">
        <f>'27-28'!I110</f>
        <v>0</v>
      </c>
      <c r="G110" s="14">
        <f>'28-29'!I110</f>
        <v>0</v>
      </c>
    </row>
    <row r="111" spans="1:7" x14ac:dyDescent="0.25">
      <c r="A111" s="40" t="s">
        <v>45</v>
      </c>
      <c r="B111" s="7">
        <f>'23-24'!I111</f>
        <v>0</v>
      </c>
      <c r="C111" s="7">
        <f>'24-25'!I111</f>
        <v>0</v>
      </c>
      <c r="D111" s="7">
        <f>'25-26'!I111</f>
        <v>0</v>
      </c>
      <c r="E111" s="14">
        <f>'26-27'!I111</f>
        <v>0</v>
      </c>
      <c r="F111" s="14">
        <f>'27-28'!I111</f>
        <v>0</v>
      </c>
      <c r="G111" s="14">
        <f>'28-29'!I111</f>
        <v>0</v>
      </c>
    </row>
    <row r="112" spans="1:7" x14ac:dyDescent="0.25">
      <c r="A112" s="43" t="s">
        <v>46</v>
      </c>
      <c r="B112" s="7">
        <f>'23-24'!I112</f>
        <v>0</v>
      </c>
      <c r="C112" s="7">
        <f>'24-25'!I112</f>
        <v>0</v>
      </c>
      <c r="D112" s="7">
        <f>'25-26'!I112</f>
        <v>0</v>
      </c>
      <c r="E112" s="14">
        <f>'26-27'!I112</f>
        <v>0</v>
      </c>
      <c r="F112" s="14">
        <f>'27-28'!I112</f>
        <v>0</v>
      </c>
      <c r="G112" s="14">
        <f>'28-29'!I112</f>
        <v>0</v>
      </c>
    </row>
    <row r="113" spans="1:7" x14ac:dyDescent="0.25">
      <c r="A113" s="43" t="s">
        <v>47</v>
      </c>
      <c r="B113" s="7">
        <f>'23-24'!I113</f>
        <v>0</v>
      </c>
      <c r="C113" s="7">
        <f>'24-25'!I113</f>
        <v>0</v>
      </c>
      <c r="D113" s="7">
        <f>'25-26'!I113</f>
        <v>0</v>
      </c>
      <c r="E113" s="14">
        <f>'26-27'!I113</f>
        <v>0</v>
      </c>
      <c r="F113" s="14">
        <f>'27-28'!I113</f>
        <v>0</v>
      </c>
      <c r="G113" s="14">
        <f>'28-29'!I113</f>
        <v>0</v>
      </c>
    </row>
    <row r="114" spans="1:7" x14ac:dyDescent="0.25">
      <c r="A114" s="40" t="s">
        <v>345</v>
      </c>
      <c r="B114" s="7">
        <f>'23-24'!I114</f>
        <v>50000</v>
      </c>
      <c r="C114" s="7">
        <f>'24-25'!I114</f>
        <v>51500</v>
      </c>
      <c r="D114" s="7">
        <f>'25-26'!I114</f>
        <v>52530</v>
      </c>
      <c r="E114" s="14">
        <f>'26-27'!I114</f>
        <v>53580.6</v>
      </c>
      <c r="F114" s="14">
        <f>'27-28'!I114</f>
        <v>54652.212</v>
      </c>
      <c r="G114" s="14">
        <f>'28-29'!I114</f>
        <v>55745.256240000002</v>
      </c>
    </row>
    <row r="115" spans="1:7" x14ac:dyDescent="0.25">
      <c r="A115" s="40" t="s">
        <v>101</v>
      </c>
      <c r="B115" s="7">
        <f>'23-24'!I115</f>
        <v>0</v>
      </c>
      <c r="C115" s="7">
        <f>'24-25'!I115</f>
        <v>0</v>
      </c>
      <c r="D115" s="7">
        <f>'25-26'!I115</f>
        <v>0</v>
      </c>
      <c r="E115" s="7">
        <f>'26-27'!I115</f>
        <v>0</v>
      </c>
      <c r="F115" s="7">
        <f>'27-28'!I115</f>
        <v>0</v>
      </c>
      <c r="G115" s="7">
        <f>'28-29'!I115</f>
        <v>0</v>
      </c>
    </row>
    <row r="116" spans="1:7" x14ac:dyDescent="0.25">
      <c r="A116" s="40" t="s">
        <v>102</v>
      </c>
      <c r="B116" s="7">
        <f>'23-24'!I116</f>
        <v>376250</v>
      </c>
      <c r="C116" s="7">
        <f>'24-25'!I116</f>
        <v>399000</v>
      </c>
      <c r="D116" s="7">
        <f>'25-26'!I116</f>
        <v>464000</v>
      </c>
      <c r="E116" s="7">
        <f>'26-27'!I116</f>
        <v>472000</v>
      </c>
      <c r="F116" s="7">
        <f>'27-28'!I116</f>
        <v>480000</v>
      </c>
      <c r="G116" s="7">
        <f>'28-29'!I116</f>
        <v>488000</v>
      </c>
    </row>
    <row r="117" spans="1:7" x14ac:dyDescent="0.25">
      <c r="A117" s="40" t="s">
        <v>34</v>
      </c>
      <c r="B117" s="7">
        <f>'23-24'!I117</f>
        <v>55000</v>
      </c>
      <c r="C117" s="7">
        <f>'24-25'!I117</f>
        <v>57000</v>
      </c>
      <c r="D117" s="7">
        <f>'25-26'!I117</f>
        <v>58000</v>
      </c>
      <c r="E117" s="7">
        <f>'26-27'!I117</f>
        <v>59000</v>
      </c>
      <c r="F117" s="7">
        <f>'27-28'!I117</f>
        <v>60000</v>
      </c>
      <c r="G117" s="7">
        <f>'28-29'!I117</f>
        <v>61000</v>
      </c>
    </row>
    <row r="118" spans="1:7" x14ac:dyDescent="0.25">
      <c r="A118" s="40" t="s">
        <v>103</v>
      </c>
      <c r="B118" s="7">
        <f>'23-24'!I118</f>
        <v>79568</v>
      </c>
      <c r="C118" s="7">
        <f>'24-25'!I118</f>
        <v>81955.040000000008</v>
      </c>
      <c r="D118" s="7">
        <f>'25-26'!I118</f>
        <v>83594.140800000008</v>
      </c>
      <c r="E118" s="7">
        <f>'26-27'!I118</f>
        <v>85266.023616000006</v>
      </c>
      <c r="F118" s="7">
        <f>'27-28'!I118</f>
        <v>86971.344088320009</v>
      </c>
      <c r="G118" s="7">
        <f>'28-29'!I118</f>
        <v>86971.344088320009</v>
      </c>
    </row>
    <row r="119" spans="1:7" x14ac:dyDescent="0.25">
      <c r="A119" s="40" t="s">
        <v>104</v>
      </c>
      <c r="B119" s="7">
        <f>'23-24'!I119</f>
        <v>0</v>
      </c>
      <c r="C119" s="7">
        <f>'24-25'!I119</f>
        <v>0</v>
      </c>
      <c r="D119" s="7">
        <f>'25-26'!I119</f>
        <v>0</v>
      </c>
      <c r="E119" s="7">
        <f>'26-27'!I119</f>
        <v>0</v>
      </c>
      <c r="F119" s="7">
        <f>'27-28'!I119</f>
        <v>0</v>
      </c>
      <c r="G119" s="7">
        <f>'28-29'!I119</f>
        <v>0</v>
      </c>
    </row>
    <row r="120" spans="1:7" x14ac:dyDescent="0.25">
      <c r="A120" s="40" t="s">
        <v>105</v>
      </c>
      <c r="B120" s="7">
        <f>'23-24'!I120</f>
        <v>21600</v>
      </c>
      <c r="C120" s="7">
        <f>'24-25'!I120</f>
        <v>21960</v>
      </c>
      <c r="D120" s="7">
        <f>'25-26'!I120</f>
        <v>22320</v>
      </c>
      <c r="E120" s="7">
        <f>'26-27'!I120</f>
        <v>22680</v>
      </c>
      <c r="F120" s="7">
        <f>'27-28'!I120</f>
        <v>23040</v>
      </c>
      <c r="G120" s="7">
        <f>'28-29'!I120</f>
        <v>23400</v>
      </c>
    </row>
    <row r="121" spans="1:7" x14ac:dyDescent="0.25">
      <c r="A121" s="40" t="s">
        <v>106</v>
      </c>
      <c r="B121" s="7">
        <f>'23-24'!I121</f>
        <v>0</v>
      </c>
      <c r="C121" s="7">
        <f>'24-25'!I121</f>
        <v>0</v>
      </c>
      <c r="D121" s="7">
        <f>'25-26'!I121</f>
        <v>0</v>
      </c>
      <c r="E121" s="7">
        <f>'26-27'!I121</f>
        <v>0</v>
      </c>
      <c r="F121" s="7">
        <f>'27-28'!I121</f>
        <v>0</v>
      </c>
      <c r="G121" s="7">
        <f>'28-29'!I121</f>
        <v>0</v>
      </c>
    </row>
    <row r="122" spans="1:7" x14ac:dyDescent="0.25">
      <c r="A122" s="40" t="s">
        <v>55</v>
      </c>
      <c r="B122" s="7">
        <f>'23-24'!I122</f>
        <v>0</v>
      </c>
      <c r="C122" s="7">
        <f>'24-25'!I122</f>
        <v>0</v>
      </c>
      <c r="D122" s="7">
        <f>'25-26'!I122</f>
        <v>0</v>
      </c>
      <c r="E122" s="7">
        <f>'26-27'!I122</f>
        <v>0</v>
      </c>
      <c r="F122" s="7">
        <f>'27-28'!I122</f>
        <v>0</v>
      </c>
      <c r="G122" s="7">
        <f>'28-29'!I122</f>
        <v>0</v>
      </c>
    </row>
    <row r="123" spans="1:7" x14ac:dyDescent="0.25">
      <c r="A123" s="78" t="s">
        <v>107</v>
      </c>
      <c r="B123" s="79">
        <f t="shared" ref="B123:G123" si="26">SUM(B108:B122)</f>
        <v>692418</v>
      </c>
      <c r="C123" s="79">
        <f t="shared" si="26"/>
        <v>724715.04</v>
      </c>
      <c r="D123" s="79">
        <f t="shared" si="26"/>
        <v>796010.14080000005</v>
      </c>
      <c r="E123" s="79">
        <f t="shared" si="26"/>
        <v>810403.943616</v>
      </c>
      <c r="F123" s="79">
        <f t="shared" si="26"/>
        <v>824898.42248832004</v>
      </c>
      <c r="G123" s="79">
        <f t="shared" si="26"/>
        <v>837756.16405632009</v>
      </c>
    </row>
    <row r="124" spans="1:7" x14ac:dyDescent="0.25">
      <c r="A124" s="80" t="s">
        <v>108</v>
      </c>
      <c r="B124" s="61"/>
      <c r="C124" s="61"/>
      <c r="D124" s="61"/>
      <c r="E124" s="61"/>
      <c r="F124" s="61"/>
      <c r="G124" s="61"/>
    </row>
    <row r="125" spans="1:7" x14ac:dyDescent="0.25">
      <c r="A125" s="40" t="s">
        <v>57</v>
      </c>
      <c r="B125" s="7">
        <f>'23-24'!I125</f>
        <v>0</v>
      </c>
      <c r="C125" s="7">
        <f>'24-25'!I125</f>
        <v>0</v>
      </c>
      <c r="D125" s="7">
        <f>'25-26'!I125</f>
        <v>0</v>
      </c>
      <c r="E125" s="7">
        <f>'26-27'!I125</f>
        <v>0</v>
      </c>
      <c r="F125" s="7">
        <f>'27-28'!I125</f>
        <v>0</v>
      </c>
      <c r="G125" s="7">
        <f>'28-29'!I125</f>
        <v>0</v>
      </c>
    </row>
    <row r="126" spans="1:7" x14ac:dyDescent="0.25">
      <c r="A126" s="40" t="s">
        <v>58</v>
      </c>
      <c r="B126" s="7">
        <f>'23-24'!I126</f>
        <v>0</v>
      </c>
      <c r="C126" s="7">
        <f>'24-25'!I126</f>
        <v>0</v>
      </c>
      <c r="D126" s="7">
        <f>'25-26'!I126</f>
        <v>0</v>
      </c>
      <c r="E126" s="7">
        <f>'26-27'!I126</f>
        <v>0</v>
      </c>
      <c r="F126" s="7">
        <f>'27-28'!I126</f>
        <v>0</v>
      </c>
      <c r="G126" s="7">
        <f>'28-29'!I126</f>
        <v>0</v>
      </c>
    </row>
    <row r="127" spans="1:7" x14ac:dyDescent="0.25">
      <c r="A127" s="40" t="s">
        <v>59</v>
      </c>
      <c r="B127" s="7">
        <f>'23-24'!I127</f>
        <v>0</v>
      </c>
      <c r="C127" s="7">
        <f>'24-25'!I127</f>
        <v>0</v>
      </c>
      <c r="D127" s="7">
        <f>'25-26'!I127</f>
        <v>0</v>
      </c>
      <c r="E127" s="7">
        <f>'26-27'!I127</f>
        <v>0</v>
      </c>
      <c r="F127" s="7">
        <f>'27-28'!I127</f>
        <v>0</v>
      </c>
      <c r="G127" s="7">
        <f>'28-29'!I127</f>
        <v>0</v>
      </c>
    </row>
    <row r="128" spans="1:7" x14ac:dyDescent="0.25">
      <c r="A128" s="40" t="s">
        <v>109</v>
      </c>
      <c r="B128" s="7">
        <f>'23-24'!I128</f>
        <v>0</v>
      </c>
      <c r="C128" s="7">
        <f>'24-25'!I128</f>
        <v>0</v>
      </c>
      <c r="D128" s="7">
        <f>'25-26'!I128</f>
        <v>0</v>
      </c>
      <c r="E128" s="7">
        <f>'26-27'!I128</f>
        <v>0</v>
      </c>
      <c r="F128" s="7">
        <f>'27-28'!I128</f>
        <v>0</v>
      </c>
      <c r="G128" s="7">
        <f>'28-29'!I128</f>
        <v>0</v>
      </c>
    </row>
    <row r="129" spans="1:14" x14ac:dyDescent="0.25">
      <c r="A129" s="40" t="s">
        <v>61</v>
      </c>
      <c r="B129" s="7">
        <f>'23-24'!I129</f>
        <v>0</v>
      </c>
      <c r="C129" s="7">
        <f>'24-25'!I129</f>
        <v>0</v>
      </c>
      <c r="D129" s="7">
        <f>'25-26'!I129</f>
        <v>0</v>
      </c>
      <c r="E129" s="7">
        <f>'26-27'!I129</f>
        <v>0</v>
      </c>
      <c r="F129" s="7">
        <f>'27-28'!I129</f>
        <v>0</v>
      </c>
      <c r="G129" s="7">
        <f>'28-29'!I129</f>
        <v>0</v>
      </c>
    </row>
    <row r="130" spans="1:14" x14ac:dyDescent="0.25">
      <c r="A130" s="40" t="s">
        <v>256</v>
      </c>
      <c r="B130" s="7">
        <f>'23-24'!I130</f>
        <v>0</v>
      </c>
      <c r="C130" s="7">
        <f>'24-25'!I130</f>
        <v>0</v>
      </c>
      <c r="D130" s="7">
        <f>'25-26'!I130</f>
        <v>0</v>
      </c>
      <c r="E130" s="7">
        <f>'26-27'!I130</f>
        <v>0</v>
      </c>
      <c r="F130" s="7">
        <f>'27-28'!I130</f>
        <v>0</v>
      </c>
      <c r="G130" s="7">
        <f>'28-29'!I130</f>
        <v>0</v>
      </c>
    </row>
    <row r="131" spans="1:14" x14ac:dyDescent="0.25">
      <c r="A131" s="40" t="s">
        <v>110</v>
      </c>
      <c r="B131" s="7">
        <f>'23-24'!I131</f>
        <v>24480</v>
      </c>
      <c r="C131" s="7">
        <f>'24-25'!I131</f>
        <v>24840</v>
      </c>
      <c r="D131" s="7">
        <f>'25-26'!I131</f>
        <v>25200</v>
      </c>
      <c r="E131" s="7">
        <f>'26-27'!I131</f>
        <v>25560</v>
      </c>
      <c r="F131" s="7">
        <f>'27-28'!I131</f>
        <v>25920</v>
      </c>
      <c r="G131" s="7">
        <f>'28-29'!I131</f>
        <v>26280</v>
      </c>
    </row>
    <row r="132" spans="1:14" x14ac:dyDescent="0.25">
      <c r="A132" s="40" t="s">
        <v>62</v>
      </c>
      <c r="B132" s="7">
        <f>'23-24'!I132</f>
        <v>0</v>
      </c>
      <c r="C132" s="7">
        <f>'24-25'!I132</f>
        <v>0</v>
      </c>
      <c r="D132" s="7">
        <f>'25-26'!I132</f>
        <v>0</v>
      </c>
      <c r="E132" s="7">
        <f>'26-27'!I132</f>
        <v>0</v>
      </c>
      <c r="F132" s="7">
        <f>'27-28'!I132</f>
        <v>0</v>
      </c>
      <c r="G132" s="7">
        <f>'28-29'!I132</f>
        <v>0</v>
      </c>
    </row>
    <row r="133" spans="1:14" x14ac:dyDescent="0.25">
      <c r="A133" s="81" t="s">
        <v>111</v>
      </c>
      <c r="B133" s="82">
        <f t="shared" ref="B133:G133" si="27">SUM(B125:B132)</f>
        <v>24480</v>
      </c>
      <c r="C133" s="82">
        <f t="shared" si="27"/>
        <v>24840</v>
      </c>
      <c r="D133" s="82">
        <f t="shared" si="27"/>
        <v>25200</v>
      </c>
      <c r="E133" s="82">
        <f t="shared" si="27"/>
        <v>25560</v>
      </c>
      <c r="F133" s="82">
        <f t="shared" si="27"/>
        <v>25920</v>
      </c>
      <c r="G133" s="82">
        <f t="shared" si="27"/>
        <v>26280</v>
      </c>
    </row>
    <row r="134" spans="1:14" x14ac:dyDescent="0.25">
      <c r="A134" s="83" t="s">
        <v>112</v>
      </c>
      <c r="B134" s="84">
        <f t="shared" ref="B134:G134" si="28">B123+B133</f>
        <v>716898</v>
      </c>
      <c r="C134" s="84">
        <f t="shared" si="28"/>
        <v>749555.04</v>
      </c>
      <c r="D134" s="84">
        <f t="shared" si="28"/>
        <v>821210.14080000005</v>
      </c>
      <c r="E134" s="84">
        <f t="shared" si="28"/>
        <v>835963.943616</v>
      </c>
      <c r="F134" s="84">
        <f t="shared" si="28"/>
        <v>850818.42248832004</v>
      </c>
      <c r="G134" s="84">
        <f t="shared" si="28"/>
        <v>864036.16405632009</v>
      </c>
    </row>
    <row r="135" spans="1:14" x14ac:dyDescent="0.25">
      <c r="A135" s="40" t="s">
        <v>113</v>
      </c>
      <c r="B135" s="7">
        <f>'23-24'!I135</f>
        <v>240160.83</v>
      </c>
      <c r="C135" s="7">
        <f>'24-25'!I135</f>
        <v>251100.93840000001</v>
      </c>
      <c r="D135" s="7">
        <f>'25-26'!I135</f>
        <v>275105.39716800005</v>
      </c>
      <c r="E135" s="7">
        <f>'26-27'!I135</f>
        <v>280047.92111136002</v>
      </c>
      <c r="F135" s="7">
        <f>'27-28'!I135</f>
        <v>285024.17153358727</v>
      </c>
      <c r="G135" s="7">
        <f>'28-29'!I135</f>
        <v>289452.11495886726</v>
      </c>
      <c r="I135" s="144">
        <f>B135/B134</f>
        <v>0.33499999999999996</v>
      </c>
      <c r="J135" s="144">
        <f t="shared" ref="J135:N135" si="29">C135/C134</f>
        <v>0.33500000000000002</v>
      </c>
      <c r="K135" s="144">
        <f t="shared" si="29"/>
        <v>0.33500000000000002</v>
      </c>
      <c r="L135" s="144">
        <f t="shared" si="29"/>
        <v>0.33500000000000002</v>
      </c>
      <c r="M135" s="144">
        <f t="shared" si="29"/>
        <v>0.33500000000000008</v>
      </c>
      <c r="N135" s="144">
        <f t="shared" si="29"/>
        <v>0.33500000000000002</v>
      </c>
    </row>
    <row r="136" spans="1:14" x14ac:dyDescent="0.25">
      <c r="A136" s="87" t="s">
        <v>114</v>
      </c>
      <c r="B136" s="7">
        <f>'23-24'!I136</f>
        <v>88708.546499999982</v>
      </c>
      <c r="C136" s="7">
        <f>'24-25'!I136</f>
        <v>104937.70560000002</v>
      </c>
      <c r="D136" s="7">
        <f>'25-26'!I136</f>
        <v>117022.445064</v>
      </c>
      <c r="E136" s="7">
        <f>'26-27'!I136</f>
        <v>123304.68168336</v>
      </c>
      <c r="F136" s="7">
        <f>'27-28'!I136</f>
        <v>125495.71731702719</v>
      </c>
      <c r="G136" s="7">
        <f>'28-29'!I136</f>
        <v>129605.42460844801</v>
      </c>
      <c r="I136" s="144">
        <f>B136/B134</f>
        <v>0.12373942527388831</v>
      </c>
      <c r="J136" s="144">
        <f t="shared" ref="J136:N136" si="30">C136/C134</f>
        <v>0.14000000000000001</v>
      </c>
      <c r="K136" s="144">
        <f t="shared" si="30"/>
        <v>0.14249999999999999</v>
      </c>
      <c r="L136" s="144">
        <f t="shared" si="30"/>
        <v>0.14749999999999999</v>
      </c>
      <c r="M136" s="144">
        <f t="shared" si="30"/>
        <v>0.14749999999999996</v>
      </c>
      <c r="N136" s="144">
        <f t="shared" si="30"/>
        <v>0.15</v>
      </c>
    </row>
    <row r="137" spans="1:14" x14ac:dyDescent="0.25">
      <c r="A137" s="40" t="s">
        <v>115</v>
      </c>
      <c r="B137" s="7">
        <f>'23-24'!I137</f>
        <v>12687.5</v>
      </c>
      <c r="C137" s="7">
        <f>'24-25'!I137</f>
        <v>11945</v>
      </c>
      <c r="D137" s="7">
        <f>'25-26'!I137</f>
        <v>12935</v>
      </c>
      <c r="E137" s="7">
        <f>'26-27'!I137</f>
        <v>12935</v>
      </c>
      <c r="F137" s="7">
        <f>'27-28'!I137</f>
        <v>12935</v>
      </c>
      <c r="G137" s="7">
        <f>'28-29'!I137</f>
        <v>12935</v>
      </c>
    </row>
    <row r="138" spans="1:14" x14ac:dyDescent="0.25">
      <c r="A138" s="87" t="s">
        <v>116</v>
      </c>
      <c r="B138" s="7">
        <f>'23-24'!I138</f>
        <v>2218.75</v>
      </c>
      <c r="C138" s="7">
        <f>'24-25'!I138</f>
        <v>2375</v>
      </c>
      <c r="D138" s="7">
        <f>'25-26'!I138</f>
        <v>2500</v>
      </c>
      <c r="E138" s="7">
        <f>'26-27'!I138</f>
        <v>2500</v>
      </c>
      <c r="F138" s="7">
        <f>'27-28'!I138</f>
        <v>2500</v>
      </c>
      <c r="G138" s="7">
        <f>'28-29'!I138</f>
        <v>2500</v>
      </c>
    </row>
    <row r="139" spans="1:14" x14ac:dyDescent="0.25">
      <c r="A139" s="40" t="s">
        <v>117</v>
      </c>
      <c r="B139" s="7">
        <f>'23-24'!I139</f>
        <v>0</v>
      </c>
      <c r="C139" s="7">
        <f>'24-25'!I139</f>
        <v>0</v>
      </c>
      <c r="D139" s="7">
        <f>'25-26'!I139</f>
        <v>0</v>
      </c>
      <c r="E139" s="7">
        <f>'26-27'!I139</f>
        <v>0</v>
      </c>
      <c r="F139" s="7">
        <f>'27-28'!I139</f>
        <v>0</v>
      </c>
      <c r="G139" s="7">
        <f>'28-29'!I139</f>
        <v>0</v>
      </c>
    </row>
    <row r="140" spans="1:14" x14ac:dyDescent="0.25">
      <c r="A140" s="40" t="s">
        <v>118</v>
      </c>
      <c r="B140" s="7">
        <f>'23-24'!I140</f>
        <v>0</v>
      </c>
      <c r="C140" s="7">
        <f>'24-25'!I140</f>
        <v>0</v>
      </c>
      <c r="D140" s="7">
        <f>'25-26'!I140</f>
        <v>0</v>
      </c>
      <c r="E140" s="7">
        <f>'26-27'!I140</f>
        <v>0</v>
      </c>
      <c r="F140" s="7">
        <f>'27-28'!I140</f>
        <v>0</v>
      </c>
      <c r="G140" s="7">
        <f>'28-29'!I140</f>
        <v>0</v>
      </c>
    </row>
    <row r="141" spans="1:14" x14ac:dyDescent="0.25">
      <c r="A141" s="40" t="s">
        <v>119</v>
      </c>
      <c r="B141" s="7">
        <f>'23-24'!I141</f>
        <v>5000</v>
      </c>
      <c r="C141" s="7">
        <f>'24-25'!I141</f>
        <v>5000</v>
      </c>
      <c r="D141" s="7">
        <f>'25-26'!I141</f>
        <v>5000</v>
      </c>
      <c r="E141" s="7">
        <f>'26-27'!I141</f>
        <v>5000</v>
      </c>
      <c r="F141" s="7">
        <f>'27-28'!I141</f>
        <v>5000</v>
      </c>
      <c r="G141" s="7">
        <f>'28-29'!I141</f>
        <v>5000</v>
      </c>
    </row>
    <row r="142" spans="1:14" x14ac:dyDescent="0.25">
      <c r="A142" s="40" t="s">
        <v>120</v>
      </c>
      <c r="B142" s="7">
        <f>'23-24'!I142</f>
        <v>15771.25</v>
      </c>
      <c r="C142" s="7">
        <f>'24-25'!I142</f>
        <v>16280</v>
      </c>
      <c r="D142" s="7">
        <f>'25-26'!I142</f>
        <v>18315</v>
      </c>
      <c r="E142" s="7">
        <f>'26-27'!I142</f>
        <v>18315</v>
      </c>
      <c r="F142" s="7">
        <f>'27-28'!I142</f>
        <v>18315</v>
      </c>
      <c r="G142" s="7">
        <f>'28-29'!I142</f>
        <v>18315</v>
      </c>
    </row>
    <row r="143" spans="1:14" x14ac:dyDescent="0.25">
      <c r="A143" s="91" t="s">
        <v>122</v>
      </c>
      <c r="B143" s="92">
        <f t="shared" ref="B143:G143" si="31">SUM(B135:B142)</f>
        <v>364546.87649999995</v>
      </c>
      <c r="C143" s="92">
        <f t="shared" si="31"/>
        <v>391638.64400000003</v>
      </c>
      <c r="D143" s="92">
        <f t="shared" si="31"/>
        <v>430877.84223200008</v>
      </c>
      <c r="E143" s="92">
        <f t="shared" si="31"/>
        <v>442102.60279472003</v>
      </c>
      <c r="F143" s="92">
        <f t="shared" si="31"/>
        <v>449269.88885061443</v>
      </c>
      <c r="G143" s="92">
        <f t="shared" si="31"/>
        <v>457807.53956731525</v>
      </c>
    </row>
    <row r="144" spans="1:14" x14ac:dyDescent="0.25">
      <c r="A144" s="83" t="s">
        <v>123</v>
      </c>
      <c r="B144" s="84">
        <f t="shared" ref="B144:G144" si="32">B134+B143</f>
        <v>1081444.8765</v>
      </c>
      <c r="C144" s="84">
        <f t="shared" si="32"/>
        <v>1141193.6840000001</v>
      </c>
      <c r="D144" s="84">
        <f t="shared" si="32"/>
        <v>1252087.9830320003</v>
      </c>
      <c r="E144" s="84">
        <f t="shared" si="32"/>
        <v>1278066.5464107201</v>
      </c>
      <c r="F144" s="84">
        <f t="shared" si="32"/>
        <v>1300088.3113389346</v>
      </c>
      <c r="G144" s="84">
        <f t="shared" si="32"/>
        <v>1321843.7036236352</v>
      </c>
    </row>
    <row r="145" spans="1:7" x14ac:dyDescent="0.25">
      <c r="A145" s="93" t="s">
        <v>124</v>
      </c>
      <c r="B145" s="24" t="str">
        <f t="shared" ref="B145:G145" si="33">B1</f>
        <v>23-24 (FY24)</v>
      </c>
      <c r="C145" s="24" t="str">
        <f t="shared" si="33"/>
        <v>24-25 (FY25)</v>
      </c>
      <c r="D145" s="24" t="str">
        <f t="shared" si="33"/>
        <v>25-26 (FY26)</v>
      </c>
      <c r="E145" s="24" t="str">
        <f t="shared" si="33"/>
        <v>26-27 (FY27)</v>
      </c>
      <c r="F145" s="24" t="str">
        <f t="shared" si="33"/>
        <v>27-28 (FY28)</v>
      </c>
      <c r="G145" s="24" t="str">
        <f t="shared" si="33"/>
        <v>28-29 (FY29)</v>
      </c>
    </row>
    <row r="146" spans="1:7" x14ac:dyDescent="0.25">
      <c r="A146" s="94" t="s">
        <v>125</v>
      </c>
      <c r="B146" s="7">
        <f>'23-24'!I146</f>
        <v>30545</v>
      </c>
      <c r="C146" s="7">
        <f>'24-25'!I146</f>
        <v>27675</v>
      </c>
      <c r="D146" s="7">
        <f>'25-26'!I146</f>
        <v>30750</v>
      </c>
      <c r="E146" s="7">
        <f>'26-27'!I146</f>
        <v>33825</v>
      </c>
      <c r="F146" s="7">
        <f>'27-28'!I146</f>
        <v>36900</v>
      </c>
      <c r="G146" s="7">
        <f>'28-29'!I146</f>
        <v>39975</v>
      </c>
    </row>
    <row r="147" spans="1:7" x14ac:dyDescent="0.25">
      <c r="A147" s="95" t="s">
        <v>127</v>
      </c>
      <c r="B147" s="7">
        <f>'23-24'!I147</f>
        <v>5000</v>
      </c>
      <c r="C147" s="7">
        <f>'24-25'!I147</f>
        <v>5000</v>
      </c>
      <c r="D147" s="7">
        <f>'25-26'!I147</f>
        <v>5000</v>
      </c>
      <c r="E147" s="7">
        <f>'26-27'!I147</f>
        <v>5000</v>
      </c>
      <c r="F147" s="7">
        <f>'27-28'!I147</f>
        <v>7500</v>
      </c>
      <c r="G147" s="7">
        <f>'28-29'!I147</f>
        <v>12500</v>
      </c>
    </row>
    <row r="148" spans="1:7" x14ac:dyDescent="0.25">
      <c r="A148" s="40" t="s">
        <v>128</v>
      </c>
      <c r="B148" s="7">
        <f>'23-24'!I148</f>
        <v>197823</v>
      </c>
      <c r="C148" s="7">
        <f>'24-25'!I148</f>
        <v>0</v>
      </c>
      <c r="D148" s="7">
        <f>'25-26'!I148</f>
        <v>0</v>
      </c>
      <c r="E148" s="7">
        <f>'26-27'!I148</f>
        <v>0</v>
      </c>
      <c r="F148" s="7">
        <f>'27-28'!I148</f>
        <v>0</v>
      </c>
      <c r="G148" s="7">
        <f>'28-29'!I148</f>
        <v>0</v>
      </c>
    </row>
    <row r="149" spans="1:7" x14ac:dyDescent="0.25">
      <c r="A149" s="40" t="s">
        <v>129</v>
      </c>
      <c r="B149" s="7">
        <f>'23-24'!I149</f>
        <v>3540</v>
      </c>
      <c r="C149" s="7">
        <f>'24-25'!I149</f>
        <v>4050</v>
      </c>
      <c r="D149" s="7">
        <f>'25-26'!I149</f>
        <v>4500</v>
      </c>
      <c r="E149" s="7">
        <f>'26-27'!I149</f>
        <v>4950</v>
      </c>
      <c r="F149" s="7">
        <f>'27-28'!I149</f>
        <v>5400</v>
      </c>
      <c r="G149" s="7">
        <f>'28-29'!I149</f>
        <v>5850</v>
      </c>
    </row>
    <row r="150" spans="1:7" x14ac:dyDescent="0.25">
      <c r="A150" s="40" t="s">
        <v>131</v>
      </c>
      <c r="B150" s="7">
        <f>'23-24'!I150</f>
        <v>4720</v>
      </c>
      <c r="C150" s="7">
        <f>'24-25'!I150</f>
        <v>5400</v>
      </c>
      <c r="D150" s="7">
        <f>'25-26'!I150</f>
        <v>6000</v>
      </c>
      <c r="E150" s="7">
        <f>'26-27'!I150</f>
        <v>6600</v>
      </c>
      <c r="F150" s="7">
        <f>'27-28'!I150</f>
        <v>7200</v>
      </c>
      <c r="G150" s="7">
        <f>'28-29'!I150</f>
        <v>7800</v>
      </c>
    </row>
    <row r="151" spans="1:7" x14ac:dyDescent="0.25">
      <c r="A151" s="40" t="s">
        <v>133</v>
      </c>
      <c r="B151" s="7">
        <f>'23-24'!I151</f>
        <v>1180</v>
      </c>
      <c r="C151" s="7">
        <f>'24-25'!I151</f>
        <v>1350</v>
      </c>
      <c r="D151" s="7">
        <f>'25-26'!I151</f>
        <v>1500</v>
      </c>
      <c r="E151" s="7">
        <f>'26-27'!I151</f>
        <v>1650</v>
      </c>
      <c r="F151" s="7">
        <f>'27-28'!I151</f>
        <v>1800</v>
      </c>
      <c r="G151" s="7">
        <f>'28-29'!I151</f>
        <v>1950</v>
      </c>
    </row>
    <row r="152" spans="1:7" x14ac:dyDescent="0.25">
      <c r="A152" s="40" t="s">
        <v>135</v>
      </c>
      <c r="B152" s="7">
        <f>'23-24'!I152</f>
        <v>944</v>
      </c>
      <c r="C152" s="7">
        <f>'24-25'!I152</f>
        <v>1080</v>
      </c>
      <c r="D152" s="7">
        <f>'25-26'!I152</f>
        <v>1200</v>
      </c>
      <c r="E152" s="7">
        <f>'26-27'!I152</f>
        <v>1320</v>
      </c>
      <c r="F152" s="7">
        <f>'27-28'!I152</f>
        <v>1440</v>
      </c>
      <c r="G152" s="7">
        <f>'28-29'!I152</f>
        <v>1560</v>
      </c>
    </row>
    <row r="153" spans="1:7" x14ac:dyDescent="0.25">
      <c r="A153" s="40" t="s">
        <v>137</v>
      </c>
      <c r="B153" s="7">
        <f>'23-24'!I153</f>
        <v>1050</v>
      </c>
      <c r="C153" s="7">
        <f>'24-25'!I153</f>
        <v>2550</v>
      </c>
      <c r="D153" s="7">
        <f>'25-26'!I153</f>
        <v>2833.333333333333</v>
      </c>
      <c r="E153" s="7">
        <f>'26-27'!I153</f>
        <v>3116.6666666666661</v>
      </c>
      <c r="F153" s="7">
        <f>'27-28'!I153</f>
        <v>3399.9999999999995</v>
      </c>
      <c r="G153" s="7">
        <f>'28-29'!I153</f>
        <v>3683.333333333333</v>
      </c>
    </row>
    <row r="154" spans="1:7" x14ac:dyDescent="0.25">
      <c r="A154" s="40" t="s">
        <v>139</v>
      </c>
      <c r="B154" s="7">
        <f>'23-24'!I154</f>
        <v>7500</v>
      </c>
      <c r="C154" s="7">
        <f>'24-25'!I154</f>
        <v>7500</v>
      </c>
      <c r="D154" s="7">
        <f>'25-26'!I154</f>
        <v>7500</v>
      </c>
      <c r="E154" s="7">
        <f>'26-27'!I154</f>
        <v>10000</v>
      </c>
      <c r="F154" s="7">
        <f>'27-28'!I154</f>
        <v>15000</v>
      </c>
      <c r="G154" s="7">
        <f>'28-29'!I154</f>
        <v>20000</v>
      </c>
    </row>
    <row r="155" spans="1:7" x14ac:dyDescent="0.25">
      <c r="A155" s="96" t="s">
        <v>140</v>
      </c>
      <c r="B155" s="7">
        <f>'23-24'!I155</f>
        <v>6705</v>
      </c>
      <c r="C155" s="7">
        <f>'24-25'!I155</f>
        <v>6075</v>
      </c>
      <c r="D155" s="7">
        <f>'25-26'!I155</f>
        <v>6750</v>
      </c>
      <c r="E155" s="7">
        <f>'26-27'!I155</f>
        <v>7425</v>
      </c>
      <c r="F155" s="7">
        <f>'27-28'!I155</f>
        <v>8100</v>
      </c>
      <c r="G155" s="7">
        <f>'28-29'!I155</f>
        <v>8775</v>
      </c>
    </row>
    <row r="156" spans="1:7" x14ac:dyDescent="0.25">
      <c r="A156" s="83" t="s">
        <v>142</v>
      </c>
      <c r="B156" s="84">
        <f t="shared" ref="B156:G156" si="34">SUM(B146:B155)</f>
        <v>259007</v>
      </c>
      <c r="C156" s="84">
        <f t="shared" si="34"/>
        <v>60680</v>
      </c>
      <c r="D156" s="84">
        <f t="shared" si="34"/>
        <v>66033.333333333343</v>
      </c>
      <c r="E156" s="84">
        <f t="shared" si="34"/>
        <v>73886.666666666657</v>
      </c>
      <c r="F156" s="84">
        <f t="shared" si="34"/>
        <v>86740</v>
      </c>
      <c r="G156" s="84">
        <f t="shared" si="34"/>
        <v>102093.33333333333</v>
      </c>
    </row>
    <row r="157" spans="1:7" x14ac:dyDescent="0.25">
      <c r="A157" s="93" t="s">
        <v>143</v>
      </c>
      <c r="B157" s="24" t="str">
        <f t="shared" ref="B157:C157" si="35">B1</f>
        <v>23-24 (FY24)</v>
      </c>
      <c r="C157" s="24" t="str">
        <f t="shared" si="35"/>
        <v>24-25 (FY25)</v>
      </c>
      <c r="D157" s="24" t="str">
        <f t="shared" ref="D157:G157" si="36">D1</f>
        <v>25-26 (FY26)</v>
      </c>
      <c r="E157" s="24" t="str">
        <f t="shared" si="36"/>
        <v>26-27 (FY27)</v>
      </c>
      <c r="F157" s="24" t="str">
        <f t="shared" si="36"/>
        <v>27-28 (FY28)</v>
      </c>
      <c r="G157" s="24" t="str">
        <f t="shared" si="36"/>
        <v>28-29 (FY29)</v>
      </c>
    </row>
    <row r="158" spans="1:7" x14ac:dyDescent="0.25">
      <c r="A158" s="40" t="s">
        <v>144</v>
      </c>
      <c r="B158" s="7">
        <f>'23-24'!I158</f>
        <v>6000</v>
      </c>
      <c r="C158" s="7">
        <f>'24-25'!I158</f>
        <v>8000</v>
      </c>
      <c r="D158" s="7">
        <f>'25-26'!I158</f>
        <v>12000</v>
      </c>
      <c r="E158" s="7">
        <f>'26-27'!I158</f>
        <v>12360</v>
      </c>
      <c r="F158" s="7">
        <f>'27-28'!I158</f>
        <v>12720</v>
      </c>
      <c r="G158" s="7">
        <f>'28-29'!I158</f>
        <v>13080.000000000002</v>
      </c>
    </row>
    <row r="159" spans="1:7" x14ac:dyDescent="0.25">
      <c r="A159" s="40" t="s">
        <v>145</v>
      </c>
      <c r="B159" s="7">
        <f>'23-24'!I159</f>
        <v>55460</v>
      </c>
      <c r="C159" s="7">
        <f>'24-25'!I159</f>
        <v>64125</v>
      </c>
      <c r="D159" s="7">
        <f>'25-26'!I159</f>
        <v>72000</v>
      </c>
      <c r="E159" s="7">
        <f>'26-27'!I159</f>
        <v>80025</v>
      </c>
      <c r="F159" s="7">
        <f>'27-28'!I159</f>
        <v>88200</v>
      </c>
      <c r="G159" s="7">
        <f>'28-29'!I159</f>
        <v>97500</v>
      </c>
    </row>
    <row r="160" spans="1:7" x14ac:dyDescent="0.25">
      <c r="A160" s="40" t="s">
        <v>343</v>
      </c>
      <c r="B160" s="7">
        <f>'23-24'!I160</f>
        <v>60000</v>
      </c>
      <c r="C160" s="7">
        <f>'24-25'!I160</f>
        <v>63000</v>
      </c>
      <c r="D160" s="7">
        <f>'25-26'!I160</f>
        <v>66150</v>
      </c>
      <c r="E160" s="7">
        <f>'26-27'!I160</f>
        <v>69457.5</v>
      </c>
      <c r="F160" s="7">
        <f>'27-28'!I160</f>
        <v>72930.375</v>
      </c>
      <c r="G160" s="7">
        <f>'28-29'!I160</f>
        <v>76576.893750000003</v>
      </c>
    </row>
    <row r="161" spans="1:7" x14ac:dyDescent="0.25">
      <c r="A161" s="40" t="s">
        <v>147</v>
      </c>
      <c r="B161" s="7">
        <f>'23-24'!I161</f>
        <v>0</v>
      </c>
      <c r="C161" s="7">
        <f>'24-25'!I161</f>
        <v>0</v>
      </c>
      <c r="D161" s="7">
        <f>'25-26'!I161</f>
        <v>0</v>
      </c>
      <c r="E161" s="7">
        <f>'26-27'!I161</f>
        <v>0</v>
      </c>
      <c r="F161" s="7">
        <f>'27-28'!I161</f>
        <v>0</v>
      </c>
      <c r="G161" s="7">
        <f>'28-29'!I161</f>
        <v>0</v>
      </c>
    </row>
    <row r="162" spans="1:7" x14ac:dyDescent="0.25">
      <c r="A162" s="40" t="s">
        <v>148</v>
      </c>
      <c r="B162" s="7">
        <f>'23-24'!I162</f>
        <v>58410</v>
      </c>
      <c r="C162" s="7">
        <f>'24-25'!I162</f>
        <v>66825</v>
      </c>
      <c r="D162" s="7">
        <f>'25-26'!I162</f>
        <v>74250</v>
      </c>
      <c r="E162" s="7">
        <f>'26-27'!I162</f>
        <v>81675</v>
      </c>
      <c r="F162" s="7">
        <f>'27-28'!I162</f>
        <v>89100</v>
      </c>
      <c r="G162" s="7">
        <f>'28-29'!I162</f>
        <v>96525</v>
      </c>
    </row>
    <row r="163" spans="1:7" x14ac:dyDescent="0.25">
      <c r="A163" s="40" t="s">
        <v>150</v>
      </c>
      <c r="B163" s="7">
        <f>'23-24'!I163</f>
        <v>7773</v>
      </c>
      <c r="C163" s="7">
        <f>'24-25'!I163</f>
        <v>8161.6500000000005</v>
      </c>
      <c r="D163" s="7">
        <f>'25-26'!I163</f>
        <v>8569.7325000000001</v>
      </c>
      <c r="E163" s="7">
        <f>'26-27'!I163</f>
        <v>8998.2191249999996</v>
      </c>
      <c r="F163" s="7">
        <f>'27-28'!I163</f>
        <v>9448.1300812499994</v>
      </c>
      <c r="G163" s="7">
        <f>'28-29'!I163</f>
        <v>9920.5365853125004</v>
      </c>
    </row>
    <row r="164" spans="1:7" x14ac:dyDescent="0.25">
      <c r="A164" s="40" t="s">
        <v>151</v>
      </c>
      <c r="B164" s="7">
        <f>'23-24'!I164</f>
        <v>56500</v>
      </c>
      <c r="C164" s="7">
        <f>'24-25'!I164</f>
        <v>59325</v>
      </c>
      <c r="D164" s="7">
        <f>'25-26'!I164</f>
        <v>62291.25</v>
      </c>
      <c r="E164" s="7">
        <f>'26-27'!I164</f>
        <v>65405.8125</v>
      </c>
      <c r="F164" s="7">
        <f>'27-28'!I164</f>
        <v>68676.103125000009</v>
      </c>
      <c r="G164" s="7">
        <f>'28-29'!I164</f>
        <v>72109.908281250013</v>
      </c>
    </row>
    <row r="165" spans="1:7" x14ac:dyDescent="0.25">
      <c r="A165" s="40" t="s">
        <v>152</v>
      </c>
      <c r="B165" s="7">
        <f>'23-24'!I165</f>
        <v>1500</v>
      </c>
      <c r="C165" s="7">
        <f>'24-25'!I165</f>
        <v>5500</v>
      </c>
      <c r="D165" s="7">
        <f>'25-26'!I165</f>
        <v>5500</v>
      </c>
      <c r="E165" s="7">
        <f>'26-27'!I165</f>
        <v>5500</v>
      </c>
      <c r="F165" s="7">
        <f>'27-28'!I165</f>
        <v>5500</v>
      </c>
      <c r="G165" s="7">
        <f>'28-29'!I165</f>
        <v>5500</v>
      </c>
    </row>
    <row r="166" spans="1:7" x14ac:dyDescent="0.25">
      <c r="A166" s="40" t="s">
        <v>153</v>
      </c>
      <c r="B166" s="7">
        <f>'23-24'!I166</f>
        <v>6620</v>
      </c>
      <c r="C166" s="7">
        <f>'24-25'!I166</f>
        <v>7470</v>
      </c>
      <c r="D166" s="7">
        <f>'25-26'!I166</f>
        <v>8220</v>
      </c>
      <c r="E166" s="7">
        <f>'26-27'!I166</f>
        <v>8970</v>
      </c>
      <c r="F166" s="7">
        <f>'27-28'!I166</f>
        <v>9720</v>
      </c>
      <c r="G166" s="7">
        <f>'28-29'!I166</f>
        <v>10470</v>
      </c>
    </row>
    <row r="167" spans="1:7" x14ac:dyDescent="0.25">
      <c r="A167" s="40" t="s">
        <v>155</v>
      </c>
      <c r="B167" s="7">
        <f>'23-24'!I167</f>
        <v>10884</v>
      </c>
      <c r="C167" s="7">
        <f>'24-25'!I167</f>
        <v>15000</v>
      </c>
      <c r="D167" s="7">
        <f>'25-26'!I167</f>
        <v>15000</v>
      </c>
      <c r="E167" s="7">
        <f>'26-27'!I167</f>
        <v>15000</v>
      </c>
      <c r="F167" s="7">
        <f>'27-28'!I167</f>
        <v>15000</v>
      </c>
      <c r="G167" s="7">
        <f>'28-29'!I167</f>
        <v>15000</v>
      </c>
    </row>
    <row r="168" spans="1:7" x14ac:dyDescent="0.25">
      <c r="A168" s="40" t="s">
        <v>156</v>
      </c>
      <c r="B168" s="7">
        <f>'23-24'!I168</f>
        <v>13476.975</v>
      </c>
      <c r="C168" s="7">
        <f>'24-25'!I168</f>
        <v>17186.325000000001</v>
      </c>
      <c r="D168" s="7">
        <f>'25-26'!I168</f>
        <v>19316.232916666668</v>
      </c>
      <c r="E168" s="7">
        <f>'26-27'!I168</f>
        <v>21492.034083333336</v>
      </c>
      <c r="F168" s="7">
        <f>'27-28'!I168</f>
        <v>23713.728499999997</v>
      </c>
      <c r="G168" s="7">
        <f>'28-29'!I168</f>
        <v>25981.316166666667</v>
      </c>
    </row>
    <row r="169" spans="1:7" x14ac:dyDescent="0.25">
      <c r="A169" s="40" t="s">
        <v>157</v>
      </c>
      <c r="B169" s="7">
        <f>'23-24'!I169</f>
        <v>10000</v>
      </c>
      <c r="C169" s="7">
        <f>'24-25'!I169</f>
        <v>10500</v>
      </c>
      <c r="D169" s="7">
        <f>'25-26'!I169</f>
        <v>11000</v>
      </c>
      <c r="E169" s="7">
        <f>'26-27'!I169</f>
        <v>11500</v>
      </c>
      <c r="F169" s="7">
        <f>'27-28'!I169</f>
        <v>12000</v>
      </c>
      <c r="G169" s="7">
        <f>'28-29'!I169</f>
        <v>12500</v>
      </c>
    </row>
    <row r="170" spans="1:7" x14ac:dyDescent="0.25">
      <c r="A170" s="40" t="s">
        <v>159</v>
      </c>
      <c r="B170" s="7">
        <f>'23-24'!I170</f>
        <v>0</v>
      </c>
      <c r="C170" s="7">
        <f>'24-25'!I170</f>
        <v>0</v>
      </c>
      <c r="D170" s="7">
        <f>'25-26'!I170</f>
        <v>0</v>
      </c>
      <c r="E170" s="7">
        <f>'26-27'!I170</f>
        <v>0</v>
      </c>
      <c r="F170" s="7">
        <f>'27-28'!I170</f>
        <v>0</v>
      </c>
      <c r="G170" s="7">
        <f>'28-29'!I170</f>
        <v>0</v>
      </c>
    </row>
    <row r="171" spans="1:7" x14ac:dyDescent="0.25">
      <c r="A171" s="96" t="s">
        <v>161</v>
      </c>
      <c r="B171" s="7">
        <f>'23-24'!I171</f>
        <v>13682.62</v>
      </c>
      <c r="C171" s="7">
        <f>'24-25'!I171</f>
        <v>12677.225</v>
      </c>
      <c r="D171" s="7">
        <f>'25-26'!I171</f>
        <v>13076.143250000001</v>
      </c>
      <c r="E171" s="7">
        <f>'26-27'!I171</f>
        <v>13484.24015</v>
      </c>
      <c r="F171" s="7">
        <f>'27-28'!I171</f>
        <v>18303.0314</v>
      </c>
      <c r="G171" s="7">
        <f>'28-29'!I171</f>
        <v>19155.9398</v>
      </c>
    </row>
    <row r="172" spans="1:7" x14ac:dyDescent="0.25">
      <c r="A172" s="83" t="s">
        <v>162</v>
      </c>
      <c r="B172" s="84">
        <f t="shared" ref="B172:G172" si="37">SUM(B158:B171)</f>
        <v>300306.59499999997</v>
      </c>
      <c r="C172" s="84">
        <f t="shared" si="37"/>
        <v>337770.2</v>
      </c>
      <c r="D172" s="84">
        <f t="shared" si="37"/>
        <v>367373.35866666673</v>
      </c>
      <c r="E172" s="84">
        <f t="shared" si="37"/>
        <v>393867.80585833336</v>
      </c>
      <c r="F172" s="84">
        <f t="shared" si="37"/>
        <v>425311.36810624995</v>
      </c>
      <c r="G172" s="84">
        <f t="shared" si="37"/>
        <v>454319.59458322922</v>
      </c>
    </row>
    <row r="173" spans="1:7" x14ac:dyDescent="0.25">
      <c r="A173" s="93" t="s">
        <v>163</v>
      </c>
      <c r="B173" s="24" t="str">
        <f t="shared" ref="B173:C173" si="38">B1</f>
        <v>23-24 (FY24)</v>
      </c>
      <c r="C173" s="24" t="str">
        <f t="shared" si="38"/>
        <v>24-25 (FY25)</v>
      </c>
      <c r="D173" s="24" t="str">
        <f t="shared" ref="D173:G173" si="39">D1</f>
        <v>25-26 (FY26)</v>
      </c>
      <c r="E173" s="24" t="str">
        <f t="shared" si="39"/>
        <v>26-27 (FY27)</v>
      </c>
      <c r="F173" s="24" t="str">
        <f t="shared" si="39"/>
        <v>27-28 (FY28)</v>
      </c>
      <c r="G173" s="24" t="str">
        <f t="shared" si="39"/>
        <v>28-29 (FY29)</v>
      </c>
    </row>
    <row r="174" spans="1:7" x14ac:dyDescent="0.25">
      <c r="A174" s="100" t="s">
        <v>164</v>
      </c>
      <c r="B174" s="7">
        <f>'23-24'!I174</f>
        <v>6000</v>
      </c>
      <c r="C174" s="7">
        <f>'24-25'!I174</f>
        <v>6180</v>
      </c>
      <c r="D174" s="7">
        <f>'25-26'!I174</f>
        <v>6365.4000000000005</v>
      </c>
      <c r="E174" s="7">
        <f>'26-27'!I174</f>
        <v>6556.362000000001</v>
      </c>
      <c r="F174" s="7">
        <f>'27-28'!I174</f>
        <v>6753.0528600000016</v>
      </c>
      <c r="G174" s="7">
        <f>'28-29'!I174</f>
        <v>6955.6444458000014</v>
      </c>
    </row>
    <row r="175" spans="1:7" x14ac:dyDescent="0.25">
      <c r="A175" s="40" t="s">
        <v>165</v>
      </c>
      <c r="B175" s="7">
        <f>'23-24'!I175</f>
        <v>7000</v>
      </c>
      <c r="C175" s="7">
        <f>'24-25'!I175</f>
        <v>7210</v>
      </c>
      <c r="D175" s="7">
        <f>'25-26'!I175</f>
        <v>7426.3</v>
      </c>
      <c r="E175" s="7">
        <f>'26-27'!I175</f>
        <v>7649.0889999999999</v>
      </c>
      <c r="F175" s="7">
        <f>'27-28'!I175</f>
        <v>7878.56167</v>
      </c>
      <c r="G175" s="7">
        <f>'28-29'!I175</f>
        <v>8114.9185201</v>
      </c>
    </row>
    <row r="176" spans="1:7" x14ac:dyDescent="0.25">
      <c r="A176" s="40" t="s">
        <v>166</v>
      </c>
      <c r="B176" s="7">
        <f>'23-24'!I176</f>
        <v>0</v>
      </c>
      <c r="C176" s="7">
        <f>'24-25'!I176</f>
        <v>0</v>
      </c>
      <c r="D176" s="7">
        <f>'25-26'!I176</f>
        <v>0</v>
      </c>
      <c r="E176" s="7">
        <f>'26-27'!I176</f>
        <v>0</v>
      </c>
      <c r="F176" s="7">
        <f>'27-28'!I176</f>
        <v>0</v>
      </c>
      <c r="G176" s="7">
        <f>'28-29'!I176</f>
        <v>0</v>
      </c>
    </row>
    <row r="177" spans="1:7" x14ac:dyDescent="0.25">
      <c r="A177" s="40" t="s">
        <v>167</v>
      </c>
      <c r="B177" s="7">
        <f>'23-24'!I177</f>
        <v>750</v>
      </c>
      <c r="C177" s="7">
        <f>'24-25'!I177</f>
        <v>1000</v>
      </c>
      <c r="D177" s="7">
        <f>'25-26'!I177</f>
        <v>1000</v>
      </c>
      <c r="E177" s="7">
        <f>'26-27'!I177</f>
        <v>1000</v>
      </c>
      <c r="F177" s="7">
        <f>'27-28'!I177</f>
        <v>1000</v>
      </c>
      <c r="G177" s="7">
        <f>'28-29'!I177</f>
        <v>1000</v>
      </c>
    </row>
    <row r="178" spans="1:7" x14ac:dyDescent="0.25">
      <c r="A178" s="40" t="s">
        <v>168</v>
      </c>
      <c r="B178" s="7">
        <f>'23-24'!I178</f>
        <v>5500</v>
      </c>
      <c r="C178" s="7">
        <f>'24-25'!I178</f>
        <v>5665</v>
      </c>
      <c r="D178" s="7">
        <f>'25-26'!I178</f>
        <v>5834.95</v>
      </c>
      <c r="E178" s="7">
        <f>'26-27'!I178</f>
        <v>6009.9984999999997</v>
      </c>
      <c r="F178" s="7">
        <f>'27-28'!I178</f>
        <v>6190.2984550000001</v>
      </c>
      <c r="G178" s="7">
        <f>'28-29'!I178</f>
        <v>6376.0074086499999</v>
      </c>
    </row>
    <row r="179" spans="1:7" x14ac:dyDescent="0.25">
      <c r="A179" s="40" t="s">
        <v>169</v>
      </c>
      <c r="B179" s="7">
        <f>'23-24'!I179</f>
        <v>24000</v>
      </c>
      <c r="C179" s="7">
        <f>'24-25'!I179</f>
        <v>25440</v>
      </c>
      <c r="D179" s="7">
        <f>'25-26'!I179</f>
        <v>26966.400000000001</v>
      </c>
      <c r="E179" s="7">
        <f>'26-27'!I179</f>
        <v>28584.384000000002</v>
      </c>
      <c r="F179" s="7">
        <f>'27-28'!I179</f>
        <v>30299.447040000003</v>
      </c>
      <c r="G179" s="7">
        <f>'28-29'!I179</f>
        <v>31208.430451200005</v>
      </c>
    </row>
    <row r="180" spans="1:7" x14ac:dyDescent="0.25">
      <c r="A180" s="40" t="s">
        <v>170</v>
      </c>
      <c r="B180" s="7">
        <f>'23-24'!I180</f>
        <v>8783.2000000000007</v>
      </c>
      <c r="C180" s="7">
        <f>'24-25'!I180</f>
        <v>8837.5</v>
      </c>
      <c r="D180" s="7">
        <f>'25-26'!I180</f>
        <v>8875</v>
      </c>
      <c r="E180" s="7">
        <f>'26-27'!I180</f>
        <v>8912.5</v>
      </c>
      <c r="F180" s="7">
        <f>'27-28'!I180</f>
        <v>8950</v>
      </c>
      <c r="G180" s="7">
        <f>'28-29'!I180</f>
        <v>8987.5</v>
      </c>
    </row>
    <row r="181" spans="1:7" x14ac:dyDescent="0.25">
      <c r="A181" s="40" t="s">
        <v>171</v>
      </c>
      <c r="B181" s="7">
        <f>'23-24'!I181</f>
        <v>10416</v>
      </c>
      <c r="C181" s="7">
        <f>'24-25'!I181</f>
        <v>11040.960000000001</v>
      </c>
      <c r="D181" s="7">
        <f>'25-26'!I181</f>
        <v>11703.417600000002</v>
      </c>
      <c r="E181" s="7">
        <f>'26-27'!I181</f>
        <v>12405.622656000003</v>
      </c>
      <c r="F181" s="7">
        <f>'27-28'!I181</f>
        <v>13149.960015360004</v>
      </c>
      <c r="G181" s="7">
        <f>'28-29'!I181</f>
        <v>13938.957616281605</v>
      </c>
    </row>
    <row r="182" spans="1:7" x14ac:dyDescent="0.25">
      <c r="A182" s="40" t="s">
        <v>172</v>
      </c>
      <c r="B182" s="7">
        <f>'23-24'!I182</f>
        <v>9114</v>
      </c>
      <c r="C182" s="7">
        <f>'24-25'!I182</f>
        <v>9660.84</v>
      </c>
      <c r="D182" s="7">
        <f>'25-26'!I182</f>
        <v>10240.490400000001</v>
      </c>
      <c r="E182" s="7">
        <f>'26-27'!I182</f>
        <v>10854.919824000001</v>
      </c>
      <c r="F182" s="7">
        <f>'27-28'!I182</f>
        <v>11506.215013440002</v>
      </c>
      <c r="G182" s="7">
        <f>'28-29'!I182</f>
        <v>12196.587914246402</v>
      </c>
    </row>
    <row r="183" spans="1:7" x14ac:dyDescent="0.25">
      <c r="A183" s="40" t="s">
        <v>173</v>
      </c>
      <c r="B183" s="7">
        <f>'23-24'!I183</f>
        <v>13020</v>
      </c>
      <c r="C183" s="7">
        <f>'24-25'!I183</f>
        <v>13801.2</v>
      </c>
      <c r="D183" s="7">
        <f>'25-26'!I183</f>
        <v>14629.272000000001</v>
      </c>
      <c r="E183" s="7">
        <f>'26-27'!I183</f>
        <v>15507.028320000001</v>
      </c>
      <c r="F183" s="7">
        <f>'27-28'!I183</f>
        <v>16437.450019200001</v>
      </c>
      <c r="G183" s="7">
        <f>'28-29'!I183</f>
        <v>17423.697020352003</v>
      </c>
    </row>
    <row r="184" spans="1:7" x14ac:dyDescent="0.25">
      <c r="A184" s="40" t="s">
        <v>174</v>
      </c>
      <c r="B184" s="7">
        <f>'23-24'!I184</f>
        <v>36177.667200000004</v>
      </c>
      <c r="C184" s="7">
        <f>'24-25'!I184</f>
        <v>58320</v>
      </c>
      <c r="D184" s="7">
        <f>'25-26'!I184</f>
        <v>64800</v>
      </c>
      <c r="E184" s="7">
        <f>'26-27'!I184</f>
        <v>71280</v>
      </c>
      <c r="F184" s="7">
        <f>'27-28'!I184</f>
        <v>77760</v>
      </c>
      <c r="G184" s="7">
        <f>'28-29'!I184</f>
        <v>84240</v>
      </c>
    </row>
    <row r="185" spans="1:7" x14ac:dyDescent="0.25">
      <c r="A185" s="40" t="s">
        <v>175</v>
      </c>
      <c r="B185" s="7">
        <f>'23-24'!I185</f>
        <v>56527.605000000003</v>
      </c>
      <c r="C185" s="7">
        <f>'24-25'!I185</f>
        <v>91125</v>
      </c>
      <c r="D185" s="7">
        <f>'25-26'!I185</f>
        <v>101250</v>
      </c>
      <c r="E185" s="7">
        <f>'26-27'!I185</f>
        <v>111375</v>
      </c>
      <c r="F185" s="7">
        <f>'27-28'!I185</f>
        <v>121500</v>
      </c>
      <c r="G185" s="7">
        <f>'28-29'!I185</f>
        <v>131625</v>
      </c>
    </row>
    <row r="186" spans="1:7" x14ac:dyDescent="0.25">
      <c r="A186" s="40" t="s">
        <v>176</v>
      </c>
      <c r="B186" s="7">
        <f>'23-24'!I186</f>
        <v>5000</v>
      </c>
      <c r="C186" s="7">
        <f>'24-25'!I186</f>
        <v>5000</v>
      </c>
      <c r="D186" s="7">
        <f>'25-26'!I186</f>
        <v>5000</v>
      </c>
      <c r="E186" s="7">
        <f>'26-27'!I186</f>
        <v>5000</v>
      </c>
      <c r="F186" s="7">
        <f>'27-28'!I186</f>
        <v>5000</v>
      </c>
      <c r="G186" s="7">
        <f>'28-29'!I186</f>
        <v>5000</v>
      </c>
    </row>
    <row r="187" spans="1:7" x14ac:dyDescent="0.25">
      <c r="A187" s="40" t="s">
        <v>177</v>
      </c>
      <c r="B187" s="7">
        <f>'23-24'!I187</f>
        <v>500</v>
      </c>
      <c r="C187" s="7">
        <f>'24-25'!I187</f>
        <v>1500</v>
      </c>
      <c r="D187" s="7">
        <f>'25-26'!I187</f>
        <v>1500</v>
      </c>
      <c r="E187" s="7">
        <f>'26-27'!I187</f>
        <v>1500</v>
      </c>
      <c r="F187" s="7">
        <f>'27-28'!I187</f>
        <v>1500</v>
      </c>
      <c r="G187" s="7">
        <f>'28-29'!I187</f>
        <v>1500</v>
      </c>
    </row>
    <row r="188" spans="1:7" x14ac:dyDescent="0.25">
      <c r="A188" s="40" t="s">
        <v>178</v>
      </c>
      <c r="B188" s="7">
        <f>'23-24'!I188</f>
        <v>900</v>
      </c>
      <c r="C188" s="7">
        <f>'24-25'!I188</f>
        <v>1200</v>
      </c>
      <c r="D188" s="7">
        <f>'25-26'!I188</f>
        <v>1200</v>
      </c>
      <c r="E188" s="7">
        <f>'26-27'!I188</f>
        <v>1200</v>
      </c>
      <c r="F188" s="7">
        <f>'27-28'!I188</f>
        <v>1200</v>
      </c>
      <c r="G188" s="7">
        <f>'28-29'!I188</f>
        <v>1200</v>
      </c>
    </row>
    <row r="189" spans="1:7" x14ac:dyDescent="0.25">
      <c r="A189" s="40" t="s">
        <v>179</v>
      </c>
      <c r="B189" s="7">
        <f>'23-24'!I189</f>
        <v>5500</v>
      </c>
      <c r="C189" s="7">
        <f>'24-25'!I189</f>
        <v>5000</v>
      </c>
      <c r="D189" s="7">
        <f>'25-26'!I189</f>
        <v>10000</v>
      </c>
      <c r="E189" s="7">
        <f>'26-27'!I189</f>
        <v>10000</v>
      </c>
      <c r="F189" s="7">
        <f>'27-28'!I189</f>
        <v>10000</v>
      </c>
      <c r="G189" s="7">
        <f>'28-29'!I189</f>
        <v>10000</v>
      </c>
    </row>
    <row r="190" spans="1:7" x14ac:dyDescent="0.25">
      <c r="A190" s="40" t="s">
        <v>180</v>
      </c>
      <c r="B190" s="7">
        <f>'23-24'!I190</f>
        <v>0</v>
      </c>
      <c r="C190" s="7">
        <f>'24-25'!I190</f>
        <v>0</v>
      </c>
      <c r="D190" s="7">
        <f>'25-26'!I190</f>
        <v>0</v>
      </c>
      <c r="E190" s="7">
        <f>'26-27'!I190</f>
        <v>0</v>
      </c>
      <c r="F190" s="7">
        <f>'27-28'!I190</f>
        <v>0</v>
      </c>
      <c r="G190" s="7">
        <f>'28-29'!I190</f>
        <v>0</v>
      </c>
    </row>
    <row r="191" spans="1:7" x14ac:dyDescent="0.25">
      <c r="A191" s="40" t="s">
        <v>181</v>
      </c>
      <c r="B191" s="7">
        <f>'23-24'!I191</f>
        <v>0</v>
      </c>
      <c r="C191" s="7">
        <f>'24-25'!I191</f>
        <v>0</v>
      </c>
      <c r="D191" s="7">
        <f>'25-26'!I191</f>
        <v>5000</v>
      </c>
      <c r="E191" s="7">
        <f>'26-27'!I191</f>
        <v>5000</v>
      </c>
      <c r="F191" s="7">
        <f>'27-28'!I191</f>
        <v>5000</v>
      </c>
      <c r="G191" s="7">
        <f>'28-29'!I191</f>
        <v>5000</v>
      </c>
    </row>
    <row r="192" spans="1:7" x14ac:dyDescent="0.25">
      <c r="A192" s="40" t="s">
        <v>182</v>
      </c>
      <c r="B192" s="7">
        <f>'23-24'!I192</f>
        <v>0</v>
      </c>
      <c r="C192" s="7">
        <f>'24-25'!I192</f>
        <v>0</v>
      </c>
      <c r="D192" s="7">
        <f>'25-26'!I192</f>
        <v>0</v>
      </c>
      <c r="E192" s="7">
        <f>'26-27'!I192</f>
        <v>0</v>
      </c>
      <c r="F192" s="7">
        <f>'27-28'!I192</f>
        <v>0</v>
      </c>
      <c r="G192" s="7">
        <f>'28-29'!I192</f>
        <v>0</v>
      </c>
    </row>
    <row r="193" spans="1:11" x14ac:dyDescent="0.25">
      <c r="A193" s="40" t="s">
        <v>183</v>
      </c>
      <c r="B193" s="7">
        <f>'23-24'!I193</f>
        <v>0</v>
      </c>
      <c r="C193" s="7">
        <f>'24-25'!I193</f>
        <v>0</v>
      </c>
      <c r="D193" s="7">
        <f>'25-26'!I193</f>
        <v>0</v>
      </c>
      <c r="E193" s="7">
        <f>'26-27'!I193</f>
        <v>0</v>
      </c>
      <c r="F193" s="7">
        <f>'27-28'!I193</f>
        <v>0</v>
      </c>
      <c r="G193" s="7">
        <f>'28-29'!I193</f>
        <v>0</v>
      </c>
    </row>
    <row r="194" spans="1:11" x14ac:dyDescent="0.25">
      <c r="A194" s="40" t="s">
        <v>184</v>
      </c>
      <c r="B194" s="7">
        <f>'23-24'!I194</f>
        <v>0</v>
      </c>
      <c r="C194" s="7">
        <f>'24-25'!I194</f>
        <v>0</v>
      </c>
      <c r="D194" s="7">
        <f>'25-26'!I194</f>
        <v>0</v>
      </c>
      <c r="E194" s="7">
        <f>'26-27'!I194</f>
        <v>0</v>
      </c>
      <c r="F194" s="7">
        <f>'27-28'!I194</f>
        <v>0</v>
      </c>
      <c r="G194" s="7">
        <f>'28-29'!I194</f>
        <v>0</v>
      </c>
    </row>
    <row r="195" spans="1:11" x14ac:dyDescent="0.25">
      <c r="A195" s="40" t="s">
        <v>185</v>
      </c>
      <c r="B195" s="7">
        <f>'23-24'!I195</f>
        <v>0</v>
      </c>
      <c r="C195" s="7">
        <f>'24-25'!I195</f>
        <v>0</v>
      </c>
      <c r="D195" s="7">
        <f>'25-26'!I195</f>
        <v>0</v>
      </c>
      <c r="E195" s="7">
        <f>'26-27'!I195</f>
        <v>0</v>
      </c>
      <c r="F195" s="7">
        <f>'27-28'!I195</f>
        <v>0</v>
      </c>
      <c r="G195" s="7">
        <f>'28-29'!I195</f>
        <v>0</v>
      </c>
    </row>
    <row r="196" spans="1:11" x14ac:dyDescent="0.25">
      <c r="A196" s="40" t="s">
        <v>362</v>
      </c>
      <c r="B196" s="7">
        <f>'23-24'!I196</f>
        <v>0</v>
      </c>
      <c r="C196" s="7">
        <f>'24-25'!I196</f>
        <v>0</v>
      </c>
      <c r="D196" s="7">
        <f>'25-26'!I196</f>
        <v>0</v>
      </c>
      <c r="E196" s="7">
        <f>'26-27'!I196</f>
        <v>0</v>
      </c>
      <c r="F196" s="7">
        <f>'27-28'!I196</f>
        <v>0</v>
      </c>
      <c r="G196" s="7">
        <f>'28-29'!I196</f>
        <v>0</v>
      </c>
      <c r="K196" s="18"/>
    </row>
    <row r="197" spans="1:11" x14ac:dyDescent="0.25">
      <c r="A197" s="40" t="s">
        <v>186</v>
      </c>
      <c r="B197" s="7">
        <f>'23-24'!I197</f>
        <v>7000</v>
      </c>
      <c r="C197" s="7">
        <f>'24-25'!I197</f>
        <v>10000</v>
      </c>
      <c r="D197" s="7">
        <f>'25-26'!I197</f>
        <v>10000</v>
      </c>
      <c r="E197" s="7">
        <f>'26-27'!I197</f>
        <v>10000</v>
      </c>
      <c r="F197" s="7">
        <f>'27-28'!I197</f>
        <v>10000</v>
      </c>
      <c r="G197" s="7">
        <f>'28-29'!I197</f>
        <v>10000</v>
      </c>
    </row>
    <row r="198" spans="1:11" x14ac:dyDescent="0.25">
      <c r="A198" s="96" t="s">
        <v>187</v>
      </c>
      <c r="B198" s="7">
        <f>'23-24'!I198</f>
        <v>0</v>
      </c>
      <c r="C198" s="7">
        <f>'24-25'!I198</f>
        <v>0</v>
      </c>
      <c r="D198" s="7">
        <f>'25-26'!I198</f>
        <v>0</v>
      </c>
      <c r="E198" s="7">
        <f>'26-27'!I198</f>
        <v>0</v>
      </c>
      <c r="F198" s="7">
        <f>'27-28'!I198</f>
        <v>0</v>
      </c>
      <c r="G198" s="7">
        <f>'28-29'!I198</f>
        <v>0</v>
      </c>
    </row>
    <row r="199" spans="1:11" x14ac:dyDescent="0.25">
      <c r="A199" s="83" t="s">
        <v>188</v>
      </c>
      <c r="B199" s="84">
        <f t="shared" ref="B199:G199" si="40">SUM(B174:B198)</f>
        <v>196188.47220000002</v>
      </c>
      <c r="C199" s="84">
        <f t="shared" si="40"/>
        <v>260980.5</v>
      </c>
      <c r="D199" s="84">
        <f t="shared" si="40"/>
        <v>291791.23</v>
      </c>
      <c r="E199" s="84">
        <f t="shared" si="40"/>
        <v>312834.90429999999</v>
      </c>
      <c r="F199" s="84">
        <f t="shared" si="40"/>
        <v>334124.98507300002</v>
      </c>
      <c r="G199" s="84">
        <f t="shared" si="40"/>
        <v>354766.74337663001</v>
      </c>
    </row>
    <row r="200" spans="1:11" x14ac:dyDescent="0.25">
      <c r="A200" s="93" t="s">
        <v>189</v>
      </c>
      <c r="B200" s="24" t="str">
        <f t="shared" ref="B200:C200" si="41">B1</f>
        <v>23-24 (FY24)</v>
      </c>
      <c r="C200" s="24" t="str">
        <f t="shared" si="41"/>
        <v>24-25 (FY25)</v>
      </c>
      <c r="D200" s="24" t="str">
        <f t="shared" ref="D200:G200" si="42">D1</f>
        <v>25-26 (FY26)</v>
      </c>
      <c r="E200" s="24" t="str">
        <f t="shared" si="42"/>
        <v>26-27 (FY27)</v>
      </c>
      <c r="F200" s="24" t="str">
        <f t="shared" si="42"/>
        <v>27-28 (FY28)</v>
      </c>
      <c r="G200" s="24" t="str">
        <f t="shared" si="42"/>
        <v>28-29 (FY29)</v>
      </c>
    </row>
    <row r="201" spans="1:11" x14ac:dyDescent="0.25">
      <c r="A201" s="100" t="s">
        <v>190</v>
      </c>
      <c r="B201" s="7">
        <f>'23-24'!I201</f>
        <v>30000</v>
      </c>
      <c r="C201" s="7">
        <f>'24-25'!I201</f>
        <v>44000</v>
      </c>
      <c r="D201" s="7">
        <f>'25-26'!I201</f>
        <v>45320</v>
      </c>
      <c r="E201" s="7">
        <f>'26-27'!I201</f>
        <v>46679.6</v>
      </c>
      <c r="F201" s="7">
        <f>'27-28'!I201</f>
        <v>48079.987999999998</v>
      </c>
      <c r="G201" s="7">
        <f>'28-29'!I201</f>
        <v>49522.387640000001</v>
      </c>
    </row>
    <row r="202" spans="1:11" x14ac:dyDescent="0.25">
      <c r="A202" s="40" t="s">
        <v>193</v>
      </c>
      <c r="B202" s="7">
        <f>'23-24'!I202</f>
        <v>720</v>
      </c>
      <c r="C202" s="7">
        <f>'24-25'!I202</f>
        <v>800</v>
      </c>
      <c r="D202" s="7">
        <f>'25-26'!I202</f>
        <v>824</v>
      </c>
      <c r="E202" s="7">
        <f>'26-27'!I202</f>
        <v>848.72</v>
      </c>
      <c r="F202" s="7">
        <f>'27-28'!I202</f>
        <v>874.1816</v>
      </c>
      <c r="G202" s="7">
        <f>'28-29'!I202</f>
        <v>900.40704800000003</v>
      </c>
    </row>
    <row r="203" spans="1:11" x14ac:dyDescent="0.25">
      <c r="A203" s="40" t="s">
        <v>196</v>
      </c>
      <c r="B203" s="7">
        <f>'23-24'!I203</f>
        <v>7200</v>
      </c>
      <c r="C203" s="7">
        <f>'24-25'!I203</f>
        <v>11000</v>
      </c>
      <c r="D203" s="7">
        <f>'25-26'!I203</f>
        <v>11330</v>
      </c>
      <c r="E203" s="7">
        <f>'26-27'!I203</f>
        <v>11669.9</v>
      </c>
      <c r="F203" s="7">
        <f>'27-28'!I203</f>
        <v>12019.996999999999</v>
      </c>
      <c r="G203" s="7">
        <f>'28-29'!I203</f>
        <v>12380.59691</v>
      </c>
    </row>
    <row r="204" spans="1:11" x14ac:dyDescent="0.25">
      <c r="A204" s="40" t="s">
        <v>198</v>
      </c>
      <c r="B204" s="7">
        <f>'23-24'!I204</f>
        <v>3000</v>
      </c>
      <c r="C204" s="7">
        <f>'24-25'!I204</f>
        <v>4000</v>
      </c>
      <c r="D204" s="7">
        <f>'25-26'!I204</f>
        <v>4120</v>
      </c>
      <c r="E204" s="7">
        <f>'26-27'!I204</f>
        <v>4243.6000000000004</v>
      </c>
      <c r="F204" s="7">
        <f>'27-28'!I204</f>
        <v>4370.9080000000004</v>
      </c>
      <c r="G204" s="7">
        <f>'28-29'!I204</f>
        <v>4502.0352400000002</v>
      </c>
    </row>
    <row r="205" spans="1:11" x14ac:dyDescent="0.25">
      <c r="A205" s="40" t="s">
        <v>199</v>
      </c>
      <c r="B205" s="7">
        <f>'23-24'!I205</f>
        <v>1000</v>
      </c>
      <c r="C205" s="7">
        <f>'24-25'!I205</f>
        <v>1000</v>
      </c>
      <c r="D205" s="7">
        <f>'25-26'!I205</f>
        <v>1030</v>
      </c>
      <c r="E205" s="7">
        <f>'26-27'!I205</f>
        <v>1060.9000000000001</v>
      </c>
      <c r="F205" s="7">
        <f>'27-28'!I205</f>
        <v>1092.7270000000001</v>
      </c>
      <c r="G205" s="7">
        <f>'28-29'!I205</f>
        <v>1125.50881</v>
      </c>
    </row>
    <row r="206" spans="1:11" x14ac:dyDescent="0.25">
      <c r="A206" s="40" t="s">
        <v>201</v>
      </c>
      <c r="B206" s="7">
        <f>'23-24'!I206</f>
        <v>12000</v>
      </c>
      <c r="C206" s="7">
        <f>'24-25'!I206</f>
        <v>12000</v>
      </c>
      <c r="D206" s="7">
        <f>'25-26'!I206</f>
        <v>12360</v>
      </c>
      <c r="E206" s="7">
        <f>'26-27'!I206</f>
        <v>12730.800000000001</v>
      </c>
      <c r="F206" s="7">
        <f>'27-28'!I206</f>
        <v>13112.724000000002</v>
      </c>
      <c r="G206" s="7">
        <f>'28-29'!I206</f>
        <v>13506.105720000003</v>
      </c>
    </row>
    <row r="207" spans="1:11" x14ac:dyDescent="0.25">
      <c r="A207" s="40" t="s">
        <v>203</v>
      </c>
      <c r="B207" s="7">
        <f>'23-24'!I207</f>
        <v>12500</v>
      </c>
      <c r="C207" s="7">
        <f>'24-25'!I207</f>
        <v>12500</v>
      </c>
      <c r="D207" s="7">
        <f>'25-26'!I207</f>
        <v>15000</v>
      </c>
      <c r="E207" s="7">
        <f>'26-27'!I207</f>
        <v>15000</v>
      </c>
      <c r="F207" s="7">
        <f>'27-28'!I207</f>
        <v>15000</v>
      </c>
      <c r="G207" s="7">
        <f>'28-29'!I207</f>
        <v>15000</v>
      </c>
    </row>
    <row r="208" spans="1:11" x14ac:dyDescent="0.25">
      <c r="A208" s="40" t="s">
        <v>204</v>
      </c>
      <c r="B208" s="7">
        <f>'23-24'!I208</f>
        <v>0</v>
      </c>
      <c r="C208" s="7">
        <f>'24-25'!I208</f>
        <v>0</v>
      </c>
      <c r="D208" s="7">
        <f>'25-26'!I208</f>
        <v>0</v>
      </c>
      <c r="E208" s="7">
        <f>'26-27'!I208</f>
        <v>0</v>
      </c>
      <c r="F208" s="7">
        <f>'27-28'!I208</f>
        <v>0</v>
      </c>
      <c r="G208" s="7">
        <f>'28-29'!I208</f>
        <v>0</v>
      </c>
    </row>
    <row r="209" spans="1:7" x14ac:dyDescent="0.25">
      <c r="A209" s="40" t="s">
        <v>205</v>
      </c>
      <c r="B209" s="7">
        <f>'23-24'!I209</f>
        <v>0</v>
      </c>
      <c r="C209" s="7">
        <f>'24-25'!I209</f>
        <v>0</v>
      </c>
      <c r="D209" s="7">
        <f>'25-26'!I209</f>
        <v>0</v>
      </c>
      <c r="E209" s="7">
        <f>'26-27'!I209</f>
        <v>0</v>
      </c>
      <c r="F209" s="7">
        <f>'27-28'!I209</f>
        <v>0</v>
      </c>
      <c r="G209" s="7">
        <f>'28-29'!I209</f>
        <v>0</v>
      </c>
    </row>
    <row r="210" spans="1:7" x14ac:dyDescent="0.25">
      <c r="A210" s="96" t="s">
        <v>206</v>
      </c>
      <c r="B210" s="7">
        <f>'23-24'!I210</f>
        <v>2500</v>
      </c>
      <c r="C210" s="7">
        <f>'24-25'!I210</f>
        <v>2500</v>
      </c>
      <c r="D210" s="7">
        <f>'25-26'!I210</f>
        <v>5000</v>
      </c>
      <c r="E210" s="7">
        <f>'26-27'!I210</f>
        <v>5000</v>
      </c>
      <c r="F210" s="7">
        <f>'27-28'!I210</f>
        <v>5000</v>
      </c>
      <c r="G210" s="7">
        <f>'28-29'!I210</f>
        <v>5000</v>
      </c>
    </row>
    <row r="211" spans="1:7" x14ac:dyDescent="0.25">
      <c r="A211" s="83" t="s">
        <v>207</v>
      </c>
      <c r="B211" s="84">
        <f t="shared" ref="B211:C211" si="43">SUM(B201:B210)</f>
        <v>68920</v>
      </c>
      <c r="C211" s="84">
        <f t="shared" si="43"/>
        <v>87800</v>
      </c>
      <c r="D211" s="84">
        <f t="shared" ref="D211:G211" si="44">SUM(D201:D210)</f>
        <v>94984</v>
      </c>
      <c r="E211" s="84">
        <f t="shared" si="44"/>
        <v>97233.52</v>
      </c>
      <c r="F211" s="84">
        <f t="shared" si="44"/>
        <v>99550.525600000008</v>
      </c>
      <c r="G211" s="84">
        <f t="shared" si="44"/>
        <v>101937.04136800001</v>
      </c>
    </row>
    <row r="212" spans="1:7" x14ac:dyDescent="0.25">
      <c r="A212" s="105"/>
      <c r="B212" s="7"/>
      <c r="C212" s="7"/>
      <c r="D212" s="7"/>
      <c r="E212" s="7"/>
      <c r="F212" s="7"/>
      <c r="G212" s="7"/>
    </row>
    <row r="213" spans="1:7" x14ac:dyDescent="0.25">
      <c r="A213" s="83" t="s">
        <v>208</v>
      </c>
      <c r="B213" s="84">
        <f t="shared" ref="B213:G213" si="45">B144+B156+B172+B199+B211</f>
        <v>1905866.9436999999</v>
      </c>
      <c r="C213" s="84">
        <f t="shared" si="45"/>
        <v>1888424.3840000001</v>
      </c>
      <c r="D213" s="84">
        <f t="shared" si="45"/>
        <v>2072269.9050320003</v>
      </c>
      <c r="E213" s="84">
        <f t="shared" si="45"/>
        <v>2155889.44323572</v>
      </c>
      <c r="F213" s="84">
        <f t="shared" si="45"/>
        <v>2245815.1901181843</v>
      </c>
      <c r="G213" s="84">
        <f t="shared" si="45"/>
        <v>2334960.416284828</v>
      </c>
    </row>
    <row r="214" spans="1:7" x14ac:dyDescent="0.25">
      <c r="A214" s="106"/>
      <c r="B214" s="64"/>
      <c r="C214" s="64"/>
      <c r="D214" s="64"/>
      <c r="E214" s="64"/>
      <c r="F214" s="64"/>
      <c r="G214" s="64"/>
    </row>
    <row r="215" spans="1:7" x14ac:dyDescent="0.25">
      <c r="A215" s="55" t="s">
        <v>209</v>
      </c>
      <c r="B215" s="12">
        <f>'23-24'!I215</f>
        <v>59000</v>
      </c>
      <c r="C215" s="12">
        <f>'24-25'!I215</f>
        <v>67500</v>
      </c>
      <c r="D215" s="12">
        <f>'25-26'!I215</f>
        <v>82500</v>
      </c>
      <c r="E215" s="12">
        <f>'26-27'!I215</f>
        <v>90750</v>
      </c>
      <c r="F215" s="12">
        <f>'27-28'!I215</f>
        <v>99000</v>
      </c>
      <c r="G215" s="12">
        <f>'28-29'!I215</f>
        <v>117975</v>
      </c>
    </row>
    <row r="216" spans="1:7" x14ac:dyDescent="0.25">
      <c r="A216" s="55" t="s">
        <v>210</v>
      </c>
      <c r="B216" s="7">
        <f>'23-24'!I216</f>
        <v>0</v>
      </c>
      <c r="C216" s="7">
        <f>'24-25'!I216</f>
        <v>0</v>
      </c>
      <c r="D216" s="7">
        <f>'25-26'!I216</f>
        <v>0</v>
      </c>
      <c r="E216" s="7">
        <f>'26-27'!I216</f>
        <v>0</v>
      </c>
      <c r="F216" s="7">
        <f>'27-28'!I216</f>
        <v>0</v>
      </c>
      <c r="G216" s="7">
        <f>'28-29'!I216</f>
        <v>0</v>
      </c>
    </row>
    <row r="217" spans="1:7" x14ac:dyDescent="0.25">
      <c r="A217" s="55" t="s">
        <v>211</v>
      </c>
      <c r="B217" s="7">
        <f>'23-24'!I217</f>
        <v>0</v>
      </c>
      <c r="C217" s="7">
        <f>'24-25'!I217</f>
        <v>0</v>
      </c>
      <c r="D217" s="7">
        <f>'25-26'!I217</f>
        <v>0</v>
      </c>
      <c r="E217" s="7">
        <f>'26-27'!I217</f>
        <v>0</v>
      </c>
      <c r="F217" s="7">
        <f>'27-28'!I217</f>
        <v>0</v>
      </c>
      <c r="G217" s="7">
        <f>'28-29'!I217</f>
        <v>0</v>
      </c>
    </row>
    <row r="218" spans="1:7" x14ac:dyDescent="0.25">
      <c r="A218" s="55" t="s">
        <v>212</v>
      </c>
      <c r="B218" s="7">
        <f>'23-24'!I218</f>
        <v>0</v>
      </c>
      <c r="C218" s="7">
        <f>'24-25'!I218</f>
        <v>0</v>
      </c>
      <c r="D218" s="7">
        <f>'25-26'!I218</f>
        <v>0</v>
      </c>
      <c r="E218" s="7">
        <f>'26-27'!I218</f>
        <v>0</v>
      </c>
      <c r="F218" s="7">
        <f>'27-28'!I218</f>
        <v>0</v>
      </c>
      <c r="G218" s="7">
        <f>'28-29'!I218</f>
        <v>0</v>
      </c>
    </row>
    <row r="219" spans="1:7" x14ac:dyDescent="0.25">
      <c r="A219" s="55"/>
      <c r="B219" s="12">
        <v>0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</row>
    <row r="220" spans="1:7" ht="15.75" thickBot="1" x14ac:dyDescent="0.3">
      <c r="A220" s="40"/>
      <c r="B220" s="47"/>
      <c r="C220" s="47"/>
      <c r="D220" s="47"/>
      <c r="E220" s="47"/>
      <c r="F220" s="47"/>
      <c r="G220" s="47"/>
    </row>
    <row r="221" spans="1:7" ht="15.75" thickBot="1" x14ac:dyDescent="0.3">
      <c r="A221" s="107" t="s">
        <v>213</v>
      </c>
      <c r="B221" s="234">
        <f t="shared" ref="B221:C221" si="46">B98-B213-B215-B216-B218-B217</f>
        <v>0.41194000001996756</v>
      </c>
      <c r="C221" s="108">
        <f t="shared" si="46"/>
        <v>-0.3840000000782311</v>
      </c>
      <c r="D221" s="108">
        <f t="shared" ref="D221:G221" si="47">D98-D213-D215-D216-D218-D217</f>
        <v>-0.38280977797694504</v>
      </c>
      <c r="E221" s="108">
        <f t="shared" si="47"/>
        <v>-0.4665690534748137</v>
      </c>
      <c r="F221" s="108">
        <f t="shared" si="47"/>
        <v>1.9048482179641724E-2</v>
      </c>
      <c r="G221" s="108">
        <f t="shared" si="47"/>
        <v>78006.369340172037</v>
      </c>
    </row>
    <row r="222" spans="1:7" x14ac:dyDescent="0.25">
      <c r="A222" s="109"/>
      <c r="B222" s="110">
        <f t="shared" ref="B222:C222" si="48">B221/(B98)</f>
        <v>2.0965282915283092E-7</v>
      </c>
      <c r="C222" s="110">
        <f t="shared" si="48"/>
        <v>-1.9632664667861894E-7</v>
      </c>
      <c r="D222" s="110">
        <f t="shared" ref="D222:G222" si="49">D221/(D98)</f>
        <v>-1.7765694847129256E-7</v>
      </c>
      <c r="E222" s="110">
        <f t="shared" si="49"/>
        <v>-2.0767424509257879E-7</v>
      </c>
      <c r="F222" s="110">
        <f t="shared" si="49"/>
        <v>8.1236602804241634E-9</v>
      </c>
      <c r="G222" s="110">
        <f t="shared" si="49"/>
        <v>3.0821083986690298E-2</v>
      </c>
    </row>
    <row r="223" spans="1:7" x14ac:dyDescent="0.25">
      <c r="B223" s="111"/>
      <c r="C223" s="111"/>
      <c r="D223" s="111"/>
      <c r="E223" s="111"/>
      <c r="F223" s="111"/>
      <c r="G223" s="111"/>
    </row>
    <row r="224" spans="1:7" x14ac:dyDescent="0.25">
      <c r="A224" s="1" t="str">
        <f t="shared" ref="A224:B224" si="50">A1</f>
        <v>Young Women's Leadership Academy (YWLA)</v>
      </c>
      <c r="B224" s="1" t="str">
        <f t="shared" si="50"/>
        <v>23-24 (FY24)</v>
      </c>
      <c r="C224" s="1" t="str">
        <f t="shared" ref="C224:G224" si="51">C1</f>
        <v>24-25 (FY25)</v>
      </c>
      <c r="D224" s="1" t="str">
        <f t="shared" si="51"/>
        <v>25-26 (FY26)</v>
      </c>
      <c r="E224" s="1" t="str">
        <f t="shared" si="51"/>
        <v>26-27 (FY27)</v>
      </c>
      <c r="F224" s="1" t="str">
        <f t="shared" si="51"/>
        <v>27-28 (FY28)</v>
      </c>
      <c r="G224" s="1" t="str">
        <f t="shared" si="51"/>
        <v>28-29 (FY29)</v>
      </c>
    </row>
    <row r="226" spans="1:7" s="18" customFormat="1" x14ac:dyDescent="0.25">
      <c r="A226" s="10"/>
      <c r="B226" s="112"/>
      <c r="C226" s="112"/>
      <c r="D226" s="112"/>
      <c r="E226" s="112"/>
      <c r="F226" s="112"/>
      <c r="G226" s="112"/>
    </row>
    <row r="227" spans="1:7" s="18" customFormat="1" x14ac:dyDescent="0.25">
      <c r="A227" s="113" t="s">
        <v>214</v>
      </c>
      <c r="B227" s="114">
        <f>B98-B213</f>
        <v>59000.41194000002</v>
      </c>
      <c r="C227" s="114">
        <f t="shared" ref="C227:G227" si="52">C98-C213</f>
        <v>67499.615999999922</v>
      </c>
      <c r="D227" s="114">
        <f t="shared" si="52"/>
        <v>82499.617190222023</v>
      </c>
      <c r="E227" s="114">
        <f t="shared" si="52"/>
        <v>90749.533430946525</v>
      </c>
      <c r="F227" s="114">
        <f t="shared" si="52"/>
        <v>99000.01904848218</v>
      </c>
      <c r="G227" s="114">
        <f t="shared" si="52"/>
        <v>195981.36934017204</v>
      </c>
    </row>
    <row r="228" spans="1:7" x14ac:dyDescent="0.25">
      <c r="A228"/>
      <c r="B228" s="10"/>
      <c r="C228" s="10"/>
      <c r="D228" s="10"/>
      <c r="E228" s="10"/>
      <c r="F228" s="10"/>
      <c r="G228" s="10"/>
    </row>
    <row r="229" spans="1:7" x14ac:dyDescent="0.25">
      <c r="A229" s="115" t="str">
        <f>A215</f>
        <v>Scheduled Lease Payment</v>
      </c>
      <c r="B229" s="116">
        <f>B215</f>
        <v>59000</v>
      </c>
      <c r="C229" s="116">
        <f t="shared" ref="C229:G229" si="53">C215</f>
        <v>67500</v>
      </c>
      <c r="D229" s="116">
        <f t="shared" si="53"/>
        <v>82500</v>
      </c>
      <c r="E229" s="116">
        <f t="shared" si="53"/>
        <v>90750</v>
      </c>
      <c r="F229" s="116">
        <f t="shared" si="53"/>
        <v>99000</v>
      </c>
      <c r="G229" s="116">
        <f t="shared" si="53"/>
        <v>117975</v>
      </c>
    </row>
    <row r="230" spans="1:7" x14ac:dyDescent="0.25">
      <c r="A230" s="115" t="str">
        <f>A216</f>
        <v>Scheduled Bond Payment - Principal</v>
      </c>
      <c r="B230" s="116">
        <f t="shared" ref="B230:G231" si="54">B216</f>
        <v>0</v>
      </c>
      <c r="C230" s="116">
        <f t="shared" si="54"/>
        <v>0</v>
      </c>
      <c r="D230" s="116">
        <f t="shared" si="54"/>
        <v>0</v>
      </c>
      <c r="E230" s="116">
        <f t="shared" si="54"/>
        <v>0</v>
      </c>
      <c r="F230" s="116">
        <f t="shared" si="54"/>
        <v>0</v>
      </c>
      <c r="G230" s="116">
        <f t="shared" si="54"/>
        <v>0</v>
      </c>
    </row>
    <row r="231" spans="1:7" x14ac:dyDescent="0.25">
      <c r="A231" s="115" t="str">
        <f>A217</f>
        <v>Scheduled Bond Payment - Interest</v>
      </c>
      <c r="B231" s="116">
        <f t="shared" si="54"/>
        <v>0</v>
      </c>
      <c r="C231" s="116">
        <f t="shared" si="54"/>
        <v>0</v>
      </c>
      <c r="D231" s="116">
        <f t="shared" si="54"/>
        <v>0</v>
      </c>
      <c r="E231" s="116">
        <f t="shared" si="54"/>
        <v>0</v>
      </c>
      <c r="F231" s="116">
        <f t="shared" si="54"/>
        <v>0</v>
      </c>
      <c r="G231" s="116">
        <f t="shared" si="54"/>
        <v>0</v>
      </c>
    </row>
    <row r="232" spans="1:7" x14ac:dyDescent="0.25">
      <c r="A232"/>
      <c r="B232" s="116"/>
      <c r="C232" s="116"/>
      <c r="D232" s="116"/>
      <c r="E232" s="116"/>
      <c r="F232" s="116"/>
      <c r="G232" s="116"/>
    </row>
    <row r="233" spans="1:7" x14ac:dyDescent="0.25">
      <c r="A233" s="113" t="s">
        <v>215</v>
      </c>
      <c r="B233" s="117">
        <f>SUM(B229:B231)</f>
        <v>59000</v>
      </c>
      <c r="C233" s="117">
        <f t="shared" ref="C233:G233" si="55">SUM(C229:C231)</f>
        <v>67500</v>
      </c>
      <c r="D233" s="117">
        <f t="shared" si="55"/>
        <v>82500</v>
      </c>
      <c r="E233" s="117">
        <f t="shared" si="55"/>
        <v>90750</v>
      </c>
      <c r="F233" s="117">
        <f t="shared" si="55"/>
        <v>99000</v>
      </c>
      <c r="G233" s="117">
        <f t="shared" si="55"/>
        <v>117975</v>
      </c>
    </row>
    <row r="234" spans="1:7" x14ac:dyDescent="0.25">
      <c r="A234" s="118" t="s">
        <v>216</v>
      </c>
      <c r="B234" s="119">
        <f>B227/B233</f>
        <v>1.0000069820338986</v>
      </c>
      <c r="C234" s="119">
        <f t="shared" ref="C234:G234" si="56">C227/C233</f>
        <v>0.99999431111110992</v>
      </c>
      <c r="D234" s="119">
        <f t="shared" si="56"/>
        <v>0.99999535988147903</v>
      </c>
      <c r="E234" s="119">
        <f t="shared" si="56"/>
        <v>0.99999485874321237</v>
      </c>
      <c r="F234" s="119">
        <f t="shared" si="56"/>
        <v>1.0000001924089108</v>
      </c>
      <c r="G234" s="119">
        <f t="shared" si="56"/>
        <v>1.6612110136907992</v>
      </c>
    </row>
    <row r="235" spans="1:7" x14ac:dyDescent="0.25">
      <c r="A235"/>
      <c r="B235" s="10"/>
      <c r="C235" s="10"/>
      <c r="D235" s="10"/>
      <c r="E235" s="10"/>
      <c r="F235" s="10"/>
      <c r="G235" s="10"/>
    </row>
    <row r="236" spans="1:7" x14ac:dyDescent="0.25">
      <c r="A236" s="121" t="s">
        <v>217</v>
      </c>
      <c r="B236" s="122"/>
      <c r="C236" s="122"/>
      <c r="D236" s="122"/>
      <c r="E236" s="122"/>
      <c r="F236" s="122"/>
      <c r="G236" s="122"/>
    </row>
    <row r="237" spans="1:7" x14ac:dyDescent="0.25">
      <c r="A237" t="s">
        <v>218</v>
      </c>
      <c r="B237" s="124"/>
      <c r="C237" s="124">
        <f>B240</f>
        <v>0.41194000001996756</v>
      </c>
      <c r="D237" s="124">
        <f t="shared" ref="D237:G237" si="57">C240</f>
        <v>2.793999994173646E-2</v>
      </c>
      <c r="E237" s="124">
        <f t="shared" si="57"/>
        <v>-0.35486977803520858</v>
      </c>
      <c r="F237" s="124">
        <f t="shared" si="57"/>
        <v>-0.82143883151002228</v>
      </c>
      <c r="G237" s="124">
        <f t="shared" si="57"/>
        <v>-0.80239034933038056</v>
      </c>
    </row>
    <row r="238" spans="1:7" x14ac:dyDescent="0.25">
      <c r="A238" s="10" t="s">
        <v>219</v>
      </c>
      <c r="B238" s="123"/>
      <c r="C238" s="123"/>
      <c r="D238" s="123"/>
      <c r="E238" s="123"/>
      <c r="F238" s="123"/>
      <c r="G238" s="123"/>
    </row>
    <row r="239" spans="1:7" x14ac:dyDescent="0.25">
      <c r="A239" s="10" t="s">
        <v>220</v>
      </c>
      <c r="B239" s="123">
        <f>B221</f>
        <v>0.41194000001996756</v>
      </c>
      <c r="C239" s="123">
        <f t="shared" ref="C239:G239" si="58">C221</f>
        <v>-0.3840000000782311</v>
      </c>
      <c r="D239" s="123">
        <f t="shared" si="58"/>
        <v>-0.38280977797694504</v>
      </c>
      <c r="E239" s="123">
        <f t="shared" si="58"/>
        <v>-0.4665690534748137</v>
      </c>
      <c r="F239" s="123">
        <f t="shared" si="58"/>
        <v>1.9048482179641724E-2</v>
      </c>
      <c r="G239" s="123">
        <f t="shared" si="58"/>
        <v>78006.369340172037</v>
      </c>
    </row>
    <row r="240" spans="1:7" x14ac:dyDescent="0.25">
      <c r="A240" s="125" t="s">
        <v>221</v>
      </c>
      <c r="B240" s="126">
        <f>SUM(B237:B239)</f>
        <v>0.41194000001996756</v>
      </c>
      <c r="C240" s="126">
        <f t="shared" ref="C240:G240" si="59">SUM(C237:C239)</f>
        <v>2.793999994173646E-2</v>
      </c>
      <c r="D240" s="126">
        <f t="shared" si="59"/>
        <v>-0.35486977803520858</v>
      </c>
      <c r="E240" s="126">
        <f t="shared" si="59"/>
        <v>-0.82143883151002228</v>
      </c>
      <c r="F240" s="126">
        <f t="shared" si="59"/>
        <v>-0.80239034933038056</v>
      </c>
      <c r="G240" s="126">
        <f t="shared" si="59"/>
        <v>78005.566949822707</v>
      </c>
    </row>
    <row r="241" spans="1:9" x14ac:dyDescent="0.25">
      <c r="A241" s="127" t="s">
        <v>222</v>
      </c>
      <c r="B241" s="128">
        <f>B240/((SUM(B213:B219))/365)</f>
        <v>7.6523298684109346E-5</v>
      </c>
      <c r="C241" s="128">
        <f t="shared" ref="C241:G241" si="60">C240/((SUM(C213:C219))/365)</f>
        <v>5.2139541089405466E-6</v>
      </c>
      <c r="D241" s="128">
        <f t="shared" si="60"/>
        <v>-6.0111972364365988E-5</v>
      </c>
      <c r="E241" s="128">
        <f t="shared" si="60"/>
        <v>-1.3345495842863653E-4</v>
      </c>
      <c r="F241" s="128">
        <f t="shared" si="60"/>
        <v>-1.2490215806339408E-4</v>
      </c>
      <c r="G241" s="128">
        <f t="shared" si="60"/>
        <v>11.607330444846575</v>
      </c>
    </row>
    <row r="242" spans="1:9" x14ac:dyDescent="0.25">
      <c r="A242"/>
      <c r="B242" s="129"/>
      <c r="C242" s="129"/>
      <c r="D242" s="129"/>
      <c r="E242" s="129"/>
      <c r="F242" s="129"/>
      <c r="G242" s="129"/>
    </row>
    <row r="243" spans="1:9" x14ac:dyDescent="0.25">
      <c r="I243" s="4" t="s">
        <v>262</v>
      </c>
    </row>
    <row r="244" spans="1:9" x14ac:dyDescent="0.25">
      <c r="A244" s="146" t="s">
        <v>263</v>
      </c>
      <c r="B244" s="147">
        <f t="shared" ref="B244" si="61">B134/SUM(B213:B218)</f>
        <v>0.36485829348323423</v>
      </c>
      <c r="C244" s="147">
        <f t="shared" ref="C244" si="62">C134/SUM(C213:C218)</f>
        <v>0.38322291297739658</v>
      </c>
      <c r="D244" s="147">
        <f t="shared" ref="D244:G244" si="63">D134/SUM(D213:D218)</f>
        <v>0.38111268348524863</v>
      </c>
      <c r="E244" s="147">
        <f t="shared" si="63"/>
        <v>0.37209528486333521</v>
      </c>
      <c r="F244" s="147">
        <f t="shared" si="63"/>
        <v>0.36285095135597306</v>
      </c>
      <c r="G244" s="147">
        <f t="shared" si="63"/>
        <v>0.35224578613854163</v>
      </c>
      <c r="I244" s="90">
        <f>AVERAGE(B244:G244)</f>
        <v>0.36939765205062153</v>
      </c>
    </row>
    <row r="245" spans="1:9" x14ac:dyDescent="0.25">
      <c r="A245" s="146" t="s">
        <v>264</v>
      </c>
      <c r="B245" s="147">
        <f t="shared" ref="B245" si="64">(B143-B142)/SUM(B213:B218)</f>
        <v>0.17750597699161647</v>
      </c>
      <c r="C245" s="147">
        <f t="shared" ref="C245" si="65">(C143-C142)/SUM(C213:C218)</f>
        <v>0.19190856613401677</v>
      </c>
      <c r="D245" s="147">
        <f t="shared" ref="D245:G245" si="66">(D143-D142)/SUM(D213:D218)</f>
        <v>0.19146491756198586</v>
      </c>
      <c r="E245" s="147">
        <f t="shared" si="66"/>
        <v>0.18863178249214765</v>
      </c>
      <c r="F245" s="147">
        <f t="shared" si="66"/>
        <v>0.18379055657213364</v>
      </c>
      <c r="G245" s="147">
        <f t="shared" si="66"/>
        <v>0.17917004118802393</v>
      </c>
      <c r="I245" s="90">
        <f t="shared" ref="I245:I257" si="67">AVERAGE(B245:G245)</f>
        <v>0.18541197348998736</v>
      </c>
    </row>
    <row r="246" spans="1:9" x14ac:dyDescent="0.25">
      <c r="A246" s="146" t="s">
        <v>150</v>
      </c>
      <c r="B246" s="147">
        <f t="shared" ref="B246" si="68">B163/SUM(B213:B218)</f>
        <v>3.9559930635113772E-3</v>
      </c>
      <c r="C246" s="147">
        <f t="shared" ref="C246" si="69">C163/SUM(C213:C218)</f>
        <v>4.1727840129017991E-3</v>
      </c>
      <c r="D246" s="147">
        <f t="shared" ref="D246:G246" si="70">D163/SUM(D213:D218)</f>
        <v>3.9770986591130854E-3</v>
      </c>
      <c r="E246" s="147">
        <f t="shared" si="70"/>
        <v>4.0051905756805922E-3</v>
      </c>
      <c r="F246" s="147">
        <f t="shared" si="70"/>
        <v>4.0293708950144558E-3</v>
      </c>
      <c r="G246" s="147">
        <f t="shared" si="70"/>
        <v>4.0443529493075555E-3</v>
      </c>
      <c r="H246" s="147"/>
      <c r="I246" s="90">
        <f t="shared" si="67"/>
        <v>4.0307983592548112E-3</v>
      </c>
    </row>
    <row r="247" spans="1:9" x14ac:dyDescent="0.25">
      <c r="A247" s="146" t="s">
        <v>265</v>
      </c>
      <c r="B247" s="147">
        <f>(B162+B169+B170+B171)/SUM(B213:B218)</f>
        <v>4.1780243829341999E-2</v>
      </c>
      <c r="C247" s="147">
        <f>(C162+C169+C170+C171)/SUM(C213:C218)</f>
        <v>4.6015186341682217E-2</v>
      </c>
      <c r="D247" s="147">
        <f t="shared" ref="D247:G247" si="71">(D162+D169+D170+D171)/SUM(D213:D218)</f>
        <v>4.5631852858340226E-2</v>
      </c>
      <c r="E247" s="147">
        <f t="shared" si="71"/>
        <v>4.7475014502720625E-2</v>
      </c>
      <c r="F247" s="147">
        <f t="shared" si="71"/>
        <v>5.0922150241606803E-2</v>
      </c>
      <c r="G247" s="147">
        <f t="shared" si="71"/>
        <v>5.2256141335404807E-2</v>
      </c>
      <c r="I247" s="90">
        <f t="shared" si="67"/>
        <v>4.7346764851516114E-2</v>
      </c>
    </row>
    <row r="248" spans="1:9" x14ac:dyDescent="0.25">
      <c r="A248" s="146" t="s">
        <v>266</v>
      </c>
      <c r="B248" s="147">
        <f>(B142+B159+B158+B160)/SUM(B213:B218)</f>
        <v>6.984251551485858E-2</v>
      </c>
      <c r="C248" s="147">
        <f t="shared" ref="C248:G248" si="72">(C142+C159+C158+C160)/SUM(C213:C218)</f>
        <v>7.7408411714959213E-2</v>
      </c>
      <c r="D248" s="147">
        <f t="shared" si="72"/>
        <v>7.8182361655685984E-2</v>
      </c>
      <c r="E248" s="147">
        <f t="shared" si="72"/>
        <v>8.0189769899405114E-2</v>
      </c>
      <c r="F248" s="147">
        <f t="shared" si="72"/>
        <v>8.1953313766410046E-2</v>
      </c>
      <c r="G248" s="147">
        <f t="shared" si="72"/>
        <v>8.3765716938933532E-2</v>
      </c>
      <c r="I248" s="90">
        <f t="shared" si="67"/>
        <v>7.8557014915042078E-2</v>
      </c>
    </row>
    <row r="249" spans="1:9" x14ac:dyDescent="0.25">
      <c r="A249" s="146" t="s">
        <v>267</v>
      </c>
      <c r="B249" s="147">
        <f>(B193+B194+B195+B148+B179)/SUM(B213:B218)</f>
        <v>0.11289466735202422</v>
      </c>
      <c r="C249" s="147">
        <f>(C193+C194+C195+C148+C179)/SUM(C213:C218)</f>
        <v>1.3006637786259123E-2</v>
      </c>
      <c r="D249" s="147">
        <f t="shared" ref="D249:G249" si="73">(D193+D194+D195+D148+D179)/SUM(D213:D218)</f>
        <v>1.2514746905006325E-2</v>
      </c>
      <c r="E249" s="147">
        <f t="shared" si="73"/>
        <v>1.2723173754499464E-2</v>
      </c>
      <c r="F249" s="147">
        <f t="shared" si="73"/>
        <v>1.292189131480031E-2</v>
      </c>
      <c r="G249" s="147">
        <f t="shared" si="73"/>
        <v>1.2722891211896535E-2</v>
      </c>
      <c r="I249" s="90">
        <f t="shared" si="67"/>
        <v>2.946400138741433E-2</v>
      </c>
    </row>
    <row r="250" spans="1:9" x14ac:dyDescent="0.25">
      <c r="A250" s="146" t="s">
        <v>268</v>
      </c>
      <c r="B250" s="147">
        <f>(B146+B147+B149+B150+B151+B152+B153+B154+B155)/SUM(B213:B218)</f>
        <v>3.1139004193732164E-2</v>
      </c>
      <c r="C250" s="147">
        <f t="shared" ref="C250:G250" si="74">(C146+C147+C149+C150+C151+C152+C153+C154+C155)/SUM(C213:C218)</f>
        <v>3.1023694216596055E-2</v>
      </c>
      <c r="D250" s="147">
        <f t="shared" si="74"/>
        <v>3.0645190086944659E-2</v>
      </c>
      <c r="E250" s="147">
        <f t="shared" si="74"/>
        <v>3.2887638863960948E-2</v>
      </c>
      <c r="F250" s="147">
        <f t="shared" si="74"/>
        <v>3.6992254385569766E-2</v>
      </c>
      <c r="G250" s="147">
        <f t="shared" si="74"/>
        <v>4.1620881110666197E-2</v>
      </c>
      <c r="I250" s="90">
        <f t="shared" si="67"/>
        <v>3.4051443809578301E-2</v>
      </c>
    </row>
    <row r="251" spans="1:9" x14ac:dyDescent="0.25">
      <c r="A251" s="146" t="s">
        <v>2</v>
      </c>
      <c r="B251" s="147">
        <f t="shared" ref="B251" si="75">(B184+B185)/SUM(B213:B218)</f>
        <v>4.7181450376191196E-2</v>
      </c>
      <c r="C251" s="147">
        <f t="shared" ref="C251" si="76">(C184+C185)/SUM(C213:C218)</f>
        <v>7.6406327986143663E-2</v>
      </c>
      <c r="D251" s="147">
        <f t="shared" ref="D251:G251" si="77">(D184+D185)/SUM(D213:D218)</f>
        <v>7.7061592336251789E-2</v>
      </c>
      <c r="E251" s="147">
        <f t="shared" si="77"/>
        <v>8.1301430253949133E-2</v>
      </c>
      <c r="F251" s="147">
        <f t="shared" si="77"/>
        <v>8.4978978658849791E-2</v>
      </c>
      <c r="G251" s="147">
        <f t="shared" si="77"/>
        <v>8.8002724640400543E-2</v>
      </c>
      <c r="I251" s="90">
        <f t="shared" si="67"/>
        <v>7.5822084041964347E-2</v>
      </c>
    </row>
    <row r="252" spans="1:9" x14ac:dyDescent="0.25">
      <c r="A252" s="146" t="s">
        <v>269</v>
      </c>
      <c r="B252" s="147">
        <f t="shared" ref="B252" si="78">(B211+B215)/SUM(B213:B218)</f>
        <v>6.5103645012784692E-2</v>
      </c>
      <c r="C252" s="147">
        <f t="shared" ref="C252" si="79">(C211+C215)/SUM(C213:C218)</f>
        <v>7.9399797492375856E-2</v>
      </c>
      <c r="D252" s="147">
        <f t="shared" ref="D252:G252" si="80">(D211+D215)/SUM(D213:D218)</f>
        <v>8.2367959374931118E-2</v>
      </c>
      <c r="E252" s="147">
        <f t="shared" si="80"/>
        <v>8.3673203800453608E-2</v>
      </c>
      <c r="F252" s="147">
        <f t="shared" si="80"/>
        <v>8.4676407094578979E-2</v>
      </c>
      <c r="G252" s="147">
        <f t="shared" si="80"/>
        <v>8.9652601494528888E-2</v>
      </c>
      <c r="I252" s="90">
        <f t="shared" si="67"/>
        <v>8.0812269044942195E-2</v>
      </c>
    </row>
    <row r="253" spans="1:9" x14ac:dyDescent="0.25">
      <c r="A253" s="146" t="s">
        <v>270</v>
      </c>
      <c r="B253" s="147">
        <f t="shared" ref="B253" si="81">(B181+B182+B183)/SUM(B213:B218)</f>
        <v>1.6566007232380719E-2</v>
      </c>
      <c r="C253" s="147">
        <f t="shared" ref="C253" si="82">(C181+C182+C183)/SUM(C213:C218)</f>
        <v>1.7640252497613935E-2</v>
      </c>
      <c r="D253" s="147">
        <f t="shared" ref="D253:G253" si="83">(D181+D182+D183)/SUM(D213:D218)</f>
        <v>1.697312548991483E-2</v>
      </c>
      <c r="E253" s="147">
        <f t="shared" si="83"/>
        <v>1.7255804404539898E-2</v>
      </c>
      <c r="F253" s="147">
        <f t="shared" si="83"/>
        <v>1.7525315095697918E-2</v>
      </c>
      <c r="G253" s="147">
        <f t="shared" si="83"/>
        <v>1.77580062898085E-2</v>
      </c>
      <c r="I253" s="90">
        <f t="shared" si="67"/>
        <v>1.7286418501659299E-2</v>
      </c>
    </row>
    <row r="254" spans="1:9" x14ac:dyDescent="0.25">
      <c r="A254" s="146" t="s">
        <v>271</v>
      </c>
      <c r="B254" s="147">
        <f t="shared" ref="B254" si="84">B187/SUM(B213:B218)</f>
        <v>2.5447015717942732E-4</v>
      </c>
      <c r="C254" s="147">
        <f t="shared" ref="C254" si="85">C187/SUM(C213:C218)</f>
        <v>7.6690081286905206E-4</v>
      </c>
      <c r="D254" s="147">
        <f t="shared" ref="D254:G254" si="86">D187/SUM(D213:D218)</f>
        <v>6.9613001207092856E-4</v>
      </c>
      <c r="E254" s="147">
        <f t="shared" si="86"/>
        <v>6.6766387660301498E-4</v>
      </c>
      <c r="F254" s="147">
        <f t="shared" si="86"/>
        <v>6.3970926421898363E-4</v>
      </c>
      <c r="G254" s="147">
        <f t="shared" si="86"/>
        <v>6.1151222736710825E-4</v>
      </c>
      <c r="I254" s="90">
        <f t="shared" si="67"/>
        <v>6.0606439171808583E-4</v>
      </c>
    </row>
    <row r="255" spans="1:9" x14ac:dyDescent="0.25">
      <c r="A255" s="146" t="s">
        <v>272</v>
      </c>
      <c r="B255" s="147">
        <f t="shared" ref="B255" si="87">(B164+B165)/SUM(B213:B218)</f>
        <v>2.9518538232813571E-2</v>
      </c>
      <c r="C255" s="147">
        <f t="shared" ref="C255" si="88">(C164+C165)/SUM(C213:C218)</f>
        <v>3.3142896796157534E-2</v>
      </c>
      <c r="D255" s="147">
        <f t="shared" ref="D255:G255" si="89">(D164+D165)/SUM(D213:D218)</f>
        <v>3.1461015787202222E-2</v>
      </c>
      <c r="E255" s="147">
        <f t="shared" si="89"/>
        <v>3.1560833098291011E-2</v>
      </c>
      <c r="F255" s="147">
        <f t="shared" si="89"/>
        <v>3.1634093568483471E-2</v>
      </c>
      <c r="G255" s="147">
        <f t="shared" si="89"/>
        <v>3.1639605252549448E-2</v>
      </c>
      <c r="I255" s="90">
        <f t="shared" si="67"/>
        <v>3.14928304559162E-2</v>
      </c>
    </row>
    <row r="256" spans="1:9" x14ac:dyDescent="0.25">
      <c r="A256" s="146" t="s">
        <v>273</v>
      </c>
      <c r="B256" s="147">
        <f t="shared" ref="B256" si="90">(B166+B167+B174+B175+B178+B180)/SUM(B213:B218)</f>
        <v>2.2794011647252897E-2</v>
      </c>
      <c r="C256" s="147">
        <f t="shared" ref="C256" si="91">(C166+C167+C174+C175+C178+C180)/SUM(C213:C218)</f>
        <v>2.5748694792078423E-2</v>
      </c>
      <c r="D256" s="147">
        <f t="shared" ref="D256:G256" si="92">(D166+D167+D174+D175+D178+D180)/SUM(D213:D218)</f>
        <v>2.4003328559218894E-2</v>
      </c>
      <c r="E256" s="147">
        <f t="shared" si="92"/>
        <v>2.3634388535227414E-2</v>
      </c>
      <c r="F256" s="147">
        <f t="shared" si="92"/>
        <v>2.3239321041012822E-2</v>
      </c>
      <c r="G256" s="147">
        <f t="shared" si="92"/>
        <v>2.2790681729085761E-2</v>
      </c>
      <c r="I256" s="90">
        <f t="shared" si="67"/>
        <v>2.3701737717312699E-2</v>
      </c>
    </row>
    <row r="257" spans="1:9" x14ac:dyDescent="0.25">
      <c r="A257" s="146" t="s">
        <v>223</v>
      </c>
      <c r="B257" s="147">
        <f>(B168+B177+B186+B188+B189+B191+B197+B198)/SUM(B213:B218)</f>
        <v>1.6605182913078491E-2</v>
      </c>
      <c r="C257" s="147">
        <f>(C168+C177+C186+C188+C189+C191+C197+C198)/SUM(C213:C218)</f>
        <v>2.0136936438949777E-2</v>
      </c>
      <c r="D257" s="147">
        <f t="shared" ref="D257:G257" si="93">(D168+D177+D186+D188+D189+D191+D197+D198)/SUM(D213:D218)</f>
        <v>2.3907997228085287E-2</v>
      </c>
      <c r="E257" s="147">
        <f t="shared" si="93"/>
        <v>2.389882107918636E-2</v>
      </c>
      <c r="F257" s="147">
        <f t="shared" si="93"/>
        <v>2.3845686745650012E-2</v>
      </c>
      <c r="G257" s="147">
        <f t="shared" si="93"/>
        <v>2.3719057493485518E-2</v>
      </c>
      <c r="I257" s="90">
        <f t="shared" si="67"/>
        <v>2.2018946983072576E-2</v>
      </c>
    </row>
    <row r="258" spans="1:9" x14ac:dyDescent="0.25">
      <c r="A258"/>
      <c r="B258"/>
      <c r="C258"/>
      <c r="D258"/>
    </row>
    <row r="259" spans="1:9" x14ac:dyDescent="0.25">
      <c r="A259"/>
      <c r="B259" s="148">
        <f t="shared" ref="B259" si="94">SUM(B244:B258)</f>
        <v>0.99999999999999978</v>
      </c>
      <c r="C259" s="148">
        <f t="shared" ref="C259:I259" si="95">SUM(C244:C258)</f>
        <v>1</v>
      </c>
      <c r="D259" s="148">
        <f t="shared" si="95"/>
        <v>1</v>
      </c>
      <c r="E259" s="148">
        <f t="shared" si="95"/>
        <v>1</v>
      </c>
      <c r="F259" s="148">
        <f t="shared" si="95"/>
        <v>1</v>
      </c>
      <c r="G259" s="148">
        <f t="shared" si="95"/>
        <v>1</v>
      </c>
      <c r="I259" s="148">
        <f t="shared" si="95"/>
        <v>0.99999999999999989</v>
      </c>
    </row>
    <row r="262" spans="1:9" x14ac:dyDescent="0.25">
      <c r="B262" s="149"/>
    </row>
  </sheetData>
  <pageMargins left="0.7" right="0.7" top="0.75" bottom="0.75" header="0.3" footer="0.3"/>
  <pageSetup scale="55" orientation="portrait" r:id="rId1"/>
  <headerFooter>
    <oddFooter>&amp;LPage &amp;P&amp;C
&amp;R
 &amp;G</oddFooter>
  </headerFooter>
  <rowBreaks count="2" manualBreakCount="2">
    <brk id="71" max="6" man="1"/>
    <brk id="156" max="6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showGridLines="0" tabSelected="1" topLeftCell="A33" zoomScale="145" zoomScaleNormal="145" zoomScaleSheetLayoutView="70" workbookViewId="0">
      <selection activeCell="B34" sqref="B34:H51"/>
    </sheetView>
  </sheetViews>
  <sheetFormatPr defaultColWidth="9.140625" defaultRowHeight="12.75" x14ac:dyDescent="0.2"/>
  <cols>
    <col min="1" max="1" width="3" style="150" customWidth="1"/>
    <col min="2" max="2" width="9.140625" style="150"/>
    <col min="3" max="8" width="10.140625" style="150" customWidth="1"/>
    <col min="9" max="9" width="3.5703125" style="150" customWidth="1"/>
    <col min="10" max="16384" width="9.140625" style="150"/>
  </cols>
  <sheetData>
    <row r="1" spans="1:13" ht="15.75" x14ac:dyDescent="0.25">
      <c r="A1" s="207" t="s">
        <v>339</v>
      </c>
      <c r="B1" s="207"/>
      <c r="C1" s="207"/>
    </row>
    <row r="2" spans="1:13" ht="15.75" x14ac:dyDescent="0.25">
      <c r="A2" s="206" t="str">
        <f>+'Staffing Tables'!A2</f>
        <v>Young Women's Leadership Academy</v>
      </c>
      <c r="B2" s="205"/>
      <c r="C2" s="205"/>
    </row>
    <row r="3" spans="1:13" x14ac:dyDescent="0.2">
      <c r="A3" s="204" t="s">
        <v>323</v>
      </c>
    </row>
    <row r="4" spans="1:13" x14ac:dyDescent="0.2">
      <c r="A4" s="203" t="s">
        <v>322</v>
      </c>
    </row>
    <row r="5" spans="1:13" ht="39.950000000000003" customHeight="1" x14ac:dyDescent="0.2">
      <c r="A5" s="246" t="str">
        <f ca="1">CELL("filename")</f>
        <v>C:\Users\Paul.Ballou\AppData\Local\Microsoft\Windows\INetCache\Content.MSO\[Copy of 04_YWLA 6-Year Budget_02.13.24.xlsx]Enrollment Tables</v>
      </c>
      <c r="B5" s="246"/>
      <c r="C5" s="246"/>
      <c r="D5" s="246"/>
      <c r="E5" s="246"/>
      <c r="F5" s="246"/>
      <c r="G5" s="246"/>
      <c r="H5" s="246"/>
    </row>
    <row r="6" spans="1:13" x14ac:dyDescent="0.2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</row>
    <row r="7" spans="1:13" ht="14.25" x14ac:dyDescent="0.2">
      <c r="A7" s="166"/>
      <c r="B7" s="202" t="s">
        <v>321</v>
      </c>
      <c r="C7" s="166"/>
      <c r="D7" s="166"/>
      <c r="E7" s="166"/>
      <c r="F7" s="166"/>
      <c r="G7" s="166"/>
      <c r="H7" s="166"/>
      <c r="I7" s="166"/>
      <c r="J7" s="166"/>
      <c r="K7" s="166"/>
    </row>
    <row r="8" spans="1:13" ht="14.25" x14ac:dyDescent="0.2">
      <c r="A8" s="166"/>
      <c r="B8" s="202" t="s">
        <v>338</v>
      </c>
      <c r="C8" s="166"/>
      <c r="D8" s="166"/>
      <c r="E8" s="166"/>
      <c r="F8" s="166"/>
      <c r="G8" s="166"/>
      <c r="H8" s="166"/>
      <c r="I8" s="166"/>
      <c r="J8" s="166"/>
      <c r="K8" s="166"/>
    </row>
    <row r="9" spans="1:13" ht="14.25" x14ac:dyDescent="0.2">
      <c r="A9" s="166"/>
      <c r="B9" s="202"/>
      <c r="C9" s="166"/>
      <c r="D9" s="166"/>
      <c r="E9" s="166"/>
      <c r="F9" s="166"/>
      <c r="G9" s="166"/>
      <c r="H9" s="166"/>
      <c r="I9" s="166"/>
      <c r="J9" s="166"/>
      <c r="K9" s="166"/>
    </row>
    <row r="10" spans="1:13" ht="14.25" x14ac:dyDescent="0.2">
      <c r="A10" s="166"/>
      <c r="B10" s="226" t="s">
        <v>337</v>
      </c>
      <c r="C10" s="166"/>
      <c r="D10" s="166"/>
      <c r="E10" s="166"/>
      <c r="F10" s="166"/>
      <c r="G10" s="166"/>
      <c r="H10" s="166"/>
      <c r="I10" s="166"/>
      <c r="J10" s="166"/>
      <c r="K10" s="166"/>
    </row>
    <row r="11" spans="1:13" ht="14.25" x14ac:dyDescent="0.2">
      <c r="A11" s="166"/>
      <c r="B11" s="230" t="s">
        <v>336</v>
      </c>
      <c r="C11" s="166"/>
      <c r="D11" s="166"/>
      <c r="E11" s="166"/>
      <c r="F11" s="166"/>
      <c r="G11" s="166"/>
      <c r="H11" s="166"/>
      <c r="I11" s="166"/>
      <c r="J11" s="166"/>
      <c r="K11" s="166"/>
    </row>
    <row r="12" spans="1:13" ht="13.5" thickBot="1" x14ac:dyDescent="0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</row>
    <row r="13" spans="1:13" ht="15" x14ac:dyDescent="0.2">
      <c r="A13" s="166"/>
      <c r="B13" s="247" t="s">
        <v>331</v>
      </c>
      <c r="C13" s="250" t="s">
        <v>330</v>
      </c>
      <c r="D13" s="251"/>
      <c r="E13" s="251"/>
      <c r="F13" s="251"/>
      <c r="G13" s="251"/>
      <c r="H13" s="252"/>
      <c r="I13" s="166"/>
      <c r="J13" s="166"/>
      <c r="K13" s="166"/>
      <c r="L13" s="166"/>
      <c r="M13" s="166"/>
    </row>
    <row r="14" spans="1:13" ht="15" x14ac:dyDescent="0.2">
      <c r="A14" s="166"/>
      <c r="B14" s="248"/>
      <c r="C14" s="229">
        <v>2023</v>
      </c>
      <c r="D14" s="222">
        <f>+C15</f>
        <v>2024</v>
      </c>
      <c r="E14" s="222">
        <f>+D15</f>
        <v>2025</v>
      </c>
      <c r="F14" s="222">
        <f>+E15</f>
        <v>2026</v>
      </c>
      <c r="G14" s="222">
        <f>+F15</f>
        <v>2027</v>
      </c>
      <c r="H14" s="221">
        <f>+G15</f>
        <v>2028</v>
      </c>
      <c r="I14" s="166"/>
      <c r="J14" s="166"/>
      <c r="K14" s="166"/>
      <c r="L14" s="166"/>
      <c r="M14" s="166"/>
    </row>
    <row r="15" spans="1:13" ht="15.75" thickBot="1" x14ac:dyDescent="0.25">
      <c r="A15" s="166"/>
      <c r="B15" s="249"/>
      <c r="C15" s="220">
        <f t="shared" ref="C15:H15" si="0">+C14+1</f>
        <v>2024</v>
      </c>
      <c r="D15" s="219">
        <f t="shared" si="0"/>
        <v>2025</v>
      </c>
      <c r="E15" s="219">
        <f t="shared" si="0"/>
        <v>2026</v>
      </c>
      <c r="F15" s="219">
        <f t="shared" si="0"/>
        <v>2027</v>
      </c>
      <c r="G15" s="219">
        <f t="shared" si="0"/>
        <v>2028</v>
      </c>
      <c r="H15" s="218">
        <f t="shared" si="0"/>
        <v>2029</v>
      </c>
      <c r="I15" s="166"/>
      <c r="J15" s="166"/>
      <c r="K15" s="166"/>
      <c r="L15" s="166"/>
      <c r="M15" s="166"/>
    </row>
    <row r="16" spans="1:13" ht="15" x14ac:dyDescent="0.2">
      <c r="A16" s="166"/>
      <c r="B16" s="216" t="s">
        <v>329</v>
      </c>
      <c r="C16" s="217"/>
      <c r="D16" s="217"/>
      <c r="E16" s="217"/>
      <c r="F16" s="217"/>
      <c r="G16" s="217"/>
      <c r="H16" s="217"/>
      <c r="I16" s="166"/>
      <c r="J16" s="166"/>
      <c r="K16" s="166"/>
      <c r="L16" s="166"/>
      <c r="M16" s="166"/>
    </row>
    <row r="17" spans="1:14" ht="15" x14ac:dyDescent="0.2">
      <c r="A17" s="166"/>
      <c r="B17" s="216" t="s">
        <v>328</v>
      </c>
      <c r="C17" s="213">
        <f t="shared" ref="C17:H29" si="1">ROUND(C38*0.95,0)</f>
        <v>0</v>
      </c>
      <c r="D17" s="213">
        <f t="shared" si="1"/>
        <v>0</v>
      </c>
      <c r="E17" s="213">
        <f t="shared" si="1"/>
        <v>0</v>
      </c>
      <c r="F17" s="213">
        <f t="shared" si="1"/>
        <v>0</v>
      </c>
      <c r="G17" s="213">
        <f t="shared" si="1"/>
        <v>0</v>
      </c>
      <c r="H17" s="213">
        <f t="shared" si="1"/>
        <v>0</v>
      </c>
      <c r="I17" s="166"/>
      <c r="J17" s="166"/>
      <c r="K17" s="166"/>
      <c r="L17" s="166"/>
      <c r="M17" s="166"/>
    </row>
    <row r="18" spans="1:14" ht="15" x14ac:dyDescent="0.2">
      <c r="A18" s="166"/>
      <c r="B18" s="165">
        <v>1</v>
      </c>
      <c r="C18" s="213">
        <f t="shared" si="1"/>
        <v>0</v>
      </c>
      <c r="D18" s="213">
        <f t="shared" si="1"/>
        <v>0</v>
      </c>
      <c r="E18" s="213">
        <f t="shared" si="1"/>
        <v>0</v>
      </c>
      <c r="F18" s="213">
        <f t="shared" si="1"/>
        <v>0</v>
      </c>
      <c r="G18" s="213">
        <f t="shared" si="1"/>
        <v>0</v>
      </c>
      <c r="H18" s="213">
        <f t="shared" si="1"/>
        <v>0</v>
      </c>
      <c r="I18" s="166"/>
      <c r="J18" s="166"/>
      <c r="K18" s="166"/>
      <c r="L18" s="166"/>
      <c r="M18" s="166"/>
    </row>
    <row r="19" spans="1:14" ht="15" x14ac:dyDescent="0.2">
      <c r="A19" s="166"/>
      <c r="B19" s="165">
        <v>2</v>
      </c>
      <c r="C19" s="213">
        <f t="shared" si="1"/>
        <v>0</v>
      </c>
      <c r="D19" s="213">
        <f t="shared" si="1"/>
        <v>0</v>
      </c>
      <c r="E19" s="213">
        <f t="shared" si="1"/>
        <v>0</v>
      </c>
      <c r="F19" s="213">
        <f t="shared" si="1"/>
        <v>0</v>
      </c>
      <c r="G19" s="213">
        <f t="shared" si="1"/>
        <v>0</v>
      </c>
      <c r="H19" s="213">
        <f t="shared" si="1"/>
        <v>0</v>
      </c>
      <c r="I19" s="166"/>
      <c r="J19" s="166"/>
      <c r="K19" s="166"/>
      <c r="L19" s="166"/>
      <c r="M19" s="166"/>
    </row>
    <row r="20" spans="1:14" ht="15" x14ac:dyDescent="0.2">
      <c r="A20" s="166"/>
      <c r="B20" s="165">
        <v>3</v>
      </c>
      <c r="C20" s="213">
        <f t="shared" si="1"/>
        <v>0</v>
      </c>
      <c r="D20" s="213">
        <f t="shared" si="1"/>
        <v>0</v>
      </c>
      <c r="E20" s="213">
        <f t="shared" si="1"/>
        <v>0</v>
      </c>
      <c r="F20" s="213">
        <f t="shared" si="1"/>
        <v>0</v>
      </c>
      <c r="G20" s="213">
        <f t="shared" si="1"/>
        <v>0</v>
      </c>
      <c r="H20" s="213">
        <f t="shared" si="1"/>
        <v>0</v>
      </c>
      <c r="I20" s="166"/>
      <c r="J20" s="166"/>
      <c r="K20" s="166"/>
      <c r="L20" s="166"/>
      <c r="M20" s="166"/>
    </row>
    <row r="21" spans="1:14" ht="15" x14ac:dyDescent="0.2">
      <c r="A21" s="166"/>
      <c r="B21" s="165">
        <v>4</v>
      </c>
      <c r="C21" s="213">
        <f t="shared" si="1"/>
        <v>0</v>
      </c>
      <c r="D21" s="213">
        <f t="shared" si="1"/>
        <v>0</v>
      </c>
      <c r="E21" s="213">
        <f t="shared" si="1"/>
        <v>0</v>
      </c>
      <c r="F21" s="213">
        <f t="shared" si="1"/>
        <v>0</v>
      </c>
      <c r="G21" s="213">
        <f t="shared" si="1"/>
        <v>0</v>
      </c>
      <c r="H21" s="213">
        <f t="shared" si="1"/>
        <v>0</v>
      </c>
      <c r="I21" s="166"/>
      <c r="J21" s="166"/>
      <c r="K21" s="166"/>
      <c r="L21" s="166"/>
      <c r="M21" s="166"/>
    </row>
    <row r="22" spans="1:14" ht="15" x14ac:dyDescent="0.2">
      <c r="A22" s="166"/>
      <c r="B22" s="165">
        <v>5</v>
      </c>
      <c r="C22" s="213">
        <f t="shared" si="1"/>
        <v>0</v>
      </c>
      <c r="D22" s="213">
        <f t="shared" si="1"/>
        <v>0</v>
      </c>
      <c r="E22" s="213">
        <f t="shared" si="1"/>
        <v>0</v>
      </c>
      <c r="F22" s="213">
        <f t="shared" si="1"/>
        <v>0</v>
      </c>
      <c r="G22" s="213">
        <f t="shared" si="1"/>
        <v>0</v>
      </c>
      <c r="H22" s="213">
        <f t="shared" si="1"/>
        <v>0</v>
      </c>
      <c r="I22" s="166"/>
      <c r="J22" s="166"/>
      <c r="K22" s="166"/>
      <c r="L22" s="166"/>
      <c r="M22" s="166"/>
    </row>
    <row r="23" spans="1:14" ht="15" x14ac:dyDescent="0.2">
      <c r="A23" s="166"/>
      <c r="B23" s="165">
        <v>6</v>
      </c>
      <c r="C23" s="245">
        <f t="shared" si="1"/>
        <v>29</v>
      </c>
      <c r="D23" s="245">
        <f>ROUND(D44*0.97,0)</f>
        <v>29</v>
      </c>
      <c r="E23" s="245">
        <f t="shared" ref="E23:H23" si="2">ROUND(E44*0.97,0)</f>
        <v>29</v>
      </c>
      <c r="F23" s="245">
        <f t="shared" si="2"/>
        <v>29</v>
      </c>
      <c r="G23" s="245">
        <f t="shared" si="2"/>
        <v>29</v>
      </c>
      <c r="H23" s="245">
        <f t="shared" si="2"/>
        <v>29</v>
      </c>
      <c r="I23" s="166"/>
      <c r="J23" s="166"/>
      <c r="K23" s="166"/>
      <c r="L23" s="166"/>
      <c r="M23" s="166"/>
    </row>
    <row r="24" spans="1:14" ht="15" x14ac:dyDescent="0.2">
      <c r="A24" s="166"/>
      <c r="B24" s="165">
        <v>7</v>
      </c>
      <c r="C24" s="245">
        <f t="shared" si="1"/>
        <v>38</v>
      </c>
      <c r="D24" s="245">
        <f t="shared" ref="D24:H29" si="3">ROUND(D45*0.97,0)</f>
        <v>24</v>
      </c>
      <c r="E24" s="245">
        <f t="shared" si="3"/>
        <v>29</v>
      </c>
      <c r="F24" s="245">
        <f t="shared" si="3"/>
        <v>29</v>
      </c>
      <c r="G24" s="245">
        <f t="shared" si="3"/>
        <v>29</v>
      </c>
      <c r="H24" s="245">
        <f t="shared" si="3"/>
        <v>29</v>
      </c>
      <c r="I24" s="166"/>
      <c r="J24" s="166"/>
      <c r="K24" s="166"/>
      <c r="L24" s="166"/>
      <c r="M24" s="166"/>
    </row>
    <row r="25" spans="1:14" ht="15" x14ac:dyDescent="0.2">
      <c r="A25" s="166"/>
      <c r="B25" s="165">
        <v>8</v>
      </c>
      <c r="C25" s="245">
        <f t="shared" si="1"/>
        <v>24</v>
      </c>
      <c r="D25" s="245">
        <f t="shared" si="3"/>
        <v>24</v>
      </c>
      <c r="E25" s="245">
        <f t="shared" si="3"/>
        <v>24</v>
      </c>
      <c r="F25" s="245">
        <f t="shared" si="3"/>
        <v>29</v>
      </c>
      <c r="G25" s="245">
        <f t="shared" si="3"/>
        <v>29</v>
      </c>
      <c r="H25" s="245">
        <f t="shared" si="3"/>
        <v>29</v>
      </c>
      <c r="I25" s="166"/>
      <c r="J25" s="166"/>
      <c r="K25" s="166"/>
      <c r="L25" s="166"/>
      <c r="M25" s="166"/>
    </row>
    <row r="26" spans="1:14" ht="15" x14ac:dyDescent="0.2">
      <c r="A26" s="166"/>
      <c r="B26" s="165">
        <v>9</v>
      </c>
      <c r="C26" s="245">
        <f t="shared" si="1"/>
        <v>11</v>
      </c>
      <c r="D26" s="245">
        <f t="shared" si="3"/>
        <v>24</v>
      </c>
      <c r="E26" s="245">
        <f t="shared" si="3"/>
        <v>24</v>
      </c>
      <c r="F26" s="245">
        <f t="shared" si="3"/>
        <v>24</v>
      </c>
      <c r="G26" s="245">
        <f t="shared" si="3"/>
        <v>24</v>
      </c>
      <c r="H26" s="245">
        <f t="shared" si="3"/>
        <v>29</v>
      </c>
      <c r="I26" s="166"/>
      <c r="J26" s="166"/>
      <c r="K26" s="166"/>
      <c r="L26" s="166"/>
      <c r="M26" s="166"/>
    </row>
    <row r="27" spans="1:14" ht="15" x14ac:dyDescent="0.2">
      <c r="A27" s="166"/>
      <c r="B27" s="165">
        <v>10</v>
      </c>
      <c r="C27" s="245">
        <f t="shared" si="1"/>
        <v>10</v>
      </c>
      <c r="D27" s="245">
        <f t="shared" si="3"/>
        <v>15</v>
      </c>
      <c r="E27" s="245">
        <f t="shared" si="3"/>
        <v>19</v>
      </c>
      <c r="F27" s="245">
        <f t="shared" si="3"/>
        <v>24</v>
      </c>
      <c r="G27" s="245">
        <f t="shared" si="3"/>
        <v>24</v>
      </c>
      <c r="H27" s="245">
        <f t="shared" si="3"/>
        <v>24</v>
      </c>
      <c r="I27" s="166"/>
      <c r="J27" s="166"/>
      <c r="K27" s="166"/>
      <c r="L27" s="166"/>
      <c r="M27" s="166"/>
    </row>
    <row r="28" spans="1:14" ht="15" x14ac:dyDescent="0.2">
      <c r="A28" s="166"/>
      <c r="B28" s="165">
        <v>11</v>
      </c>
      <c r="C28" s="245">
        <f t="shared" si="1"/>
        <v>0</v>
      </c>
      <c r="D28" s="245">
        <f t="shared" si="3"/>
        <v>15</v>
      </c>
      <c r="E28" s="245">
        <f t="shared" si="3"/>
        <v>10</v>
      </c>
      <c r="F28" s="245">
        <f t="shared" si="3"/>
        <v>15</v>
      </c>
      <c r="G28" s="245">
        <f t="shared" si="3"/>
        <v>24</v>
      </c>
      <c r="H28" s="245">
        <f t="shared" si="3"/>
        <v>24</v>
      </c>
      <c r="I28" s="166"/>
      <c r="J28" s="166"/>
      <c r="K28" s="166"/>
      <c r="L28" s="166"/>
      <c r="M28" s="166"/>
    </row>
    <row r="29" spans="1:14" ht="15" x14ac:dyDescent="0.2">
      <c r="A29" s="166"/>
      <c r="B29" s="163">
        <v>12</v>
      </c>
      <c r="C29" s="245">
        <f t="shared" si="1"/>
        <v>0</v>
      </c>
      <c r="D29" s="245">
        <f t="shared" si="3"/>
        <v>0</v>
      </c>
      <c r="E29" s="245">
        <f t="shared" si="3"/>
        <v>10</v>
      </c>
      <c r="F29" s="245">
        <f t="shared" si="3"/>
        <v>10</v>
      </c>
      <c r="G29" s="245">
        <f t="shared" si="3"/>
        <v>15</v>
      </c>
      <c r="H29" s="245">
        <f t="shared" si="3"/>
        <v>24</v>
      </c>
      <c r="I29" s="166"/>
      <c r="J29" s="166"/>
      <c r="K29" s="166"/>
      <c r="L29" s="166"/>
      <c r="M29" s="166"/>
    </row>
    <row r="30" spans="1:14" ht="15" x14ac:dyDescent="0.2">
      <c r="A30" s="166"/>
      <c r="B30" s="211" t="s">
        <v>327</v>
      </c>
      <c r="C30" s="210">
        <f t="shared" ref="C30:H30" si="4">SUM(C16:C29)</f>
        <v>112</v>
      </c>
      <c r="D30" s="210">
        <f t="shared" si="4"/>
        <v>131</v>
      </c>
      <c r="E30" s="210">
        <f t="shared" si="4"/>
        <v>145</v>
      </c>
      <c r="F30" s="210">
        <f t="shared" si="4"/>
        <v>160</v>
      </c>
      <c r="G30" s="210">
        <f t="shared" si="4"/>
        <v>174</v>
      </c>
      <c r="H30" s="210">
        <f t="shared" si="4"/>
        <v>188</v>
      </c>
      <c r="I30" s="166"/>
      <c r="J30" s="209">
        <f>D30/$D$51</f>
        <v>0.97037037037037033</v>
      </c>
      <c r="K30" s="209">
        <f>E30/$E$51</f>
        <v>0.96666666666666667</v>
      </c>
      <c r="L30" s="209">
        <f>F30/$F$51</f>
        <v>0.96969696969696972</v>
      </c>
      <c r="M30" s="209">
        <f>G30/$G$51</f>
        <v>0.96666666666666667</v>
      </c>
      <c r="N30" s="209">
        <f>H30/$H$51</f>
        <v>0.96410256410256412</v>
      </c>
    </row>
    <row r="31" spans="1:14" x14ac:dyDescent="0.2">
      <c r="A31" s="166"/>
      <c r="B31" s="166"/>
      <c r="C31" s="166"/>
      <c r="D31" s="166"/>
      <c r="E31" s="166"/>
      <c r="F31" s="166"/>
      <c r="G31" s="166"/>
      <c r="H31" s="166"/>
      <c r="I31" s="166"/>
      <c r="J31" s="215"/>
      <c r="K31" s="215"/>
      <c r="L31" s="215"/>
      <c r="M31" s="215"/>
      <c r="N31" s="212"/>
    </row>
    <row r="32" spans="1:14" ht="14.25" x14ac:dyDescent="0.2">
      <c r="A32" s="166"/>
      <c r="B32" s="228" t="s">
        <v>335</v>
      </c>
      <c r="C32" s="166"/>
      <c r="D32" s="166"/>
      <c r="E32" s="166"/>
      <c r="F32" s="166"/>
      <c r="G32" s="166"/>
      <c r="H32" s="166"/>
      <c r="I32" s="166"/>
      <c r="J32" s="215"/>
      <c r="K32" s="215"/>
      <c r="L32" s="215"/>
      <c r="M32" s="215"/>
      <c r="N32" s="212"/>
    </row>
    <row r="33" spans="1:14" ht="13.5" thickBot="1" x14ac:dyDescent="0.25">
      <c r="A33" s="166"/>
      <c r="B33" s="166"/>
      <c r="C33" s="166"/>
      <c r="D33" s="166"/>
      <c r="E33" s="166"/>
      <c r="F33" s="166"/>
      <c r="G33" s="166"/>
      <c r="H33" s="166"/>
      <c r="I33" s="166"/>
      <c r="J33" s="215"/>
      <c r="K33" s="215"/>
      <c r="L33" s="215"/>
      <c r="M33" s="215"/>
      <c r="N33" s="212"/>
    </row>
    <row r="34" spans="1:14" ht="15.75" customHeight="1" x14ac:dyDescent="0.2">
      <c r="A34" s="166"/>
      <c r="B34" s="247" t="s">
        <v>331</v>
      </c>
      <c r="C34" s="250" t="s">
        <v>330</v>
      </c>
      <c r="D34" s="251"/>
      <c r="E34" s="251"/>
      <c r="F34" s="251"/>
      <c r="G34" s="251"/>
      <c r="H34" s="252"/>
      <c r="I34" s="166"/>
      <c r="J34" s="215"/>
      <c r="K34" s="215"/>
      <c r="L34" s="215"/>
      <c r="M34" s="215"/>
      <c r="N34" s="212"/>
    </row>
    <row r="35" spans="1:14" ht="15" x14ac:dyDescent="0.2">
      <c r="A35" s="166"/>
      <c r="B35" s="248"/>
      <c r="C35" s="223">
        <f>+C14</f>
        <v>2023</v>
      </c>
      <c r="D35" s="222">
        <f>+C36</f>
        <v>2024</v>
      </c>
      <c r="E35" s="222">
        <f>+D36</f>
        <v>2025</v>
      </c>
      <c r="F35" s="222">
        <f>+E36</f>
        <v>2026</v>
      </c>
      <c r="G35" s="222">
        <f>+F36</f>
        <v>2027</v>
      </c>
      <c r="H35" s="221">
        <f>+G36</f>
        <v>2028</v>
      </c>
      <c r="I35" s="166"/>
      <c r="J35" s="215"/>
      <c r="K35" s="215"/>
      <c r="L35" s="215"/>
      <c r="M35" s="215"/>
      <c r="N35" s="212"/>
    </row>
    <row r="36" spans="1:14" ht="15.75" thickBot="1" x14ac:dyDescent="0.25">
      <c r="A36" s="166"/>
      <c r="B36" s="249"/>
      <c r="C36" s="220">
        <f t="shared" ref="C36:H36" si="5">+C35+1</f>
        <v>2024</v>
      </c>
      <c r="D36" s="219">
        <f t="shared" si="5"/>
        <v>2025</v>
      </c>
      <c r="E36" s="219">
        <f t="shared" si="5"/>
        <v>2026</v>
      </c>
      <c r="F36" s="219">
        <f t="shared" si="5"/>
        <v>2027</v>
      </c>
      <c r="G36" s="219">
        <f t="shared" si="5"/>
        <v>2028</v>
      </c>
      <c r="H36" s="218">
        <f t="shared" si="5"/>
        <v>2029</v>
      </c>
      <c r="I36" s="166"/>
      <c r="J36" s="215"/>
      <c r="K36" s="215"/>
      <c r="L36" s="215"/>
      <c r="M36" s="215"/>
      <c r="N36" s="212"/>
    </row>
    <row r="37" spans="1:14" ht="15" x14ac:dyDescent="0.2">
      <c r="A37" s="166"/>
      <c r="B37" s="216" t="s">
        <v>329</v>
      </c>
      <c r="C37" s="217"/>
      <c r="D37" s="217"/>
      <c r="E37" s="217"/>
      <c r="F37" s="217"/>
      <c r="G37" s="217"/>
      <c r="H37" s="217"/>
      <c r="I37" s="166"/>
      <c r="J37" s="215"/>
      <c r="K37" s="215"/>
      <c r="L37" s="215"/>
      <c r="M37" s="215"/>
      <c r="N37" s="212"/>
    </row>
    <row r="38" spans="1:14" ht="15" x14ac:dyDescent="0.2">
      <c r="A38" s="166"/>
      <c r="B38" s="216" t="s">
        <v>328</v>
      </c>
      <c r="C38" s="214">
        <f>'6-Year (auto-populated)'!B4</f>
        <v>0</v>
      </c>
      <c r="D38" s="214">
        <f>'6-Year (auto-populated)'!C4</f>
        <v>0</v>
      </c>
      <c r="E38" s="214">
        <f>'6-Year (auto-populated)'!D4</f>
        <v>0</v>
      </c>
      <c r="F38" s="214">
        <f>'6-Year (auto-populated)'!E4</f>
        <v>0</v>
      </c>
      <c r="G38" s="214">
        <f>'6-Year (auto-populated)'!F4</f>
        <v>0</v>
      </c>
      <c r="H38" s="214">
        <f>'6-Year (auto-populated)'!G4</f>
        <v>0</v>
      </c>
      <c r="I38" s="166"/>
      <c r="J38" s="215"/>
      <c r="K38" s="215"/>
      <c r="L38" s="215"/>
      <c r="M38" s="215"/>
      <c r="N38" s="212"/>
    </row>
    <row r="39" spans="1:14" ht="15" x14ac:dyDescent="0.2">
      <c r="A39" s="166"/>
      <c r="B39" s="165">
        <v>1</v>
      </c>
      <c r="C39" s="214">
        <f>'6-Year (auto-populated)'!B5</f>
        <v>0</v>
      </c>
      <c r="D39" s="214">
        <f>'6-Year (auto-populated)'!C5</f>
        <v>0</v>
      </c>
      <c r="E39" s="214">
        <f>'6-Year (auto-populated)'!D5</f>
        <v>0</v>
      </c>
      <c r="F39" s="214">
        <f>'6-Year (auto-populated)'!E5</f>
        <v>0</v>
      </c>
      <c r="G39" s="214">
        <f>'6-Year (auto-populated)'!F5</f>
        <v>0</v>
      </c>
      <c r="H39" s="214">
        <f>'6-Year (auto-populated)'!G5</f>
        <v>0</v>
      </c>
      <c r="I39" s="166"/>
      <c r="J39" s="215"/>
      <c r="K39" s="215"/>
      <c r="L39" s="215"/>
      <c r="M39" s="215"/>
      <c r="N39" s="212"/>
    </row>
    <row r="40" spans="1:14" ht="15" x14ac:dyDescent="0.2">
      <c r="A40" s="166"/>
      <c r="B40" s="165">
        <v>2</v>
      </c>
      <c r="C40" s="214">
        <f>'6-Year (auto-populated)'!B6</f>
        <v>0</v>
      </c>
      <c r="D40" s="214">
        <f>'6-Year (auto-populated)'!C6</f>
        <v>0</v>
      </c>
      <c r="E40" s="214">
        <f>'6-Year (auto-populated)'!D6</f>
        <v>0</v>
      </c>
      <c r="F40" s="214">
        <f>'6-Year (auto-populated)'!E6</f>
        <v>0</v>
      </c>
      <c r="G40" s="214">
        <f>'6-Year (auto-populated)'!F6</f>
        <v>0</v>
      </c>
      <c r="H40" s="214">
        <f>'6-Year (auto-populated)'!G6</f>
        <v>0</v>
      </c>
      <c r="I40" s="166"/>
      <c r="J40" s="215"/>
      <c r="K40" s="215"/>
      <c r="L40" s="215"/>
      <c r="M40" s="215"/>
      <c r="N40" s="212"/>
    </row>
    <row r="41" spans="1:14" ht="15" x14ac:dyDescent="0.2">
      <c r="A41" s="166"/>
      <c r="B41" s="165">
        <v>3</v>
      </c>
      <c r="C41" s="214">
        <f>'6-Year (auto-populated)'!B7</f>
        <v>0</v>
      </c>
      <c r="D41" s="214">
        <f>'6-Year (auto-populated)'!C7</f>
        <v>0</v>
      </c>
      <c r="E41" s="214">
        <f>'6-Year (auto-populated)'!D7</f>
        <v>0</v>
      </c>
      <c r="F41" s="214">
        <f>'6-Year (auto-populated)'!E7</f>
        <v>0</v>
      </c>
      <c r="G41" s="214">
        <f>'6-Year (auto-populated)'!F7</f>
        <v>0</v>
      </c>
      <c r="H41" s="214">
        <f>'6-Year (auto-populated)'!G7</f>
        <v>0</v>
      </c>
      <c r="I41" s="166"/>
      <c r="J41" s="215"/>
      <c r="K41" s="215"/>
      <c r="L41" s="215"/>
      <c r="M41" s="215"/>
      <c r="N41" s="212"/>
    </row>
    <row r="42" spans="1:14" ht="15" x14ac:dyDescent="0.2">
      <c r="A42" s="166"/>
      <c r="B42" s="165">
        <v>4</v>
      </c>
      <c r="C42" s="214">
        <f>'6-Year (auto-populated)'!B8</f>
        <v>0</v>
      </c>
      <c r="D42" s="214">
        <f>'6-Year (auto-populated)'!C8</f>
        <v>0</v>
      </c>
      <c r="E42" s="214">
        <f>'6-Year (auto-populated)'!D8</f>
        <v>0</v>
      </c>
      <c r="F42" s="214">
        <f>'6-Year (auto-populated)'!E8</f>
        <v>0</v>
      </c>
      <c r="G42" s="214">
        <f>'6-Year (auto-populated)'!F8</f>
        <v>0</v>
      </c>
      <c r="H42" s="214">
        <f>'6-Year (auto-populated)'!G8</f>
        <v>0</v>
      </c>
      <c r="I42" s="166"/>
      <c r="J42" s="215"/>
      <c r="K42" s="215"/>
      <c r="L42" s="215"/>
      <c r="M42" s="215"/>
      <c r="N42" s="212"/>
    </row>
    <row r="43" spans="1:14" ht="15" x14ac:dyDescent="0.2">
      <c r="A43" s="166"/>
      <c r="B43" s="165">
        <v>5</v>
      </c>
      <c r="C43" s="214">
        <f>'6-Year (auto-populated)'!B9</f>
        <v>0</v>
      </c>
      <c r="D43" s="214">
        <f>'6-Year (auto-populated)'!C9</f>
        <v>0</v>
      </c>
      <c r="E43" s="214">
        <f>'6-Year (auto-populated)'!D9</f>
        <v>0</v>
      </c>
      <c r="F43" s="214">
        <f>'6-Year (auto-populated)'!E9</f>
        <v>0</v>
      </c>
      <c r="G43" s="214">
        <f>'6-Year (auto-populated)'!F9</f>
        <v>0</v>
      </c>
      <c r="H43" s="214">
        <f>'6-Year (auto-populated)'!G9</f>
        <v>0</v>
      </c>
      <c r="I43" s="166"/>
      <c r="J43" s="215"/>
      <c r="K43" s="215"/>
      <c r="L43" s="215"/>
      <c r="M43" s="215"/>
      <c r="N43" s="212"/>
    </row>
    <row r="44" spans="1:14" ht="15" x14ac:dyDescent="0.2">
      <c r="A44" s="166"/>
      <c r="B44" s="165">
        <v>6</v>
      </c>
      <c r="C44" s="214">
        <f>'6-Year (auto-populated)'!B10</f>
        <v>30</v>
      </c>
      <c r="D44" s="214">
        <f>'6-Year (auto-populated)'!C10</f>
        <v>30</v>
      </c>
      <c r="E44" s="214">
        <f>'6-Year (auto-populated)'!D10</f>
        <v>30</v>
      </c>
      <c r="F44" s="214">
        <f>'6-Year (auto-populated)'!E10</f>
        <v>30</v>
      </c>
      <c r="G44" s="214">
        <f>'6-Year (auto-populated)'!F10</f>
        <v>30</v>
      </c>
      <c r="H44" s="214">
        <f>'6-Year (auto-populated)'!G10</f>
        <v>30</v>
      </c>
      <c r="I44" s="166"/>
      <c r="J44" s="215"/>
      <c r="K44" s="215"/>
      <c r="L44" s="215"/>
      <c r="M44" s="215"/>
      <c r="N44" s="212"/>
    </row>
    <row r="45" spans="1:14" ht="15" x14ac:dyDescent="0.2">
      <c r="A45" s="166"/>
      <c r="B45" s="165">
        <v>7</v>
      </c>
      <c r="C45" s="214">
        <f>'6-Year (auto-populated)'!B11</f>
        <v>40</v>
      </c>
      <c r="D45" s="214">
        <f>'6-Year (auto-populated)'!C11</f>
        <v>25</v>
      </c>
      <c r="E45" s="214">
        <f>'6-Year (auto-populated)'!D11</f>
        <v>30</v>
      </c>
      <c r="F45" s="214">
        <f>'6-Year (auto-populated)'!E11</f>
        <v>30</v>
      </c>
      <c r="G45" s="214">
        <f>'6-Year (auto-populated)'!F11</f>
        <v>30</v>
      </c>
      <c r="H45" s="214">
        <f>'6-Year (auto-populated)'!G11</f>
        <v>30</v>
      </c>
      <c r="I45" s="166"/>
      <c r="J45" s="215"/>
      <c r="K45" s="215"/>
      <c r="L45" s="215"/>
      <c r="M45" s="215"/>
      <c r="N45" s="212"/>
    </row>
    <row r="46" spans="1:14" ht="15" x14ac:dyDescent="0.2">
      <c r="A46" s="166"/>
      <c r="B46" s="165">
        <v>8</v>
      </c>
      <c r="C46" s="214">
        <f>'6-Year (auto-populated)'!B12</f>
        <v>25</v>
      </c>
      <c r="D46" s="214">
        <f>'6-Year (auto-populated)'!C12</f>
        <v>25</v>
      </c>
      <c r="E46" s="214">
        <f>'6-Year (auto-populated)'!D12</f>
        <v>25</v>
      </c>
      <c r="F46" s="214">
        <f>'6-Year (auto-populated)'!E12</f>
        <v>30</v>
      </c>
      <c r="G46" s="214">
        <f>'6-Year (auto-populated)'!F12</f>
        <v>30</v>
      </c>
      <c r="H46" s="214">
        <f>'6-Year (auto-populated)'!G12</f>
        <v>30</v>
      </c>
      <c r="I46" s="166"/>
      <c r="J46" s="215"/>
      <c r="K46" s="215"/>
      <c r="L46" s="215"/>
      <c r="M46" s="215"/>
      <c r="N46" s="212"/>
    </row>
    <row r="47" spans="1:14" ht="15" x14ac:dyDescent="0.2">
      <c r="A47" s="166"/>
      <c r="B47" s="165">
        <v>9</v>
      </c>
      <c r="C47" s="214">
        <f>'6-Year (auto-populated)'!B13</f>
        <v>12</v>
      </c>
      <c r="D47" s="214">
        <f>'6-Year (auto-populated)'!C13</f>
        <v>25</v>
      </c>
      <c r="E47" s="214">
        <f>'6-Year (auto-populated)'!D13</f>
        <v>25</v>
      </c>
      <c r="F47" s="214">
        <f>'6-Year (auto-populated)'!E13</f>
        <v>25</v>
      </c>
      <c r="G47" s="214">
        <f>'6-Year (auto-populated)'!F13</f>
        <v>25</v>
      </c>
      <c r="H47" s="214">
        <f>'6-Year (auto-populated)'!G13</f>
        <v>30</v>
      </c>
      <c r="I47" s="166"/>
      <c r="J47" s="215"/>
      <c r="K47" s="215"/>
      <c r="L47" s="215"/>
      <c r="M47" s="215"/>
      <c r="N47" s="212"/>
    </row>
    <row r="48" spans="1:14" ht="15" x14ac:dyDescent="0.2">
      <c r="A48" s="166"/>
      <c r="B48" s="165">
        <v>10</v>
      </c>
      <c r="C48" s="214">
        <f>'6-Year (auto-populated)'!B14</f>
        <v>11</v>
      </c>
      <c r="D48" s="214">
        <f>'6-Year (auto-populated)'!C14</f>
        <v>15</v>
      </c>
      <c r="E48" s="214">
        <f>'6-Year (auto-populated)'!D14</f>
        <v>20</v>
      </c>
      <c r="F48" s="214">
        <f>'6-Year (auto-populated)'!E14</f>
        <v>25</v>
      </c>
      <c r="G48" s="214">
        <f>'6-Year (auto-populated)'!F14</f>
        <v>25</v>
      </c>
      <c r="H48" s="214">
        <f>'6-Year (auto-populated)'!G14</f>
        <v>25</v>
      </c>
      <c r="I48" s="166"/>
      <c r="J48" s="215"/>
      <c r="K48" s="215"/>
      <c r="L48" s="215"/>
      <c r="M48" s="215"/>
      <c r="N48" s="212"/>
    </row>
    <row r="49" spans="1:14" ht="15" x14ac:dyDescent="0.2">
      <c r="A49" s="166"/>
      <c r="B49" s="165">
        <v>11</v>
      </c>
      <c r="C49" s="214">
        <f>'6-Year (auto-populated)'!B15</f>
        <v>0</v>
      </c>
      <c r="D49" s="214">
        <f>'6-Year (auto-populated)'!C15</f>
        <v>15</v>
      </c>
      <c r="E49" s="214">
        <f>'6-Year (auto-populated)'!D15</f>
        <v>10</v>
      </c>
      <c r="F49" s="214">
        <f>'6-Year (auto-populated)'!E15</f>
        <v>15</v>
      </c>
      <c r="G49" s="214">
        <f>'6-Year (auto-populated)'!F15</f>
        <v>25</v>
      </c>
      <c r="H49" s="214">
        <f>'6-Year (auto-populated)'!G15</f>
        <v>25</v>
      </c>
      <c r="I49" s="166"/>
      <c r="J49" s="215"/>
      <c r="K49" s="215"/>
      <c r="L49" s="215"/>
      <c r="M49" s="215"/>
      <c r="N49" s="212"/>
    </row>
    <row r="50" spans="1:14" ht="15" x14ac:dyDescent="0.2">
      <c r="A50" s="166"/>
      <c r="B50" s="163">
        <v>12</v>
      </c>
      <c r="C50" s="214">
        <f>'6-Year (auto-populated)'!B16</f>
        <v>0</v>
      </c>
      <c r="D50" s="214">
        <f>'6-Year (auto-populated)'!C16</f>
        <v>0</v>
      </c>
      <c r="E50" s="214">
        <f>'6-Year (auto-populated)'!D16</f>
        <v>10</v>
      </c>
      <c r="F50" s="214">
        <f>'6-Year (auto-populated)'!E16</f>
        <v>10</v>
      </c>
      <c r="G50" s="214">
        <f>'6-Year (auto-populated)'!F16</f>
        <v>15</v>
      </c>
      <c r="H50" s="214">
        <f>'6-Year (auto-populated)'!G16</f>
        <v>25</v>
      </c>
      <c r="I50" s="166"/>
      <c r="J50" s="215"/>
      <c r="K50" s="215"/>
      <c r="L50" s="215"/>
      <c r="M50" s="215"/>
      <c r="N50" s="212"/>
    </row>
    <row r="51" spans="1:14" ht="15" x14ac:dyDescent="0.2">
      <c r="A51" s="166"/>
      <c r="B51" s="211" t="s">
        <v>327</v>
      </c>
      <c r="C51" s="210">
        <f t="shared" ref="C51:H51" si="6">SUM(C37:C50)</f>
        <v>118</v>
      </c>
      <c r="D51" s="210">
        <f t="shared" si="6"/>
        <v>135</v>
      </c>
      <c r="E51" s="210">
        <f t="shared" si="6"/>
        <v>150</v>
      </c>
      <c r="F51" s="210">
        <f t="shared" si="6"/>
        <v>165</v>
      </c>
      <c r="G51" s="210">
        <f t="shared" si="6"/>
        <v>180</v>
      </c>
      <c r="H51" s="210">
        <f t="shared" si="6"/>
        <v>195</v>
      </c>
      <c r="I51" s="166"/>
      <c r="J51" s="227">
        <f>D51/$D$51</f>
        <v>1</v>
      </c>
      <c r="K51" s="227">
        <f>E51/$E$51</f>
        <v>1</v>
      </c>
      <c r="L51" s="227">
        <f>F51/$F$51</f>
        <v>1</v>
      </c>
      <c r="M51" s="227">
        <f>G51/$G$51</f>
        <v>1</v>
      </c>
      <c r="N51" s="227">
        <f>H51/$H$51</f>
        <v>1</v>
      </c>
    </row>
    <row r="52" spans="1:14" x14ac:dyDescent="0.2">
      <c r="A52" s="166"/>
      <c r="B52" s="166"/>
      <c r="C52" s="166"/>
      <c r="D52" s="166"/>
      <c r="E52" s="166"/>
      <c r="F52" s="166"/>
      <c r="G52" s="166"/>
      <c r="H52" s="166"/>
      <c r="I52" s="166"/>
      <c r="J52" s="215"/>
      <c r="K52" s="215"/>
      <c r="L52" s="215"/>
      <c r="M52" s="215"/>
      <c r="N52" s="212"/>
    </row>
    <row r="53" spans="1:14" ht="14.25" x14ac:dyDescent="0.2">
      <c r="A53" s="166"/>
      <c r="B53" s="226" t="s">
        <v>334</v>
      </c>
      <c r="C53" s="224"/>
      <c r="D53" s="224"/>
      <c r="E53" s="224"/>
      <c r="F53" s="224"/>
      <c r="G53" s="224"/>
      <c r="H53" s="224"/>
      <c r="I53" s="166"/>
      <c r="J53" s="215"/>
      <c r="K53" s="215"/>
      <c r="L53" s="215"/>
      <c r="M53" s="215"/>
      <c r="N53" s="212"/>
    </row>
    <row r="54" spans="1:14" ht="14.25" x14ac:dyDescent="0.2">
      <c r="A54" s="166"/>
      <c r="B54" s="226" t="s">
        <v>333</v>
      </c>
      <c r="C54" s="224"/>
      <c r="D54" s="224"/>
      <c r="E54" s="224"/>
      <c r="F54" s="224"/>
      <c r="G54" s="224"/>
      <c r="H54" s="224"/>
      <c r="I54" s="166"/>
      <c r="J54" s="215"/>
      <c r="K54" s="215"/>
      <c r="L54" s="215"/>
      <c r="M54" s="215"/>
      <c r="N54" s="212"/>
    </row>
    <row r="55" spans="1:14" x14ac:dyDescent="0.2">
      <c r="A55" s="166"/>
      <c r="B55" s="225" t="s">
        <v>332</v>
      </c>
      <c r="C55" s="224"/>
      <c r="D55" s="224"/>
      <c r="E55" s="224"/>
      <c r="F55" s="224"/>
      <c r="G55" s="224"/>
      <c r="H55" s="224"/>
      <c r="I55" s="166"/>
      <c r="J55" s="215"/>
      <c r="K55" s="215"/>
      <c r="L55" s="215"/>
      <c r="M55" s="215"/>
      <c r="N55" s="212"/>
    </row>
    <row r="56" spans="1:14" ht="13.5" thickBot="1" x14ac:dyDescent="0.25">
      <c r="A56" s="166"/>
      <c r="B56" s="166"/>
      <c r="C56" s="166"/>
      <c r="D56" s="166"/>
      <c r="E56" s="166"/>
      <c r="F56" s="166"/>
      <c r="G56" s="166"/>
      <c r="H56" s="166"/>
      <c r="I56" s="166"/>
      <c r="J56" s="215"/>
      <c r="K56" s="215"/>
      <c r="L56" s="215"/>
      <c r="M56" s="215"/>
      <c r="N56" s="212"/>
    </row>
    <row r="57" spans="1:14" ht="15.75" customHeight="1" x14ac:dyDescent="0.2">
      <c r="A57" s="166"/>
      <c r="B57" s="247" t="s">
        <v>331</v>
      </c>
      <c r="C57" s="250" t="s">
        <v>330</v>
      </c>
      <c r="D57" s="251"/>
      <c r="E57" s="251"/>
      <c r="F57" s="251"/>
      <c r="G57" s="251"/>
      <c r="H57" s="252"/>
      <c r="I57" s="166"/>
      <c r="J57" s="215"/>
      <c r="K57" s="215"/>
      <c r="L57" s="215"/>
      <c r="M57" s="215"/>
      <c r="N57" s="212"/>
    </row>
    <row r="58" spans="1:14" ht="15" x14ac:dyDescent="0.2">
      <c r="A58" s="166"/>
      <c r="B58" s="248"/>
      <c r="C58" s="223">
        <f>+C14</f>
        <v>2023</v>
      </c>
      <c r="D58" s="222">
        <f>+C59</f>
        <v>2024</v>
      </c>
      <c r="E58" s="222">
        <f>+D59</f>
        <v>2025</v>
      </c>
      <c r="F58" s="222">
        <f>+E59</f>
        <v>2026</v>
      </c>
      <c r="G58" s="222">
        <f>+F59</f>
        <v>2027</v>
      </c>
      <c r="H58" s="221">
        <f>+G59</f>
        <v>2028</v>
      </c>
      <c r="I58" s="166"/>
      <c r="J58" s="215"/>
      <c r="K58" s="215"/>
      <c r="L58" s="215"/>
      <c r="M58" s="215"/>
      <c r="N58" s="212"/>
    </row>
    <row r="59" spans="1:14" ht="15.75" thickBot="1" x14ac:dyDescent="0.25">
      <c r="A59" s="166"/>
      <c r="B59" s="249"/>
      <c r="C59" s="220">
        <f t="shared" ref="C59:H59" si="7">+C58+1</f>
        <v>2024</v>
      </c>
      <c r="D59" s="219">
        <f t="shared" si="7"/>
        <v>2025</v>
      </c>
      <c r="E59" s="219">
        <f t="shared" si="7"/>
        <v>2026</v>
      </c>
      <c r="F59" s="219">
        <f t="shared" si="7"/>
        <v>2027</v>
      </c>
      <c r="G59" s="219">
        <f t="shared" si="7"/>
        <v>2028</v>
      </c>
      <c r="H59" s="218">
        <f t="shared" si="7"/>
        <v>2029</v>
      </c>
      <c r="I59" s="166"/>
      <c r="J59" s="215"/>
      <c r="K59" s="215"/>
      <c r="L59" s="215"/>
      <c r="M59" s="215"/>
      <c r="N59" s="212"/>
    </row>
    <row r="60" spans="1:14" ht="15" x14ac:dyDescent="0.2">
      <c r="A60" s="166"/>
      <c r="B60" s="216" t="s">
        <v>329</v>
      </c>
      <c r="C60" s="217"/>
      <c r="D60" s="217"/>
      <c r="E60" s="217"/>
      <c r="F60" s="217"/>
      <c r="G60" s="217"/>
      <c r="H60" s="217"/>
      <c r="I60" s="166"/>
      <c r="J60" s="215"/>
      <c r="K60" s="215"/>
      <c r="L60" s="215"/>
      <c r="M60" s="215"/>
      <c r="N60" s="212"/>
    </row>
    <row r="61" spans="1:14" ht="15" x14ac:dyDescent="0.2">
      <c r="A61" s="166"/>
      <c r="B61" s="216" t="s">
        <v>328</v>
      </c>
      <c r="C61" s="214">
        <v>0</v>
      </c>
      <c r="D61" s="213">
        <f t="shared" ref="D61:H73" si="8">ROUND(D38*1.05,0)</f>
        <v>0</v>
      </c>
      <c r="E61" s="213">
        <f t="shared" si="8"/>
        <v>0</v>
      </c>
      <c r="F61" s="213">
        <f t="shared" si="8"/>
        <v>0</v>
      </c>
      <c r="G61" s="213">
        <f t="shared" si="8"/>
        <v>0</v>
      </c>
      <c r="H61" s="213">
        <f t="shared" si="8"/>
        <v>0</v>
      </c>
      <c r="I61" s="166"/>
      <c r="J61" s="215"/>
      <c r="K61" s="215"/>
      <c r="L61" s="215"/>
      <c r="M61" s="215"/>
      <c r="N61" s="212"/>
    </row>
    <row r="62" spans="1:14" ht="15" x14ac:dyDescent="0.2">
      <c r="A62" s="166"/>
      <c r="B62" s="165">
        <v>1</v>
      </c>
      <c r="C62" s="214">
        <v>0</v>
      </c>
      <c r="D62" s="213">
        <f t="shared" si="8"/>
        <v>0</v>
      </c>
      <c r="E62" s="213">
        <f t="shared" si="8"/>
        <v>0</v>
      </c>
      <c r="F62" s="213">
        <f t="shared" si="8"/>
        <v>0</v>
      </c>
      <c r="G62" s="213">
        <f t="shared" si="8"/>
        <v>0</v>
      </c>
      <c r="H62" s="213">
        <f t="shared" si="8"/>
        <v>0</v>
      </c>
      <c r="I62" s="166"/>
      <c r="J62" s="215"/>
      <c r="K62" s="215"/>
      <c r="L62" s="215"/>
      <c r="M62" s="215"/>
      <c r="N62" s="212"/>
    </row>
    <row r="63" spans="1:14" ht="15" x14ac:dyDescent="0.2">
      <c r="A63" s="166"/>
      <c r="B63" s="165">
        <v>2</v>
      </c>
      <c r="C63" s="214">
        <v>0</v>
      </c>
      <c r="D63" s="213">
        <f t="shared" si="8"/>
        <v>0</v>
      </c>
      <c r="E63" s="213">
        <f t="shared" si="8"/>
        <v>0</v>
      </c>
      <c r="F63" s="213">
        <f t="shared" si="8"/>
        <v>0</v>
      </c>
      <c r="G63" s="213">
        <f t="shared" si="8"/>
        <v>0</v>
      </c>
      <c r="H63" s="213">
        <f t="shared" si="8"/>
        <v>0</v>
      </c>
      <c r="I63" s="166"/>
      <c r="J63" s="215"/>
      <c r="K63" s="215"/>
      <c r="L63" s="215"/>
      <c r="M63" s="215"/>
      <c r="N63" s="212"/>
    </row>
    <row r="64" spans="1:14" ht="15" x14ac:dyDescent="0.2">
      <c r="A64" s="166"/>
      <c r="B64" s="165">
        <v>3</v>
      </c>
      <c r="C64" s="214">
        <v>0</v>
      </c>
      <c r="D64" s="213">
        <f t="shared" si="8"/>
        <v>0</v>
      </c>
      <c r="E64" s="213">
        <f t="shared" si="8"/>
        <v>0</v>
      </c>
      <c r="F64" s="213">
        <f t="shared" si="8"/>
        <v>0</v>
      </c>
      <c r="G64" s="213">
        <f t="shared" si="8"/>
        <v>0</v>
      </c>
      <c r="H64" s="213">
        <f t="shared" si="8"/>
        <v>0</v>
      </c>
      <c r="I64" s="166"/>
      <c r="J64" s="215"/>
      <c r="K64" s="215"/>
      <c r="L64" s="215"/>
      <c r="M64" s="215"/>
      <c r="N64" s="212"/>
    </row>
    <row r="65" spans="2:14" ht="15" x14ac:dyDescent="0.2">
      <c r="B65" s="165">
        <v>4</v>
      </c>
      <c r="C65" s="214">
        <v>0</v>
      </c>
      <c r="D65" s="213">
        <f t="shared" si="8"/>
        <v>0</v>
      </c>
      <c r="E65" s="213">
        <f t="shared" si="8"/>
        <v>0</v>
      </c>
      <c r="F65" s="213">
        <f t="shared" si="8"/>
        <v>0</v>
      </c>
      <c r="G65" s="213">
        <f t="shared" si="8"/>
        <v>0</v>
      </c>
      <c r="H65" s="213">
        <f t="shared" si="8"/>
        <v>0</v>
      </c>
      <c r="J65" s="212"/>
      <c r="K65" s="212"/>
      <c r="L65" s="212"/>
      <c r="M65" s="212"/>
      <c r="N65" s="212"/>
    </row>
    <row r="66" spans="2:14" ht="15" x14ac:dyDescent="0.2">
      <c r="B66" s="165">
        <v>5</v>
      </c>
      <c r="C66" s="214">
        <v>0</v>
      </c>
      <c r="D66" s="213">
        <f t="shared" si="8"/>
        <v>0</v>
      </c>
      <c r="E66" s="213">
        <f t="shared" si="8"/>
        <v>0</v>
      </c>
      <c r="F66" s="213">
        <f t="shared" si="8"/>
        <v>0</v>
      </c>
      <c r="G66" s="213">
        <f t="shared" si="8"/>
        <v>0</v>
      </c>
      <c r="H66" s="213">
        <f t="shared" si="8"/>
        <v>0</v>
      </c>
      <c r="J66" s="212"/>
      <c r="K66" s="212"/>
      <c r="L66" s="212"/>
      <c r="M66" s="212"/>
      <c r="N66" s="212"/>
    </row>
    <row r="67" spans="2:14" ht="15" x14ac:dyDescent="0.2">
      <c r="B67" s="165">
        <v>6</v>
      </c>
      <c r="C67" s="245">
        <f t="shared" ref="C67:C73" si="9">ROUND(C44*1.05,0)</f>
        <v>32</v>
      </c>
      <c r="D67" s="245">
        <f t="shared" si="8"/>
        <v>32</v>
      </c>
      <c r="E67" s="245">
        <f t="shared" si="8"/>
        <v>32</v>
      </c>
      <c r="F67" s="245">
        <f t="shared" si="8"/>
        <v>32</v>
      </c>
      <c r="G67" s="245">
        <f t="shared" si="8"/>
        <v>32</v>
      </c>
      <c r="H67" s="245">
        <f t="shared" si="8"/>
        <v>32</v>
      </c>
      <c r="J67" s="212"/>
      <c r="K67" s="212"/>
      <c r="L67" s="212"/>
      <c r="M67" s="212"/>
      <c r="N67" s="212"/>
    </row>
    <row r="68" spans="2:14" ht="15" x14ac:dyDescent="0.2">
      <c r="B68" s="165">
        <v>7</v>
      </c>
      <c r="C68" s="245">
        <f t="shared" si="9"/>
        <v>42</v>
      </c>
      <c r="D68" s="245">
        <f t="shared" si="8"/>
        <v>26</v>
      </c>
      <c r="E68" s="245">
        <f t="shared" si="8"/>
        <v>32</v>
      </c>
      <c r="F68" s="245">
        <f t="shared" si="8"/>
        <v>32</v>
      </c>
      <c r="G68" s="245">
        <f t="shared" si="8"/>
        <v>32</v>
      </c>
      <c r="H68" s="245">
        <f t="shared" si="8"/>
        <v>32</v>
      </c>
      <c r="J68" s="212"/>
      <c r="K68" s="212"/>
      <c r="L68" s="212"/>
      <c r="M68" s="212"/>
      <c r="N68" s="212"/>
    </row>
    <row r="69" spans="2:14" ht="15" x14ac:dyDescent="0.2">
      <c r="B69" s="165">
        <v>8</v>
      </c>
      <c r="C69" s="245">
        <f t="shared" si="9"/>
        <v>26</v>
      </c>
      <c r="D69" s="245">
        <f t="shared" si="8"/>
        <v>26</v>
      </c>
      <c r="E69" s="245">
        <f t="shared" si="8"/>
        <v>26</v>
      </c>
      <c r="F69" s="245">
        <f t="shared" si="8"/>
        <v>32</v>
      </c>
      <c r="G69" s="245">
        <f t="shared" si="8"/>
        <v>32</v>
      </c>
      <c r="H69" s="245">
        <f t="shared" si="8"/>
        <v>32</v>
      </c>
      <c r="J69" s="212"/>
      <c r="K69" s="212"/>
      <c r="L69" s="212"/>
      <c r="M69" s="212"/>
      <c r="N69" s="212"/>
    </row>
    <row r="70" spans="2:14" ht="15" x14ac:dyDescent="0.2">
      <c r="B70" s="165">
        <v>9</v>
      </c>
      <c r="C70" s="245">
        <f t="shared" si="9"/>
        <v>13</v>
      </c>
      <c r="D70" s="245">
        <f t="shared" si="8"/>
        <v>26</v>
      </c>
      <c r="E70" s="245">
        <f t="shared" si="8"/>
        <v>26</v>
      </c>
      <c r="F70" s="245">
        <f t="shared" si="8"/>
        <v>26</v>
      </c>
      <c r="G70" s="245">
        <f t="shared" si="8"/>
        <v>26</v>
      </c>
      <c r="H70" s="245">
        <f t="shared" si="8"/>
        <v>32</v>
      </c>
      <c r="J70" s="212"/>
      <c r="K70" s="212"/>
      <c r="L70" s="212"/>
      <c r="M70" s="212"/>
      <c r="N70" s="212"/>
    </row>
    <row r="71" spans="2:14" ht="15" x14ac:dyDescent="0.2">
      <c r="B71" s="165">
        <v>10</v>
      </c>
      <c r="C71" s="245">
        <f t="shared" si="9"/>
        <v>12</v>
      </c>
      <c r="D71" s="245">
        <f t="shared" si="8"/>
        <v>16</v>
      </c>
      <c r="E71" s="245">
        <f t="shared" si="8"/>
        <v>21</v>
      </c>
      <c r="F71" s="245">
        <f t="shared" si="8"/>
        <v>26</v>
      </c>
      <c r="G71" s="245">
        <f t="shared" si="8"/>
        <v>26</v>
      </c>
      <c r="H71" s="245">
        <f t="shared" si="8"/>
        <v>26</v>
      </c>
      <c r="J71" s="212"/>
      <c r="K71" s="212"/>
      <c r="L71" s="212"/>
      <c r="M71" s="212"/>
      <c r="N71" s="212"/>
    </row>
    <row r="72" spans="2:14" ht="15" x14ac:dyDescent="0.2">
      <c r="B72" s="165">
        <v>11</v>
      </c>
      <c r="C72" s="245">
        <f t="shared" si="9"/>
        <v>0</v>
      </c>
      <c r="D72" s="245">
        <f t="shared" si="8"/>
        <v>16</v>
      </c>
      <c r="E72" s="245">
        <f t="shared" si="8"/>
        <v>11</v>
      </c>
      <c r="F72" s="245">
        <f t="shared" si="8"/>
        <v>16</v>
      </c>
      <c r="G72" s="245">
        <f t="shared" si="8"/>
        <v>26</v>
      </c>
      <c r="H72" s="245">
        <f t="shared" si="8"/>
        <v>26</v>
      </c>
      <c r="J72" s="212"/>
      <c r="K72" s="212"/>
      <c r="L72" s="212"/>
      <c r="M72" s="212"/>
      <c r="N72" s="212"/>
    </row>
    <row r="73" spans="2:14" ht="15" x14ac:dyDescent="0.2">
      <c r="B73" s="163">
        <v>12</v>
      </c>
      <c r="C73" s="245">
        <f t="shared" si="9"/>
        <v>0</v>
      </c>
      <c r="D73" s="245">
        <f t="shared" si="8"/>
        <v>0</v>
      </c>
      <c r="E73" s="245">
        <f t="shared" si="8"/>
        <v>11</v>
      </c>
      <c r="F73" s="245">
        <f t="shared" si="8"/>
        <v>11</v>
      </c>
      <c r="G73" s="245">
        <f t="shared" si="8"/>
        <v>16</v>
      </c>
      <c r="H73" s="245">
        <f t="shared" si="8"/>
        <v>26</v>
      </c>
      <c r="J73" s="212"/>
      <c r="K73" s="212"/>
      <c r="L73" s="212"/>
      <c r="M73" s="212"/>
      <c r="N73" s="212"/>
    </row>
    <row r="74" spans="2:14" ht="15" x14ac:dyDescent="0.2">
      <c r="B74" s="211" t="s">
        <v>327</v>
      </c>
      <c r="C74" s="210">
        <f t="shared" ref="C74:H74" si="10">SUM(C60:C73)</f>
        <v>125</v>
      </c>
      <c r="D74" s="210">
        <f t="shared" si="10"/>
        <v>142</v>
      </c>
      <c r="E74" s="210">
        <f t="shared" si="10"/>
        <v>159</v>
      </c>
      <c r="F74" s="210">
        <f t="shared" si="10"/>
        <v>175</v>
      </c>
      <c r="G74" s="210">
        <f t="shared" si="10"/>
        <v>190</v>
      </c>
      <c r="H74" s="210">
        <f t="shared" si="10"/>
        <v>206</v>
      </c>
      <c r="J74" s="209">
        <f>D74/$D$51</f>
        <v>1.0518518518518518</v>
      </c>
      <c r="K74" s="209">
        <f>E74/$E$51</f>
        <v>1.06</v>
      </c>
      <c r="L74" s="209">
        <f>F74/$F$51</f>
        <v>1.0606060606060606</v>
      </c>
      <c r="M74" s="209">
        <f>G74/$G$51</f>
        <v>1.0555555555555556</v>
      </c>
      <c r="N74" s="209">
        <f>H74/$H$51</f>
        <v>1.0564102564102564</v>
      </c>
    </row>
  </sheetData>
  <mergeCells count="7">
    <mergeCell ref="A5:H5"/>
    <mergeCell ref="B13:B15"/>
    <mergeCell ref="C13:H13"/>
    <mergeCell ref="C34:H34"/>
    <mergeCell ref="C57:H57"/>
    <mergeCell ref="B34:B36"/>
    <mergeCell ref="B57:B59"/>
  </mergeCells>
  <pageMargins left="0.35" right="0.25" top="0.32" bottom="0.5" header="0.32" footer="0.3"/>
  <pageSetup scale="97" orientation="portrait" r:id="rId1"/>
  <headerFooter alignWithMargins="0">
    <oddFooter>&amp;L&amp;7&amp;D  at &amp;T Mike 702.486.8879&amp;C&amp;7Page &amp;P of &amp;N&amp;R&amp;7&amp;F  &amp;A</oddFooter>
  </headerFooter>
  <rowBreaks count="1" manualBreakCount="1">
    <brk id="52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8"/>
  <sheetViews>
    <sheetView showGridLines="0" topLeftCell="A110" zoomScale="80" zoomScaleNormal="80" zoomScaleSheetLayoutView="100" workbookViewId="0">
      <selection activeCell="I48" sqref="I48"/>
    </sheetView>
  </sheetViews>
  <sheetFormatPr defaultColWidth="8.85546875" defaultRowHeight="12.75" x14ac:dyDescent="0.2"/>
  <cols>
    <col min="1" max="1" width="2.7109375" style="150" customWidth="1"/>
    <col min="2" max="2" width="43.28515625" style="150" customWidth="1"/>
    <col min="3" max="8" width="8.85546875" style="150"/>
    <col min="9" max="9" width="2.85546875" style="150" customWidth="1"/>
    <col min="10" max="16384" width="8.85546875" style="150"/>
  </cols>
  <sheetData>
    <row r="1" spans="1:16" ht="15.75" x14ac:dyDescent="0.25">
      <c r="A1" s="207" t="s">
        <v>325</v>
      </c>
      <c r="B1" s="207"/>
      <c r="C1" s="207"/>
    </row>
    <row r="2" spans="1:16" ht="15.75" x14ac:dyDescent="0.25">
      <c r="A2" s="206" t="s">
        <v>324</v>
      </c>
      <c r="B2" s="205"/>
      <c r="C2" s="205"/>
    </row>
    <row r="3" spans="1:16" x14ac:dyDescent="0.2">
      <c r="A3" s="204" t="s">
        <v>323</v>
      </c>
    </row>
    <row r="4" spans="1:16" x14ac:dyDescent="0.2">
      <c r="A4" s="203" t="s">
        <v>322</v>
      </c>
    </row>
    <row r="5" spans="1:16" x14ac:dyDescent="0.2">
      <c r="A5" s="201" t="str">
        <f ca="1">CELL("filename")</f>
        <v>C:\Users\Paul.Ballou\AppData\Local\Microsoft\Windows\INetCache\Content.MSO\[Copy of 04_YWLA 6-Year Budget_02.13.24.xlsx]Enrollment Tables</v>
      </c>
    </row>
    <row r="6" spans="1:16" x14ac:dyDescent="0.2">
      <c r="A6" s="201"/>
    </row>
    <row r="7" spans="1:16" ht="14.25" x14ac:dyDescent="0.2">
      <c r="A7" s="201"/>
      <c r="B7" s="202" t="s">
        <v>321</v>
      </c>
    </row>
    <row r="8" spans="1:16" x14ac:dyDescent="0.2">
      <c r="A8" s="201"/>
    </row>
    <row r="9" spans="1:16" x14ac:dyDescent="0.2">
      <c r="A9" s="201"/>
    </row>
    <row r="10" spans="1:16" x14ac:dyDescent="0.2">
      <c r="A10" s="201"/>
    </row>
    <row r="11" spans="1:16" x14ac:dyDescent="0.2">
      <c r="A11" s="166"/>
      <c r="B11" s="166"/>
      <c r="C11" s="200" t="s">
        <v>320</v>
      </c>
      <c r="D11" s="199"/>
      <c r="E11" s="199"/>
      <c r="F11" s="199"/>
      <c r="G11" s="199"/>
      <c r="H11" s="198"/>
      <c r="I11" s="166"/>
      <c r="J11" s="166"/>
      <c r="K11" s="166"/>
      <c r="L11" s="166"/>
      <c r="M11" s="166"/>
      <c r="N11" s="166"/>
      <c r="O11" s="166"/>
      <c r="P11" s="166"/>
    </row>
    <row r="12" spans="1:16" x14ac:dyDescent="0.2">
      <c r="A12" s="166"/>
      <c r="B12" s="197" t="s">
        <v>319</v>
      </c>
      <c r="C12" s="196">
        <v>2023</v>
      </c>
      <c r="D12" s="195">
        <f>+C13</f>
        <v>2024</v>
      </c>
      <c r="E12" s="195">
        <f>+D13</f>
        <v>2025</v>
      </c>
      <c r="F12" s="195">
        <f>+E13</f>
        <v>2026</v>
      </c>
      <c r="G12" s="195">
        <f>+F13</f>
        <v>2027</v>
      </c>
      <c r="H12" s="194">
        <f>+G13</f>
        <v>2028</v>
      </c>
      <c r="I12" s="166"/>
      <c r="J12" s="166"/>
      <c r="K12" s="166"/>
      <c r="L12" s="166"/>
      <c r="M12" s="166"/>
      <c r="N12" s="166"/>
      <c r="O12" s="166"/>
      <c r="P12" s="166"/>
    </row>
    <row r="13" spans="1:16" x14ac:dyDescent="0.2">
      <c r="A13" s="166"/>
      <c r="B13" s="166"/>
      <c r="C13" s="193">
        <f t="shared" ref="C13:H13" si="0">+C12+1</f>
        <v>2024</v>
      </c>
      <c r="D13" s="192">
        <f t="shared" si="0"/>
        <v>2025</v>
      </c>
      <c r="E13" s="192">
        <f t="shared" si="0"/>
        <v>2026</v>
      </c>
      <c r="F13" s="192">
        <f t="shared" si="0"/>
        <v>2027</v>
      </c>
      <c r="G13" s="192">
        <f t="shared" si="0"/>
        <v>2028</v>
      </c>
      <c r="H13" s="191">
        <f t="shared" si="0"/>
        <v>2029</v>
      </c>
      <c r="I13" s="166"/>
      <c r="J13" s="166"/>
      <c r="K13" s="166"/>
      <c r="L13" s="166"/>
      <c r="M13" s="166"/>
      <c r="N13" s="166"/>
      <c r="O13" s="166"/>
      <c r="P13" s="166"/>
    </row>
    <row r="14" spans="1:16" ht="15" x14ac:dyDescent="0.25">
      <c r="A14" s="166"/>
      <c r="B14" s="187" t="s">
        <v>318</v>
      </c>
      <c r="K14" s="166"/>
      <c r="L14" s="166"/>
      <c r="M14" s="166"/>
      <c r="N14" s="166"/>
      <c r="O14" s="166"/>
      <c r="P14" s="166"/>
    </row>
    <row r="15" spans="1:16" ht="14.25" x14ac:dyDescent="0.2">
      <c r="A15" s="166"/>
      <c r="B15" s="259" t="s">
        <v>303</v>
      </c>
      <c r="C15" s="260"/>
      <c r="D15" s="260"/>
      <c r="E15" s="260"/>
      <c r="F15" s="260"/>
      <c r="G15" s="260"/>
      <c r="H15" s="261"/>
      <c r="K15" s="166"/>
      <c r="L15" s="166"/>
      <c r="M15" s="166"/>
      <c r="N15" s="166"/>
      <c r="O15" s="166"/>
      <c r="P15" s="166"/>
    </row>
    <row r="16" spans="1:16" ht="15" x14ac:dyDescent="0.2">
      <c r="A16" s="166"/>
      <c r="B16" s="178" t="s">
        <v>302</v>
      </c>
      <c r="C16" s="177">
        <v>1</v>
      </c>
      <c r="D16" s="177">
        <v>1</v>
      </c>
      <c r="E16" s="177">
        <v>1</v>
      </c>
      <c r="F16" s="177">
        <v>1</v>
      </c>
      <c r="G16" s="177">
        <v>1</v>
      </c>
      <c r="H16" s="177">
        <v>1</v>
      </c>
      <c r="K16" s="166"/>
      <c r="L16" s="166"/>
      <c r="M16" s="166"/>
      <c r="N16" s="166"/>
      <c r="O16" s="166"/>
      <c r="P16" s="166"/>
    </row>
    <row r="17" spans="1:16" ht="15" x14ac:dyDescent="0.2">
      <c r="A17" s="166"/>
      <c r="B17" s="165" t="s">
        <v>301</v>
      </c>
      <c r="C17" s="177">
        <v>1</v>
      </c>
      <c r="D17" s="177">
        <v>1</v>
      </c>
      <c r="E17" s="177">
        <v>1</v>
      </c>
      <c r="F17" s="177">
        <v>1</v>
      </c>
      <c r="G17" s="177">
        <v>1</v>
      </c>
      <c r="H17" s="177">
        <v>1</v>
      </c>
      <c r="K17" s="166"/>
      <c r="L17" s="166"/>
      <c r="M17" s="166"/>
      <c r="N17" s="166"/>
      <c r="O17" s="166"/>
      <c r="P17" s="166"/>
    </row>
    <row r="18" spans="1:16" ht="15" x14ac:dyDescent="0.2">
      <c r="A18" s="166"/>
      <c r="B18" s="165" t="s">
        <v>300</v>
      </c>
      <c r="C18" s="177">
        <v>1</v>
      </c>
      <c r="D18" s="177">
        <v>1</v>
      </c>
      <c r="E18" s="177">
        <v>1</v>
      </c>
      <c r="F18" s="177">
        <v>1</v>
      </c>
      <c r="G18" s="177">
        <v>1</v>
      </c>
      <c r="H18" s="177">
        <v>1</v>
      </c>
      <c r="K18" s="166"/>
      <c r="L18" s="166"/>
      <c r="M18" s="166"/>
      <c r="N18" s="166"/>
      <c r="O18" s="166"/>
      <c r="P18" s="166"/>
    </row>
    <row r="19" spans="1:16" ht="15" x14ac:dyDescent="0.2">
      <c r="A19" s="166"/>
      <c r="B19" s="165" t="s">
        <v>299</v>
      </c>
      <c r="C19" s="177">
        <v>1</v>
      </c>
      <c r="D19" s="177">
        <v>1</v>
      </c>
      <c r="E19" s="177">
        <v>1</v>
      </c>
      <c r="F19" s="177">
        <v>1</v>
      </c>
      <c r="G19" s="177">
        <v>1</v>
      </c>
      <c r="H19" s="177">
        <v>1</v>
      </c>
      <c r="K19" s="166"/>
      <c r="L19" s="166"/>
      <c r="M19" s="166"/>
      <c r="N19" s="166"/>
      <c r="O19" s="166"/>
      <c r="P19" s="166"/>
    </row>
    <row r="20" spans="1:16" ht="15" x14ac:dyDescent="0.2">
      <c r="A20" s="166"/>
      <c r="B20" s="165" t="s">
        <v>298</v>
      </c>
      <c r="C20" s="177">
        <v>1</v>
      </c>
      <c r="D20" s="177">
        <v>1</v>
      </c>
      <c r="E20" s="177">
        <v>1</v>
      </c>
      <c r="F20" s="177">
        <v>1</v>
      </c>
      <c r="G20" s="177">
        <v>1</v>
      </c>
      <c r="H20" s="177">
        <v>1</v>
      </c>
      <c r="K20" s="166"/>
      <c r="L20" s="166"/>
      <c r="M20" s="166"/>
      <c r="N20" s="166"/>
      <c r="O20" s="166"/>
      <c r="P20" s="166"/>
    </row>
    <row r="21" spans="1:16" ht="15" x14ac:dyDescent="0.2">
      <c r="A21" s="166"/>
      <c r="B21" s="165" t="s">
        <v>297</v>
      </c>
      <c r="C21" s="177">
        <v>1</v>
      </c>
      <c r="D21" s="177">
        <v>1</v>
      </c>
      <c r="E21" s="177">
        <v>1</v>
      </c>
      <c r="F21" s="177">
        <v>1</v>
      </c>
      <c r="G21" s="177">
        <v>1</v>
      </c>
      <c r="H21" s="177">
        <v>1</v>
      </c>
      <c r="K21" s="166"/>
      <c r="L21" s="166"/>
      <c r="M21" s="166"/>
      <c r="N21" s="166"/>
      <c r="O21" s="166"/>
      <c r="P21" s="166"/>
    </row>
    <row r="22" spans="1:16" ht="30" x14ac:dyDescent="0.2">
      <c r="A22" s="166"/>
      <c r="B22" s="165" t="s">
        <v>296</v>
      </c>
      <c r="C22" s="162">
        <v>2</v>
      </c>
      <c r="D22" s="162">
        <v>2</v>
      </c>
      <c r="E22" s="162">
        <v>2</v>
      </c>
      <c r="F22" s="162">
        <v>2</v>
      </c>
      <c r="G22" s="162">
        <v>2</v>
      </c>
      <c r="H22" s="162">
        <v>2</v>
      </c>
      <c r="K22" s="166"/>
      <c r="L22" s="166"/>
      <c r="M22" s="166"/>
      <c r="N22" s="166"/>
      <c r="O22" s="166"/>
      <c r="P22" s="166"/>
    </row>
    <row r="23" spans="1:16" ht="30" x14ac:dyDescent="0.2">
      <c r="A23" s="166"/>
      <c r="B23" s="163" t="s">
        <v>295</v>
      </c>
      <c r="C23" s="177">
        <v>1</v>
      </c>
      <c r="D23" s="177">
        <v>1</v>
      </c>
      <c r="E23" s="177">
        <v>1</v>
      </c>
      <c r="F23" s="177">
        <v>1</v>
      </c>
      <c r="G23" s="177">
        <v>1</v>
      </c>
      <c r="H23" s="177">
        <v>1</v>
      </c>
      <c r="K23" s="166"/>
      <c r="L23" s="166"/>
      <c r="M23" s="166"/>
      <c r="N23" s="166"/>
      <c r="O23" s="166"/>
      <c r="P23" s="166"/>
    </row>
    <row r="24" spans="1:16" ht="14.25" x14ac:dyDescent="0.2">
      <c r="A24" s="166"/>
      <c r="B24" s="182" t="s">
        <v>294</v>
      </c>
      <c r="C24" s="190">
        <f t="shared" ref="C24:H24" si="1">SUM(C16:C23)</f>
        <v>9</v>
      </c>
      <c r="D24" s="190">
        <f t="shared" si="1"/>
        <v>9</v>
      </c>
      <c r="E24" s="190">
        <f t="shared" si="1"/>
        <v>9</v>
      </c>
      <c r="F24" s="190">
        <f t="shared" si="1"/>
        <v>9</v>
      </c>
      <c r="G24" s="190">
        <f t="shared" si="1"/>
        <v>9</v>
      </c>
      <c r="H24" s="190">
        <f t="shared" si="1"/>
        <v>9</v>
      </c>
      <c r="K24" s="166"/>
      <c r="L24" s="166"/>
      <c r="M24" s="166"/>
      <c r="N24" s="166"/>
      <c r="O24" s="166"/>
      <c r="P24" s="166"/>
    </row>
    <row r="25" spans="1:16" ht="14.25" x14ac:dyDescent="0.2">
      <c r="A25" s="166"/>
      <c r="B25" s="170"/>
      <c r="C25" s="189"/>
      <c r="D25" s="189"/>
      <c r="E25" s="189"/>
      <c r="F25" s="189"/>
      <c r="G25" s="189"/>
      <c r="H25" s="189"/>
      <c r="K25" s="166"/>
      <c r="L25" s="166"/>
      <c r="M25" s="166"/>
      <c r="N25" s="166"/>
      <c r="O25" s="166"/>
      <c r="P25" s="166"/>
    </row>
    <row r="26" spans="1:16" ht="14.25" x14ac:dyDescent="0.2">
      <c r="A26" s="166"/>
      <c r="B26" s="259" t="s">
        <v>317</v>
      </c>
      <c r="C26" s="260"/>
      <c r="D26" s="260"/>
      <c r="E26" s="260"/>
      <c r="F26" s="260"/>
      <c r="G26" s="260"/>
      <c r="H26" s="261"/>
      <c r="K26" s="166"/>
      <c r="L26" s="166"/>
      <c r="M26" s="166"/>
      <c r="N26" s="166"/>
      <c r="O26" s="166"/>
      <c r="P26" s="166"/>
    </row>
    <row r="27" spans="1:16" ht="15" x14ac:dyDescent="0.2">
      <c r="A27" s="166"/>
      <c r="B27" s="165" t="s">
        <v>288</v>
      </c>
      <c r="C27" s="164">
        <f>'6-Year (auto-populated)'!B40</f>
        <v>1</v>
      </c>
      <c r="D27" s="164">
        <f>'6-Year (auto-populated)'!C40</f>
        <v>1</v>
      </c>
      <c r="E27" s="164">
        <f>'6-Year (auto-populated)'!D40</f>
        <v>1</v>
      </c>
      <c r="F27" s="164">
        <f>'6-Year (auto-populated)'!E40</f>
        <v>1</v>
      </c>
      <c r="G27" s="164">
        <f>'6-Year (auto-populated)'!F40</f>
        <v>1</v>
      </c>
      <c r="H27" s="164">
        <f>'6-Year (auto-populated)'!G40</f>
        <v>1</v>
      </c>
      <c r="K27" s="166"/>
      <c r="L27" s="166"/>
      <c r="M27" s="166"/>
      <c r="N27" s="166"/>
      <c r="O27" s="166"/>
      <c r="P27" s="166"/>
    </row>
    <row r="28" spans="1:16" ht="15" x14ac:dyDescent="0.2">
      <c r="A28" s="166"/>
      <c r="B28" s="165" t="s">
        <v>287</v>
      </c>
      <c r="C28" s="164">
        <f>'6-Year (auto-populated)'!B41</f>
        <v>0</v>
      </c>
      <c r="D28" s="164">
        <f>'6-Year (auto-populated)'!C41</f>
        <v>0</v>
      </c>
      <c r="E28" s="164">
        <f>'6-Year (auto-populated)'!D41</f>
        <v>0</v>
      </c>
      <c r="F28" s="164">
        <f>'6-Year (auto-populated)'!E41</f>
        <v>0</v>
      </c>
      <c r="G28" s="164">
        <f>'6-Year (auto-populated)'!F41</f>
        <v>0</v>
      </c>
      <c r="H28" s="164">
        <f>'6-Year (auto-populated)'!G41</f>
        <v>0</v>
      </c>
      <c r="K28" s="166"/>
      <c r="L28" s="166"/>
      <c r="M28" s="166"/>
      <c r="N28" s="166"/>
      <c r="O28" s="166"/>
      <c r="P28" s="166"/>
    </row>
    <row r="29" spans="1:16" ht="13.15" customHeight="1" x14ac:dyDescent="0.2">
      <c r="A29" s="166"/>
      <c r="B29" s="257" t="s">
        <v>326</v>
      </c>
      <c r="C29" s="256">
        <f>'6-Year (auto-populated)'!B43+'6-Year (auto-populated)'!B45</f>
        <v>1</v>
      </c>
      <c r="D29" s="256">
        <f>'6-Year (auto-populated)'!C43+'6-Year (auto-populated)'!C45</f>
        <v>1</v>
      </c>
      <c r="E29" s="256">
        <f>'6-Year (auto-populated)'!D43+'6-Year (auto-populated)'!D45</f>
        <v>1</v>
      </c>
      <c r="F29" s="256">
        <f>'6-Year (auto-populated)'!E43+'6-Year (auto-populated)'!E45</f>
        <v>1</v>
      </c>
      <c r="G29" s="256">
        <f>'6-Year (auto-populated)'!F43+'6-Year (auto-populated)'!F45</f>
        <v>1</v>
      </c>
      <c r="H29" s="256">
        <f>'6-Year (auto-populated)'!G43+'6-Year (auto-populated)'!G45</f>
        <v>1</v>
      </c>
      <c r="K29" s="166"/>
      <c r="L29" s="166"/>
      <c r="M29" s="166"/>
      <c r="N29" s="166"/>
      <c r="O29" s="166"/>
      <c r="P29" s="166"/>
    </row>
    <row r="30" spans="1:16" ht="13.15" customHeight="1" x14ac:dyDescent="0.2">
      <c r="A30" s="166"/>
      <c r="B30" s="258"/>
      <c r="C30" s="256"/>
      <c r="D30" s="256"/>
      <c r="E30" s="256"/>
      <c r="F30" s="256"/>
      <c r="G30" s="256"/>
      <c r="H30" s="256"/>
      <c r="K30" s="166"/>
      <c r="L30" s="166"/>
      <c r="M30" s="166"/>
      <c r="N30" s="166"/>
      <c r="O30" s="166"/>
      <c r="P30" s="166"/>
    </row>
    <row r="31" spans="1:16" ht="13.15" customHeight="1" x14ac:dyDescent="0.2">
      <c r="A31" s="166"/>
      <c r="B31" s="257" t="s">
        <v>285</v>
      </c>
      <c r="C31" s="256">
        <f>'6-Year (auto-populated)'!B44</f>
        <v>0</v>
      </c>
      <c r="D31" s="256">
        <f>'6-Year (auto-populated)'!C44</f>
        <v>0</v>
      </c>
      <c r="E31" s="256">
        <f>'6-Year (auto-populated)'!D44</f>
        <v>0</v>
      </c>
      <c r="F31" s="256">
        <f>'6-Year (auto-populated)'!E44</f>
        <v>0</v>
      </c>
      <c r="G31" s="256">
        <f>'6-Year (auto-populated)'!F44</f>
        <v>0</v>
      </c>
      <c r="H31" s="256">
        <f>'6-Year (auto-populated)'!G44</f>
        <v>0</v>
      </c>
      <c r="K31" s="166"/>
      <c r="L31" s="166"/>
      <c r="M31" s="166"/>
      <c r="N31" s="166"/>
      <c r="O31" s="166"/>
      <c r="P31" s="166"/>
    </row>
    <row r="32" spans="1:16" ht="13.15" customHeight="1" x14ac:dyDescent="0.2">
      <c r="A32" s="166"/>
      <c r="B32" s="258"/>
      <c r="C32" s="256"/>
      <c r="D32" s="256"/>
      <c r="E32" s="256"/>
      <c r="F32" s="256"/>
      <c r="G32" s="256"/>
      <c r="H32" s="256"/>
      <c r="K32" s="166"/>
      <c r="L32" s="166"/>
      <c r="M32" s="166"/>
      <c r="N32" s="166"/>
      <c r="O32" s="166"/>
      <c r="P32" s="166"/>
    </row>
    <row r="33" spans="1:16" ht="13.15" customHeight="1" x14ac:dyDescent="0.2">
      <c r="A33" s="166"/>
      <c r="B33" s="257" t="s">
        <v>284</v>
      </c>
      <c r="C33" s="256">
        <f>'[1]6-Year (auto-populated)'!D53</f>
        <v>0</v>
      </c>
      <c r="D33" s="256">
        <f>'[1]6-Year (auto-populated)'!E53</f>
        <v>0</v>
      </c>
      <c r="E33" s="256">
        <f>'[1]6-Year (auto-populated)'!F53</f>
        <v>0</v>
      </c>
      <c r="F33" s="256">
        <f>'[1]6-Year (auto-populated)'!G53</f>
        <v>0</v>
      </c>
      <c r="G33" s="256">
        <f>'[1]6-Year (auto-populated)'!H53</f>
        <v>0</v>
      </c>
      <c r="H33" s="256">
        <f>'[1]6-Year (auto-populated)'!I53</f>
        <v>0</v>
      </c>
      <c r="K33" s="166"/>
      <c r="L33" s="166"/>
      <c r="M33" s="166"/>
      <c r="N33" s="166"/>
      <c r="O33" s="166"/>
      <c r="P33" s="166"/>
    </row>
    <row r="34" spans="1:16" ht="13.15" customHeight="1" x14ac:dyDescent="0.2">
      <c r="A34" s="166"/>
      <c r="B34" s="258"/>
      <c r="C34" s="256"/>
      <c r="D34" s="256"/>
      <c r="E34" s="256"/>
      <c r="F34" s="256"/>
      <c r="G34" s="256"/>
      <c r="H34" s="256"/>
      <c r="K34" s="166"/>
      <c r="L34" s="166"/>
      <c r="M34" s="166"/>
      <c r="N34" s="166"/>
      <c r="O34" s="166"/>
      <c r="P34" s="166"/>
    </row>
    <row r="35" spans="1:16" ht="15" x14ac:dyDescent="0.2">
      <c r="A35" s="166"/>
      <c r="B35" s="165" t="s">
        <v>283</v>
      </c>
      <c r="C35" s="164">
        <f>'6-Year (auto-populated)'!I17</f>
        <v>6</v>
      </c>
      <c r="D35" s="164">
        <f>'6-Year (auto-populated)'!J17</f>
        <v>6</v>
      </c>
      <c r="E35" s="164">
        <f>'6-Year (auto-populated)'!K17</f>
        <v>7</v>
      </c>
      <c r="F35" s="164">
        <f>'6-Year (auto-populated)'!L17</f>
        <v>7</v>
      </c>
      <c r="G35" s="164">
        <f>'6-Year (auto-populated)'!M17</f>
        <v>7</v>
      </c>
      <c r="H35" s="164">
        <f>'6-Year (auto-populated)'!N17</f>
        <v>7</v>
      </c>
      <c r="K35" s="166"/>
      <c r="L35" s="166"/>
      <c r="M35" s="166"/>
      <c r="N35" s="166"/>
      <c r="O35" s="166"/>
      <c r="P35" s="166"/>
    </row>
    <row r="36" spans="1:16" ht="15" x14ac:dyDescent="0.2">
      <c r="A36" s="166"/>
      <c r="B36" s="165" t="s">
        <v>282</v>
      </c>
      <c r="C36" s="244">
        <f>SUM('6-Year (auto-populated)'!B29:B35)</f>
        <v>0.75</v>
      </c>
      <c r="D36" s="164">
        <f>SUM('6-Year (auto-populated)'!C29:C35)</f>
        <v>1</v>
      </c>
      <c r="E36" s="164">
        <f>SUM('6-Year (auto-populated)'!D29:D35)</f>
        <v>1</v>
      </c>
      <c r="F36" s="164">
        <f>SUM('6-Year (auto-populated)'!E29:E35)</f>
        <v>1</v>
      </c>
      <c r="G36" s="164">
        <f>SUM('6-Year (auto-populated)'!F29:F35)</f>
        <v>1</v>
      </c>
      <c r="H36" s="164">
        <f>SUM('6-Year (auto-populated)'!G29:G35)</f>
        <v>1</v>
      </c>
      <c r="K36" s="166"/>
      <c r="L36" s="166"/>
      <c r="M36" s="166"/>
      <c r="N36" s="166"/>
      <c r="O36" s="166"/>
      <c r="P36" s="166"/>
    </row>
    <row r="37" spans="1:16" ht="15" x14ac:dyDescent="0.2">
      <c r="A37" s="166"/>
      <c r="B37" s="165" t="s">
        <v>281</v>
      </c>
      <c r="C37" s="164">
        <f>'6-Year (auto-populated)'!B28</f>
        <v>1</v>
      </c>
      <c r="D37" s="164">
        <f>'6-Year (auto-populated)'!C28</f>
        <v>1</v>
      </c>
      <c r="E37" s="164">
        <f>'6-Year (auto-populated)'!D28</f>
        <v>1</v>
      </c>
      <c r="F37" s="164">
        <f>'6-Year (auto-populated)'!E28</f>
        <v>1</v>
      </c>
      <c r="G37" s="164">
        <f>'6-Year (auto-populated)'!F28</f>
        <v>1</v>
      </c>
      <c r="H37" s="164">
        <f>'6-Year (auto-populated)'!G28</f>
        <v>1</v>
      </c>
      <c r="K37" s="166"/>
      <c r="L37" s="166"/>
      <c r="M37" s="166"/>
      <c r="N37" s="166"/>
      <c r="O37" s="166"/>
      <c r="P37" s="166"/>
    </row>
    <row r="38" spans="1:16" ht="15" x14ac:dyDescent="0.2">
      <c r="A38" s="166"/>
      <c r="B38" s="165" t="s">
        <v>280</v>
      </c>
      <c r="C38" s="164">
        <f>'6-Year (auto-populated)'!B42</f>
        <v>0</v>
      </c>
      <c r="D38" s="164">
        <f>'6-Year (auto-populated)'!C42</f>
        <v>0</v>
      </c>
      <c r="E38" s="164">
        <f>'6-Year (auto-populated)'!D42</f>
        <v>0</v>
      </c>
      <c r="F38" s="164">
        <f>'6-Year (auto-populated)'!E42</f>
        <v>0</v>
      </c>
      <c r="G38" s="164">
        <f>'6-Year (auto-populated)'!F42</f>
        <v>0</v>
      </c>
      <c r="H38" s="164">
        <f>'6-Year (auto-populated)'!G42</f>
        <v>0</v>
      </c>
      <c r="K38" s="166"/>
      <c r="L38" s="166"/>
      <c r="M38" s="166"/>
      <c r="N38" s="166"/>
      <c r="O38" s="166"/>
      <c r="P38" s="166"/>
    </row>
    <row r="39" spans="1:16" ht="15" x14ac:dyDescent="0.2">
      <c r="A39" s="166"/>
      <c r="B39" s="165" t="s">
        <v>61</v>
      </c>
      <c r="C39" s="164">
        <f>'[1]6-Year (auto-populated)'!D56</f>
        <v>0</v>
      </c>
      <c r="D39" s="164">
        <f>'[1]6-Year (auto-populated)'!E56</f>
        <v>0</v>
      </c>
      <c r="E39" s="164">
        <f>'[1]6-Year (auto-populated)'!F56</f>
        <v>0</v>
      </c>
      <c r="F39" s="164">
        <f>'[1]6-Year (auto-populated)'!G56</f>
        <v>0</v>
      </c>
      <c r="G39" s="164">
        <f>'[1]6-Year (auto-populated)'!H56</f>
        <v>0</v>
      </c>
      <c r="H39" s="164">
        <f>'[1]6-Year (auto-populated)'!I56</f>
        <v>0</v>
      </c>
      <c r="K39" s="166"/>
      <c r="L39" s="166"/>
      <c r="M39" s="166"/>
      <c r="N39" s="166"/>
      <c r="O39" s="166"/>
      <c r="P39" s="166"/>
    </row>
    <row r="40" spans="1:16" ht="15" x14ac:dyDescent="0.2">
      <c r="A40" s="166"/>
      <c r="B40" s="165" t="s">
        <v>279</v>
      </c>
      <c r="C40" s="164">
        <f>'6-Year (auto-populated)'!B47</f>
        <v>1</v>
      </c>
      <c r="D40" s="164">
        <f>'6-Year (auto-populated)'!C47</f>
        <v>1</v>
      </c>
      <c r="E40" s="164">
        <f>'6-Year (auto-populated)'!D47</f>
        <v>1</v>
      </c>
      <c r="F40" s="164">
        <f>'6-Year (auto-populated)'!E47</f>
        <v>1</v>
      </c>
      <c r="G40" s="164">
        <f>'6-Year (auto-populated)'!F47</f>
        <v>1</v>
      </c>
      <c r="H40" s="164">
        <f>'6-Year (auto-populated)'!G47</f>
        <v>1</v>
      </c>
      <c r="K40" s="166"/>
      <c r="L40" s="166"/>
      <c r="M40" s="166"/>
      <c r="N40" s="166"/>
      <c r="O40" s="166"/>
      <c r="P40" s="166"/>
    </row>
    <row r="41" spans="1:16" ht="15" x14ac:dyDescent="0.2">
      <c r="A41" s="166"/>
      <c r="B41" s="165" t="s">
        <v>50</v>
      </c>
      <c r="C41" s="164">
        <f>'6-Year (auto-populated)'!B48</f>
        <v>1</v>
      </c>
      <c r="D41" s="164">
        <f>'6-Year (auto-populated)'!C48</f>
        <v>1</v>
      </c>
      <c r="E41" s="164">
        <f>'6-Year (auto-populated)'!D48</f>
        <v>1</v>
      </c>
      <c r="F41" s="164">
        <f>'6-Year (auto-populated)'!E48</f>
        <v>1</v>
      </c>
      <c r="G41" s="164">
        <f>'6-Year (auto-populated)'!F48</f>
        <v>1</v>
      </c>
      <c r="H41" s="164">
        <f>'6-Year (auto-populated)'!G48</f>
        <v>1</v>
      </c>
      <c r="K41" s="166"/>
      <c r="L41" s="166"/>
      <c r="M41" s="166"/>
      <c r="N41" s="166"/>
      <c r="O41" s="166"/>
      <c r="P41" s="166"/>
    </row>
    <row r="42" spans="1:16" ht="15" x14ac:dyDescent="0.2">
      <c r="A42" s="166"/>
      <c r="B42" s="165" t="s">
        <v>278</v>
      </c>
      <c r="C42" s="164">
        <f>'6-Year (auto-populated)'!B49+'6-Year (auto-populated)'!B50</f>
        <v>0</v>
      </c>
      <c r="D42" s="164">
        <f>'6-Year (auto-populated)'!C49+'6-Year (auto-populated)'!C50</f>
        <v>0</v>
      </c>
      <c r="E42" s="164">
        <f>'6-Year (auto-populated)'!D49+'6-Year (auto-populated)'!D50</f>
        <v>0</v>
      </c>
      <c r="F42" s="164">
        <f>'6-Year (auto-populated)'!E49+'6-Year (auto-populated)'!E50</f>
        <v>0</v>
      </c>
      <c r="G42" s="164">
        <f>'6-Year (auto-populated)'!F49+'6-Year (auto-populated)'!F50</f>
        <v>0</v>
      </c>
      <c r="H42" s="164">
        <f>'6-Year (auto-populated)'!G49+'6-Year (auto-populated)'!G50</f>
        <v>0</v>
      </c>
      <c r="K42" s="166"/>
      <c r="L42" s="166"/>
      <c r="M42" s="166"/>
      <c r="N42" s="166"/>
      <c r="O42" s="166"/>
      <c r="P42" s="166"/>
    </row>
    <row r="43" spans="1:16" ht="15" x14ac:dyDescent="0.2">
      <c r="A43" s="166"/>
      <c r="B43" s="165" t="s">
        <v>105</v>
      </c>
      <c r="C43" s="164">
        <f>'6-Year (auto-populated)'!B51</f>
        <v>1</v>
      </c>
      <c r="D43" s="164">
        <f>'6-Year (auto-populated)'!C51</f>
        <v>1</v>
      </c>
      <c r="E43" s="164">
        <f>'6-Year (auto-populated)'!D51</f>
        <v>1</v>
      </c>
      <c r="F43" s="164">
        <f>'6-Year (auto-populated)'!E51</f>
        <v>1</v>
      </c>
      <c r="G43" s="164">
        <f>'6-Year (auto-populated)'!F51</f>
        <v>1</v>
      </c>
      <c r="H43" s="164">
        <f>'6-Year (auto-populated)'!G51</f>
        <v>1</v>
      </c>
      <c r="K43" s="166"/>
      <c r="L43" s="166"/>
      <c r="M43" s="166"/>
      <c r="N43" s="166"/>
      <c r="O43" s="166"/>
      <c r="P43" s="166"/>
    </row>
    <row r="44" spans="1:16" ht="15" x14ac:dyDescent="0.2">
      <c r="A44" s="166"/>
      <c r="B44" s="163" t="s">
        <v>276</v>
      </c>
      <c r="C44" s="164">
        <f>'6-Year (auto-populated)'!B52+'6-Year (auto-populated)'!B53</f>
        <v>1</v>
      </c>
      <c r="D44" s="164">
        <f>'6-Year (auto-populated)'!C52+'6-Year (auto-populated)'!C53</f>
        <v>1</v>
      </c>
      <c r="E44" s="164">
        <f>'6-Year (auto-populated)'!D52+'6-Year (auto-populated)'!D53</f>
        <v>1</v>
      </c>
      <c r="F44" s="164">
        <f>'6-Year (auto-populated)'!E52+'6-Year (auto-populated)'!E53</f>
        <v>1</v>
      </c>
      <c r="G44" s="164">
        <f>'6-Year (auto-populated)'!F52+'6-Year (auto-populated)'!F53</f>
        <v>1</v>
      </c>
      <c r="H44" s="164">
        <f>'6-Year (auto-populated)'!G52+'6-Year (auto-populated)'!G53</f>
        <v>1</v>
      </c>
      <c r="K44" s="166"/>
      <c r="L44" s="166"/>
      <c r="M44" s="166"/>
      <c r="N44" s="166"/>
      <c r="O44" s="166"/>
      <c r="P44" s="166"/>
    </row>
    <row r="45" spans="1:16" ht="15" x14ac:dyDescent="0.2">
      <c r="A45" s="166"/>
      <c r="B45" s="156" t="s">
        <v>316</v>
      </c>
      <c r="C45" s="208">
        <f t="shared" ref="C45:H45" si="2">SUM(C27:C44)</f>
        <v>13.75</v>
      </c>
      <c r="D45" s="208">
        <f t="shared" si="2"/>
        <v>14</v>
      </c>
      <c r="E45" s="208">
        <f t="shared" si="2"/>
        <v>15</v>
      </c>
      <c r="F45" s="208">
        <f t="shared" si="2"/>
        <v>15</v>
      </c>
      <c r="G45" s="208">
        <f t="shared" si="2"/>
        <v>15</v>
      </c>
      <c r="H45" s="208">
        <f t="shared" si="2"/>
        <v>15</v>
      </c>
      <c r="K45" s="166" t="b">
        <f>C45='6-Year (auto-populated)'!B66</f>
        <v>1</v>
      </c>
      <c r="L45" s="166" t="b">
        <f>D45='6-Year (auto-populated)'!C66</f>
        <v>1</v>
      </c>
      <c r="M45" s="166" t="b">
        <f>E45='6-Year (auto-populated)'!D66</f>
        <v>1</v>
      </c>
      <c r="N45" s="166" t="b">
        <f>F45='6-Year (auto-populated)'!E66</f>
        <v>1</v>
      </c>
      <c r="O45" s="166" t="b">
        <f>G45='6-Year (auto-populated)'!F66</f>
        <v>1</v>
      </c>
      <c r="P45" s="166" t="b">
        <f>H45='6-Year (auto-populated)'!G66</f>
        <v>1</v>
      </c>
    </row>
    <row r="46" spans="1:16" ht="15" x14ac:dyDescent="0.2">
      <c r="A46" s="166"/>
      <c r="B46" s="188"/>
      <c r="K46" s="166"/>
      <c r="L46" s="166"/>
      <c r="M46" s="166"/>
      <c r="N46" s="166"/>
      <c r="O46" s="166"/>
      <c r="P46" s="166"/>
    </row>
    <row r="47" spans="1:16" ht="15.75" thickBot="1" x14ac:dyDescent="0.3">
      <c r="A47" s="166"/>
      <c r="B47" s="187" t="s">
        <v>315</v>
      </c>
      <c r="K47" s="166"/>
      <c r="L47" s="166"/>
      <c r="M47" s="166"/>
      <c r="N47" s="166"/>
      <c r="O47" s="166"/>
      <c r="P47" s="166"/>
    </row>
    <row r="48" spans="1:16" ht="16.5" customHeight="1" thickTop="1" thickBot="1" x14ac:dyDescent="0.25">
      <c r="A48" s="166"/>
      <c r="B48" s="186" t="s">
        <v>314</v>
      </c>
      <c r="C48" s="185" t="s">
        <v>313</v>
      </c>
      <c r="D48" s="185" t="s">
        <v>312</v>
      </c>
      <c r="E48" s="185" t="s">
        <v>311</v>
      </c>
      <c r="F48" s="184" t="s">
        <v>310</v>
      </c>
      <c r="G48" s="184" t="s">
        <v>309</v>
      </c>
      <c r="H48" s="184" t="s">
        <v>364</v>
      </c>
      <c r="K48" s="166"/>
      <c r="L48" s="166"/>
      <c r="M48" s="166"/>
      <c r="N48" s="166"/>
      <c r="O48" s="166"/>
      <c r="P48" s="166"/>
    </row>
    <row r="49" spans="1:16" ht="15.75" thickTop="1" x14ac:dyDescent="0.2">
      <c r="A49" s="166"/>
      <c r="B49" s="165" t="s">
        <v>308</v>
      </c>
      <c r="C49" s="162">
        <v>0</v>
      </c>
      <c r="D49" s="162">
        <v>0</v>
      </c>
      <c r="E49" s="162">
        <v>0</v>
      </c>
      <c r="F49" s="162">
        <v>0</v>
      </c>
      <c r="G49" s="162">
        <v>0</v>
      </c>
      <c r="H49" s="162">
        <v>0</v>
      </c>
      <c r="M49" s="166"/>
      <c r="N49" s="166"/>
      <c r="O49" s="166"/>
      <c r="P49" s="166"/>
    </row>
    <row r="50" spans="1:16" ht="15" x14ac:dyDescent="0.2">
      <c r="A50" s="166"/>
      <c r="B50" s="165" t="s">
        <v>307</v>
      </c>
      <c r="C50" s="162">
        <v>1</v>
      </c>
      <c r="D50" s="162">
        <v>1</v>
      </c>
      <c r="E50" s="162">
        <v>1</v>
      </c>
      <c r="F50" s="162">
        <v>1</v>
      </c>
      <c r="G50" s="162">
        <v>1</v>
      </c>
      <c r="H50" s="162">
        <v>1</v>
      </c>
      <c r="M50" s="166"/>
      <c r="N50" s="166"/>
      <c r="O50" s="166"/>
      <c r="P50" s="166"/>
    </row>
    <row r="51" spans="1:16" ht="15" x14ac:dyDescent="0.2">
      <c r="A51" s="166"/>
      <c r="B51" s="163" t="s">
        <v>306</v>
      </c>
      <c r="C51" s="183">
        <v>1</v>
      </c>
      <c r="D51" s="183">
        <v>1</v>
      </c>
      <c r="E51" s="183">
        <v>1</v>
      </c>
      <c r="F51" s="183">
        <v>1</v>
      </c>
      <c r="G51" s="183">
        <v>1</v>
      </c>
      <c r="H51" s="183">
        <v>1</v>
      </c>
      <c r="M51" s="166"/>
      <c r="N51" s="166"/>
      <c r="O51" s="166"/>
      <c r="P51" s="166"/>
    </row>
    <row r="52" spans="1:16" ht="15" x14ac:dyDescent="0.2">
      <c r="A52" s="166"/>
      <c r="B52" s="158" t="s">
        <v>305</v>
      </c>
      <c r="C52" s="157">
        <f t="shared" ref="C52:H52" si="3">SUM(C49:C51)</f>
        <v>2</v>
      </c>
      <c r="D52" s="157">
        <f t="shared" si="3"/>
        <v>2</v>
      </c>
      <c r="E52" s="157">
        <f t="shared" si="3"/>
        <v>2</v>
      </c>
      <c r="F52" s="157">
        <f t="shared" si="3"/>
        <v>2</v>
      </c>
      <c r="G52" s="157">
        <f t="shared" si="3"/>
        <v>2</v>
      </c>
      <c r="H52" s="157">
        <f t="shared" si="3"/>
        <v>2</v>
      </c>
      <c r="M52" s="166"/>
      <c r="N52" s="166"/>
      <c r="O52" s="166"/>
      <c r="P52" s="166"/>
    </row>
    <row r="53" spans="1:16" ht="15" x14ac:dyDescent="0.2">
      <c r="A53" s="166"/>
      <c r="B53" s="182" t="s">
        <v>304</v>
      </c>
      <c r="C53" s="155">
        <f>'[1]6-Year (auto-populated)'!D5</f>
        <v>58</v>
      </c>
      <c r="D53" s="155">
        <f>'[1]6-Year (auto-populated)'!E5</f>
        <v>300</v>
      </c>
      <c r="E53" s="155">
        <f>'[1]6-Year (auto-populated)'!F5</f>
        <v>450</v>
      </c>
      <c r="F53" s="155">
        <f>'[1]6-Year (auto-populated)'!G5</f>
        <v>540</v>
      </c>
      <c r="G53" s="155">
        <f>'[1]6-Year (auto-populated)'!H5</f>
        <v>570</v>
      </c>
      <c r="H53" s="155">
        <f>'[1]6-Year (auto-populated)'!I5</f>
        <v>600</v>
      </c>
      <c r="M53" s="166"/>
      <c r="N53" s="166"/>
      <c r="O53" s="166"/>
      <c r="P53" s="166"/>
    </row>
    <row r="54" spans="1:16" ht="15" x14ac:dyDescent="0.2">
      <c r="A54" s="166"/>
      <c r="B54" s="181"/>
      <c r="C54" s="181"/>
      <c r="D54" s="181"/>
      <c r="E54" s="181"/>
      <c r="F54" s="181"/>
      <c r="G54" s="181"/>
      <c r="H54" s="181"/>
      <c r="M54" s="166"/>
      <c r="N54" s="166"/>
      <c r="O54" s="166"/>
      <c r="P54" s="166"/>
    </row>
    <row r="55" spans="1:16" ht="14.25" x14ac:dyDescent="0.2">
      <c r="A55" s="166"/>
      <c r="B55" s="180" t="s">
        <v>303</v>
      </c>
      <c r="C55" s="176"/>
      <c r="D55" s="176"/>
      <c r="E55" s="176"/>
      <c r="F55" s="176"/>
      <c r="G55" s="176"/>
      <c r="H55" s="179"/>
      <c r="K55" s="166"/>
      <c r="L55" s="166"/>
      <c r="M55" s="166"/>
      <c r="N55" s="166"/>
      <c r="O55" s="166"/>
      <c r="P55" s="166"/>
    </row>
    <row r="56" spans="1:16" ht="15" x14ac:dyDescent="0.2">
      <c r="A56" s="166"/>
      <c r="B56" s="178" t="s">
        <v>302</v>
      </c>
      <c r="C56" s="177">
        <v>1</v>
      </c>
      <c r="D56" s="177">
        <v>1</v>
      </c>
      <c r="E56" s="177">
        <v>1</v>
      </c>
      <c r="F56" s="177">
        <v>1</v>
      </c>
      <c r="G56" s="177">
        <v>1</v>
      </c>
      <c r="H56" s="177">
        <v>1</v>
      </c>
      <c r="K56" s="166"/>
      <c r="L56" s="166"/>
      <c r="M56" s="166"/>
      <c r="N56" s="166"/>
      <c r="O56" s="166"/>
      <c r="P56" s="166"/>
    </row>
    <row r="57" spans="1:16" ht="15" x14ac:dyDescent="0.2">
      <c r="A57" s="166"/>
      <c r="B57" s="165" t="s">
        <v>301</v>
      </c>
      <c r="C57" s="177">
        <v>1</v>
      </c>
      <c r="D57" s="177">
        <v>1</v>
      </c>
      <c r="E57" s="177">
        <v>1</v>
      </c>
      <c r="F57" s="177">
        <v>1</v>
      </c>
      <c r="G57" s="177">
        <v>1</v>
      </c>
      <c r="H57" s="177">
        <v>1</v>
      </c>
      <c r="K57" s="166"/>
      <c r="L57" s="166"/>
      <c r="M57" s="166"/>
      <c r="N57" s="166"/>
      <c r="O57" s="166"/>
      <c r="P57" s="166"/>
    </row>
    <row r="58" spans="1:16" ht="15" x14ac:dyDescent="0.2">
      <c r="A58" s="166"/>
      <c r="B58" s="165" t="s">
        <v>300</v>
      </c>
      <c r="C58" s="177">
        <v>1</v>
      </c>
      <c r="D58" s="177">
        <v>1</v>
      </c>
      <c r="E58" s="177">
        <v>1</v>
      </c>
      <c r="F58" s="177">
        <v>1</v>
      </c>
      <c r="G58" s="177">
        <v>1</v>
      </c>
      <c r="H58" s="177">
        <v>1</v>
      </c>
      <c r="K58" s="166"/>
      <c r="L58" s="166"/>
      <c r="M58" s="166"/>
      <c r="N58" s="166"/>
      <c r="O58" s="166"/>
      <c r="P58" s="166"/>
    </row>
    <row r="59" spans="1:16" ht="15" x14ac:dyDescent="0.2">
      <c r="A59" s="166"/>
      <c r="B59" s="165" t="s">
        <v>299</v>
      </c>
      <c r="C59" s="177">
        <v>1</v>
      </c>
      <c r="D59" s="177">
        <v>1</v>
      </c>
      <c r="E59" s="177">
        <v>1</v>
      </c>
      <c r="F59" s="177">
        <v>1</v>
      </c>
      <c r="G59" s="177">
        <v>1</v>
      </c>
      <c r="H59" s="177">
        <v>1</v>
      </c>
      <c r="K59" s="166"/>
      <c r="L59" s="166"/>
      <c r="M59" s="166"/>
      <c r="N59" s="166"/>
      <c r="O59" s="166"/>
      <c r="P59" s="166"/>
    </row>
    <row r="60" spans="1:16" ht="15" x14ac:dyDescent="0.2">
      <c r="A60" s="166"/>
      <c r="B60" s="165" t="s">
        <v>298</v>
      </c>
      <c r="C60" s="177">
        <v>1</v>
      </c>
      <c r="D60" s="177">
        <v>1</v>
      </c>
      <c r="E60" s="177">
        <v>1</v>
      </c>
      <c r="F60" s="177">
        <v>1</v>
      </c>
      <c r="G60" s="177">
        <v>1</v>
      </c>
      <c r="H60" s="177">
        <v>1</v>
      </c>
      <c r="K60" s="166"/>
      <c r="L60" s="166"/>
      <c r="M60" s="166"/>
      <c r="N60" s="166"/>
      <c r="O60" s="166"/>
      <c r="P60" s="166"/>
    </row>
    <row r="61" spans="1:16" ht="15" x14ac:dyDescent="0.2">
      <c r="A61" s="166"/>
      <c r="B61" s="165" t="s">
        <v>297</v>
      </c>
      <c r="C61" s="177">
        <v>1</v>
      </c>
      <c r="D61" s="177">
        <v>1</v>
      </c>
      <c r="E61" s="177">
        <v>1</v>
      </c>
      <c r="F61" s="177">
        <v>1</v>
      </c>
      <c r="G61" s="177">
        <v>1</v>
      </c>
      <c r="H61" s="177">
        <v>1</v>
      </c>
      <c r="K61" s="166"/>
      <c r="L61" s="166"/>
      <c r="M61" s="166"/>
      <c r="N61" s="166"/>
      <c r="O61" s="166"/>
      <c r="P61" s="166"/>
    </row>
    <row r="62" spans="1:16" ht="30" x14ac:dyDescent="0.2">
      <c r="A62" s="166"/>
      <c r="B62" s="165" t="s">
        <v>296</v>
      </c>
      <c r="C62" s="162">
        <v>2</v>
      </c>
      <c r="D62" s="162">
        <v>2</v>
      </c>
      <c r="E62" s="162">
        <v>2</v>
      </c>
      <c r="F62" s="162">
        <v>2</v>
      </c>
      <c r="G62" s="162">
        <v>2</v>
      </c>
      <c r="H62" s="162">
        <v>2</v>
      </c>
      <c r="K62" s="166"/>
      <c r="L62" s="166"/>
      <c r="M62" s="166"/>
      <c r="N62" s="166"/>
      <c r="O62" s="166"/>
      <c r="P62" s="166"/>
    </row>
    <row r="63" spans="1:16" ht="30" x14ac:dyDescent="0.2">
      <c r="A63" s="166"/>
      <c r="B63" s="163" t="s">
        <v>295</v>
      </c>
      <c r="C63" s="177">
        <v>1</v>
      </c>
      <c r="D63" s="177">
        <v>1</v>
      </c>
      <c r="E63" s="177">
        <v>1</v>
      </c>
      <c r="F63" s="177">
        <v>1</v>
      </c>
      <c r="G63" s="177">
        <v>1</v>
      </c>
      <c r="H63" s="177">
        <v>1</v>
      </c>
      <c r="K63" s="166"/>
      <c r="L63" s="166"/>
      <c r="M63" s="166"/>
      <c r="N63" s="166"/>
      <c r="O63" s="166"/>
      <c r="P63" s="166"/>
    </row>
    <row r="64" spans="1:16" ht="15" x14ac:dyDescent="0.2">
      <c r="A64" s="166"/>
      <c r="B64" s="156" t="s">
        <v>294</v>
      </c>
      <c r="C64" s="155">
        <f t="shared" ref="C64:H64" si="4">SUM(C56:C63)</f>
        <v>9</v>
      </c>
      <c r="D64" s="155">
        <f t="shared" si="4"/>
        <v>9</v>
      </c>
      <c r="E64" s="155">
        <f t="shared" si="4"/>
        <v>9</v>
      </c>
      <c r="F64" s="155">
        <f t="shared" si="4"/>
        <v>9</v>
      </c>
      <c r="G64" s="155">
        <f t="shared" si="4"/>
        <v>9</v>
      </c>
      <c r="H64" s="155">
        <f t="shared" si="4"/>
        <v>9</v>
      </c>
      <c r="K64" s="166"/>
      <c r="L64" s="166"/>
      <c r="M64" s="166"/>
      <c r="N64" s="166"/>
      <c r="O64" s="166"/>
      <c r="P64" s="166"/>
    </row>
    <row r="65" spans="1:21" ht="14.25" x14ac:dyDescent="0.2">
      <c r="A65" s="166"/>
      <c r="B65" s="170"/>
      <c r="C65" s="170"/>
      <c r="D65" s="170"/>
      <c r="E65" s="170"/>
      <c r="F65" s="170"/>
      <c r="G65" s="170"/>
      <c r="H65" s="170"/>
      <c r="K65" s="166"/>
      <c r="L65" s="166"/>
      <c r="M65" s="166"/>
      <c r="N65" s="166"/>
      <c r="O65" s="166"/>
      <c r="P65" s="166"/>
    </row>
    <row r="66" spans="1:21" ht="14.25" x14ac:dyDescent="0.2">
      <c r="A66" s="166"/>
      <c r="B66" s="176" t="s">
        <v>293</v>
      </c>
      <c r="C66" s="176"/>
      <c r="D66" s="176"/>
      <c r="E66" s="176"/>
      <c r="F66" s="176"/>
      <c r="G66" s="176"/>
      <c r="H66" s="176"/>
      <c r="K66" s="166"/>
      <c r="L66" s="166"/>
      <c r="M66" s="166"/>
      <c r="N66" s="166"/>
      <c r="O66" s="166"/>
      <c r="P66" s="166"/>
    </row>
    <row r="67" spans="1:21" ht="15" x14ac:dyDescent="0.2">
      <c r="A67" s="166"/>
      <c r="B67" s="165" t="s">
        <v>288</v>
      </c>
      <c r="C67" s="162">
        <v>0</v>
      </c>
      <c r="D67" s="164">
        <v>0</v>
      </c>
      <c r="E67" s="164">
        <v>0</v>
      </c>
      <c r="F67" s="164">
        <v>0</v>
      </c>
      <c r="G67" s="164">
        <v>0</v>
      </c>
      <c r="H67" s="164">
        <v>0</v>
      </c>
      <c r="K67" s="166"/>
      <c r="L67" s="166"/>
      <c r="M67" s="166"/>
      <c r="N67" s="166"/>
      <c r="O67" s="166"/>
      <c r="P67" s="166"/>
    </row>
    <row r="68" spans="1:21" ht="15" x14ac:dyDescent="0.2">
      <c r="A68" s="166"/>
      <c r="B68" s="165" t="s">
        <v>287</v>
      </c>
      <c r="C68" s="162">
        <v>0</v>
      </c>
      <c r="D68" s="164">
        <v>0</v>
      </c>
      <c r="E68" s="164">
        <v>0</v>
      </c>
      <c r="F68" s="164">
        <v>0</v>
      </c>
      <c r="G68" s="164">
        <v>0</v>
      </c>
      <c r="H68" s="164">
        <v>0</v>
      </c>
      <c r="K68" s="166"/>
      <c r="L68" s="166"/>
      <c r="M68" s="166"/>
      <c r="N68" s="166"/>
      <c r="O68" s="166"/>
      <c r="P68" s="166"/>
    </row>
    <row r="69" spans="1:21" ht="13.15" customHeight="1" x14ac:dyDescent="0.2">
      <c r="A69" s="166"/>
      <c r="B69" s="257" t="s">
        <v>286</v>
      </c>
      <c r="C69" s="255">
        <v>0</v>
      </c>
      <c r="D69" s="255">
        <v>0</v>
      </c>
      <c r="E69" s="255">
        <v>0</v>
      </c>
      <c r="F69" s="255">
        <v>0</v>
      </c>
      <c r="G69" s="255">
        <v>0</v>
      </c>
      <c r="H69" s="255">
        <v>0</v>
      </c>
      <c r="K69" s="166"/>
      <c r="L69" s="166"/>
      <c r="M69" s="166"/>
      <c r="N69" s="166"/>
      <c r="O69" s="166"/>
      <c r="P69" s="166"/>
      <c r="U69" s="175"/>
    </row>
    <row r="70" spans="1:21" ht="13.15" customHeight="1" x14ac:dyDescent="0.2">
      <c r="A70" s="166"/>
      <c r="B70" s="258"/>
      <c r="C70" s="255"/>
      <c r="D70" s="255"/>
      <c r="E70" s="255"/>
      <c r="F70" s="255"/>
      <c r="G70" s="255"/>
      <c r="H70" s="255"/>
      <c r="K70" s="166"/>
      <c r="L70" s="166"/>
      <c r="M70" s="166"/>
      <c r="N70" s="166"/>
      <c r="O70" s="166"/>
      <c r="P70" s="166"/>
    </row>
    <row r="71" spans="1:21" ht="13.15" customHeight="1" x14ac:dyDescent="0.2">
      <c r="A71" s="166"/>
      <c r="B71" s="257" t="s">
        <v>285</v>
      </c>
      <c r="C71" s="255">
        <v>0</v>
      </c>
      <c r="D71" s="255">
        <v>0</v>
      </c>
      <c r="E71" s="255">
        <v>0</v>
      </c>
      <c r="F71" s="255">
        <v>0</v>
      </c>
      <c r="G71" s="255">
        <v>0</v>
      </c>
      <c r="H71" s="255">
        <v>0</v>
      </c>
      <c r="K71" s="166"/>
      <c r="L71" s="166"/>
      <c r="M71" s="166"/>
      <c r="N71" s="166"/>
      <c r="O71" s="166"/>
      <c r="P71" s="166"/>
    </row>
    <row r="72" spans="1:21" ht="13.15" customHeight="1" x14ac:dyDescent="0.2">
      <c r="A72" s="166"/>
      <c r="B72" s="258"/>
      <c r="C72" s="255"/>
      <c r="D72" s="255"/>
      <c r="E72" s="255"/>
      <c r="F72" s="255"/>
      <c r="G72" s="255"/>
      <c r="H72" s="255"/>
      <c r="K72" s="166"/>
      <c r="L72" s="166"/>
      <c r="M72" s="166"/>
      <c r="N72" s="166"/>
      <c r="O72" s="166"/>
      <c r="P72" s="166"/>
    </row>
    <row r="73" spans="1:21" ht="13.15" customHeight="1" x14ac:dyDescent="0.2">
      <c r="A73" s="166"/>
      <c r="B73" s="257" t="s">
        <v>284</v>
      </c>
      <c r="C73" s="256">
        <v>0</v>
      </c>
      <c r="D73" s="256">
        <v>0</v>
      </c>
      <c r="E73" s="256">
        <v>0</v>
      </c>
      <c r="F73" s="256">
        <v>0</v>
      </c>
      <c r="G73" s="256">
        <v>0</v>
      </c>
      <c r="H73" s="256">
        <v>0</v>
      </c>
      <c r="K73" s="166"/>
      <c r="L73" s="166"/>
      <c r="M73" s="166"/>
      <c r="N73" s="166"/>
      <c r="O73" s="166"/>
      <c r="P73" s="166"/>
    </row>
    <row r="74" spans="1:21" ht="13.15" customHeight="1" x14ac:dyDescent="0.2">
      <c r="A74" s="166"/>
      <c r="B74" s="258"/>
      <c r="C74" s="256"/>
      <c r="D74" s="256"/>
      <c r="E74" s="256"/>
      <c r="F74" s="256"/>
      <c r="G74" s="256"/>
      <c r="H74" s="256"/>
      <c r="K74" s="166"/>
      <c r="L74" s="166"/>
      <c r="M74" s="166"/>
      <c r="N74" s="166"/>
      <c r="O74" s="166"/>
      <c r="P74" s="166"/>
    </row>
    <row r="75" spans="1:21" ht="15" x14ac:dyDescent="0.2">
      <c r="A75" s="166"/>
      <c r="B75" s="165" t="s">
        <v>283</v>
      </c>
      <c r="C75" s="162">
        <v>0</v>
      </c>
      <c r="D75" s="164">
        <v>0</v>
      </c>
      <c r="E75" s="164">
        <v>0</v>
      </c>
      <c r="F75" s="164">
        <v>0</v>
      </c>
      <c r="G75" s="164">
        <v>0</v>
      </c>
      <c r="H75" s="164">
        <v>0</v>
      </c>
      <c r="K75" s="166"/>
      <c r="L75" s="166"/>
      <c r="M75" s="166"/>
      <c r="N75" s="166"/>
      <c r="O75" s="166"/>
      <c r="P75" s="166"/>
    </row>
    <row r="76" spans="1:21" ht="15" x14ac:dyDescent="0.2">
      <c r="A76" s="166"/>
      <c r="B76" s="165" t="s">
        <v>282</v>
      </c>
      <c r="C76" s="162">
        <v>0</v>
      </c>
      <c r="D76" s="164">
        <v>0</v>
      </c>
      <c r="E76" s="164">
        <v>0</v>
      </c>
      <c r="F76" s="164">
        <v>0</v>
      </c>
      <c r="G76" s="164">
        <v>0</v>
      </c>
      <c r="H76" s="164">
        <v>0</v>
      </c>
      <c r="K76" s="166"/>
      <c r="L76" s="166"/>
      <c r="M76" s="166"/>
      <c r="N76" s="166"/>
      <c r="O76" s="166"/>
      <c r="P76" s="166"/>
    </row>
    <row r="77" spans="1:21" ht="15" x14ac:dyDescent="0.2">
      <c r="A77" s="166"/>
      <c r="B77" s="165" t="s">
        <v>281</v>
      </c>
      <c r="C77" s="162">
        <v>0</v>
      </c>
      <c r="D77" s="164">
        <v>0</v>
      </c>
      <c r="E77" s="164">
        <v>0</v>
      </c>
      <c r="F77" s="164">
        <v>0</v>
      </c>
      <c r="G77" s="164">
        <v>0</v>
      </c>
      <c r="H77" s="164">
        <v>0</v>
      </c>
      <c r="K77" s="166"/>
      <c r="L77" s="166"/>
      <c r="M77" s="166"/>
      <c r="N77" s="166"/>
      <c r="O77" s="166"/>
      <c r="P77" s="166"/>
    </row>
    <row r="78" spans="1:21" ht="15" x14ac:dyDescent="0.2">
      <c r="A78" s="166"/>
      <c r="B78" s="165" t="s">
        <v>280</v>
      </c>
      <c r="C78" s="162">
        <v>0</v>
      </c>
      <c r="D78" s="164">
        <v>0</v>
      </c>
      <c r="E78" s="164">
        <v>0</v>
      </c>
      <c r="F78" s="164">
        <v>0</v>
      </c>
      <c r="G78" s="164">
        <v>0</v>
      </c>
      <c r="H78" s="164">
        <v>0</v>
      </c>
      <c r="K78" s="166"/>
      <c r="L78" s="166"/>
      <c r="M78" s="166"/>
      <c r="N78" s="166"/>
      <c r="O78" s="166"/>
      <c r="P78" s="166"/>
    </row>
    <row r="79" spans="1:21" ht="15" x14ac:dyDescent="0.2">
      <c r="A79" s="166"/>
      <c r="B79" s="165" t="s">
        <v>61</v>
      </c>
      <c r="C79" s="162">
        <v>0</v>
      </c>
      <c r="D79" s="164">
        <v>0</v>
      </c>
      <c r="E79" s="164">
        <v>0</v>
      </c>
      <c r="F79" s="164">
        <v>0</v>
      </c>
      <c r="G79" s="164">
        <v>0</v>
      </c>
      <c r="H79" s="164">
        <v>0</v>
      </c>
      <c r="K79" s="166"/>
      <c r="L79" s="166"/>
      <c r="M79" s="166"/>
      <c r="N79" s="166"/>
      <c r="O79" s="166"/>
      <c r="P79" s="166"/>
    </row>
    <row r="80" spans="1:21" ht="15" x14ac:dyDescent="0.2">
      <c r="A80" s="166"/>
      <c r="B80" s="165" t="s">
        <v>279</v>
      </c>
      <c r="C80" s="162">
        <v>0</v>
      </c>
      <c r="D80" s="164">
        <v>0</v>
      </c>
      <c r="E80" s="164">
        <v>0</v>
      </c>
      <c r="F80" s="164">
        <v>0</v>
      </c>
      <c r="G80" s="164">
        <v>0</v>
      </c>
      <c r="H80" s="164">
        <v>0</v>
      </c>
      <c r="K80" s="166"/>
      <c r="L80" s="166"/>
      <c r="M80" s="166"/>
      <c r="N80" s="166"/>
      <c r="O80" s="166"/>
      <c r="P80" s="166"/>
    </row>
    <row r="81" spans="1:16" ht="15" x14ac:dyDescent="0.2">
      <c r="A81" s="166"/>
      <c r="B81" s="165" t="s">
        <v>50</v>
      </c>
      <c r="C81" s="162">
        <v>0</v>
      </c>
      <c r="D81" s="164">
        <v>0</v>
      </c>
      <c r="E81" s="164">
        <v>0</v>
      </c>
      <c r="F81" s="164">
        <v>0</v>
      </c>
      <c r="G81" s="164">
        <v>0</v>
      </c>
      <c r="H81" s="164">
        <v>0</v>
      </c>
      <c r="K81" s="166"/>
      <c r="L81" s="166"/>
      <c r="M81" s="166"/>
      <c r="N81" s="166"/>
      <c r="O81" s="166"/>
      <c r="P81" s="166"/>
    </row>
    <row r="82" spans="1:16" ht="15" x14ac:dyDescent="0.2">
      <c r="A82" s="166"/>
      <c r="B82" s="165" t="s">
        <v>278</v>
      </c>
      <c r="C82" s="162">
        <v>0</v>
      </c>
      <c r="D82" s="164">
        <v>0</v>
      </c>
      <c r="E82" s="164">
        <v>0</v>
      </c>
      <c r="F82" s="164">
        <v>0</v>
      </c>
      <c r="G82" s="164">
        <v>0</v>
      </c>
      <c r="H82" s="164">
        <v>0</v>
      </c>
      <c r="K82" s="166"/>
      <c r="L82" s="166"/>
      <c r="M82" s="166"/>
      <c r="N82" s="166"/>
      <c r="O82" s="166"/>
      <c r="P82" s="166"/>
    </row>
    <row r="83" spans="1:16" ht="15" x14ac:dyDescent="0.2">
      <c r="A83" s="166"/>
      <c r="B83" s="165" t="s">
        <v>277</v>
      </c>
      <c r="C83" s="162">
        <v>0</v>
      </c>
      <c r="D83" s="164">
        <v>0</v>
      </c>
      <c r="E83" s="164">
        <v>0</v>
      </c>
      <c r="F83" s="164">
        <v>0</v>
      </c>
      <c r="G83" s="164">
        <v>0</v>
      </c>
      <c r="H83" s="164">
        <v>0</v>
      </c>
      <c r="K83" s="166"/>
      <c r="L83" s="166"/>
      <c r="M83" s="166"/>
      <c r="N83" s="166"/>
      <c r="O83" s="166"/>
      <c r="P83" s="166"/>
    </row>
    <row r="84" spans="1:16" ht="15" x14ac:dyDescent="0.2">
      <c r="A84" s="166"/>
      <c r="B84" s="163" t="s">
        <v>276</v>
      </c>
      <c r="C84" s="162">
        <v>0</v>
      </c>
      <c r="D84" s="164">
        <v>0</v>
      </c>
      <c r="E84" s="164">
        <v>0</v>
      </c>
      <c r="F84" s="164">
        <v>0</v>
      </c>
      <c r="G84" s="164">
        <v>0</v>
      </c>
      <c r="H84" s="164">
        <v>0</v>
      </c>
      <c r="K84" s="166"/>
      <c r="L84" s="166"/>
      <c r="M84" s="166"/>
      <c r="N84" s="166"/>
      <c r="O84" s="166"/>
      <c r="P84" s="166"/>
    </row>
    <row r="85" spans="1:16" ht="15" x14ac:dyDescent="0.2">
      <c r="A85" s="166"/>
      <c r="B85" s="156" t="s">
        <v>292</v>
      </c>
      <c r="C85" s="174">
        <f t="shared" ref="C85:H85" si="5">SUM(C67:C84)</f>
        <v>0</v>
      </c>
      <c r="D85" s="155">
        <f t="shared" si="5"/>
        <v>0</v>
      </c>
      <c r="E85" s="155">
        <f t="shared" si="5"/>
        <v>0</v>
      </c>
      <c r="F85" s="155">
        <f t="shared" si="5"/>
        <v>0</v>
      </c>
      <c r="G85" s="155">
        <f t="shared" si="5"/>
        <v>0</v>
      </c>
      <c r="H85" s="155">
        <f t="shared" si="5"/>
        <v>0</v>
      </c>
      <c r="K85" s="166"/>
      <c r="L85" s="166"/>
      <c r="M85" s="166"/>
      <c r="N85" s="166"/>
      <c r="O85" s="166"/>
      <c r="P85" s="166"/>
    </row>
    <row r="86" spans="1:16" ht="14.25" x14ac:dyDescent="0.2">
      <c r="A86" s="166"/>
      <c r="B86" s="170"/>
      <c r="C86" s="173"/>
      <c r="D86" s="173"/>
      <c r="E86" s="173"/>
      <c r="F86" s="173"/>
      <c r="G86" s="173"/>
      <c r="H86" s="173"/>
      <c r="K86" s="166"/>
      <c r="L86" s="166"/>
      <c r="M86" s="166"/>
      <c r="N86" s="166"/>
      <c r="O86" s="166"/>
      <c r="P86" s="166"/>
    </row>
    <row r="87" spans="1:16" ht="14.25" x14ac:dyDescent="0.2">
      <c r="A87" s="166"/>
      <c r="B87" s="168" t="s">
        <v>291</v>
      </c>
      <c r="C87" s="172"/>
      <c r="D87" s="172"/>
      <c r="E87" s="172"/>
      <c r="F87" s="172"/>
      <c r="G87" s="172"/>
      <c r="H87" s="172"/>
      <c r="K87" s="166"/>
      <c r="L87" s="166"/>
      <c r="M87" s="166"/>
      <c r="N87" s="166"/>
      <c r="O87" s="166"/>
      <c r="P87" s="166"/>
    </row>
    <row r="88" spans="1:16" ht="15" x14ac:dyDescent="0.2">
      <c r="A88" s="166"/>
      <c r="B88" s="165" t="s">
        <v>288</v>
      </c>
      <c r="C88" s="167">
        <f t="shared" ref="C88:H90" si="6">C27/2</f>
        <v>0.5</v>
      </c>
      <c r="D88" s="167">
        <f t="shared" si="6"/>
        <v>0.5</v>
      </c>
      <c r="E88" s="167">
        <f t="shared" si="6"/>
        <v>0.5</v>
      </c>
      <c r="F88" s="167">
        <f t="shared" si="6"/>
        <v>0.5</v>
      </c>
      <c r="G88" s="167">
        <f t="shared" si="6"/>
        <v>0.5</v>
      </c>
      <c r="H88" s="167">
        <f t="shared" si="6"/>
        <v>0.5</v>
      </c>
      <c r="K88" s="166"/>
      <c r="L88" s="166"/>
      <c r="M88" s="166"/>
      <c r="N88" s="166"/>
      <c r="O88" s="166"/>
      <c r="P88" s="166"/>
    </row>
    <row r="89" spans="1:16" ht="15" x14ac:dyDescent="0.2">
      <c r="A89" s="166"/>
      <c r="B89" s="165" t="s">
        <v>287</v>
      </c>
      <c r="C89" s="167">
        <f t="shared" si="6"/>
        <v>0</v>
      </c>
      <c r="D89" s="167">
        <f t="shared" si="6"/>
        <v>0</v>
      </c>
      <c r="E89" s="167">
        <f t="shared" si="6"/>
        <v>0</v>
      </c>
      <c r="F89" s="167">
        <f t="shared" si="6"/>
        <v>0</v>
      </c>
      <c r="G89" s="167">
        <f t="shared" si="6"/>
        <v>0</v>
      </c>
      <c r="H89" s="167">
        <f t="shared" si="6"/>
        <v>0</v>
      </c>
      <c r="K89" s="166"/>
      <c r="L89" s="166"/>
      <c r="M89" s="166"/>
      <c r="N89" s="166"/>
      <c r="O89" s="166"/>
      <c r="P89" s="166"/>
    </row>
    <row r="90" spans="1:16" ht="13.15" customHeight="1" x14ac:dyDescent="0.2">
      <c r="A90" s="166"/>
      <c r="B90" s="257" t="s">
        <v>286</v>
      </c>
      <c r="C90" s="255">
        <f t="shared" si="6"/>
        <v>0.5</v>
      </c>
      <c r="D90" s="255">
        <f t="shared" si="6"/>
        <v>0.5</v>
      </c>
      <c r="E90" s="255">
        <f t="shared" si="6"/>
        <v>0.5</v>
      </c>
      <c r="F90" s="255">
        <f t="shared" si="6"/>
        <v>0.5</v>
      </c>
      <c r="G90" s="255">
        <f t="shared" si="6"/>
        <v>0.5</v>
      </c>
      <c r="H90" s="255">
        <f t="shared" si="6"/>
        <v>0.5</v>
      </c>
      <c r="K90" s="166"/>
      <c r="L90" s="166"/>
      <c r="M90" s="166"/>
      <c r="N90" s="166"/>
      <c r="O90" s="166"/>
      <c r="P90" s="166"/>
    </row>
    <row r="91" spans="1:16" ht="13.15" customHeight="1" x14ac:dyDescent="0.2">
      <c r="B91" s="258"/>
      <c r="C91" s="255"/>
      <c r="D91" s="255"/>
      <c r="E91" s="255"/>
      <c r="F91" s="255"/>
      <c r="G91" s="255"/>
      <c r="H91" s="255"/>
    </row>
    <row r="92" spans="1:16" ht="13.15" customHeight="1" x14ac:dyDescent="0.2">
      <c r="B92" s="257" t="s">
        <v>285</v>
      </c>
      <c r="C92" s="255">
        <f t="shared" ref="C92:H92" si="7">C31/2</f>
        <v>0</v>
      </c>
      <c r="D92" s="255">
        <f t="shared" si="7"/>
        <v>0</v>
      </c>
      <c r="E92" s="255">
        <f t="shared" si="7"/>
        <v>0</v>
      </c>
      <c r="F92" s="256">
        <f t="shared" si="7"/>
        <v>0</v>
      </c>
      <c r="G92" s="256">
        <f t="shared" si="7"/>
        <v>0</v>
      </c>
      <c r="H92" s="256">
        <f t="shared" si="7"/>
        <v>0</v>
      </c>
    </row>
    <row r="93" spans="1:16" ht="13.15" customHeight="1" x14ac:dyDescent="0.2">
      <c r="B93" s="258"/>
      <c r="C93" s="255"/>
      <c r="D93" s="255"/>
      <c r="E93" s="255"/>
      <c r="F93" s="256"/>
      <c r="G93" s="256"/>
      <c r="H93" s="256"/>
    </row>
    <row r="94" spans="1:16" ht="13.15" customHeight="1" x14ac:dyDescent="0.2">
      <c r="B94" s="257" t="s">
        <v>284</v>
      </c>
      <c r="C94" s="256">
        <f t="shared" ref="C94:H94" si="8">C33/2</f>
        <v>0</v>
      </c>
      <c r="D94" s="256">
        <f t="shared" si="8"/>
        <v>0</v>
      </c>
      <c r="E94" s="256">
        <f t="shared" si="8"/>
        <v>0</v>
      </c>
      <c r="F94" s="256">
        <f t="shared" si="8"/>
        <v>0</v>
      </c>
      <c r="G94" s="256">
        <f t="shared" si="8"/>
        <v>0</v>
      </c>
      <c r="H94" s="256">
        <f t="shared" si="8"/>
        <v>0</v>
      </c>
    </row>
    <row r="95" spans="1:16" ht="13.15" customHeight="1" x14ac:dyDescent="0.2">
      <c r="B95" s="258"/>
      <c r="C95" s="256"/>
      <c r="D95" s="256"/>
      <c r="E95" s="256"/>
      <c r="F95" s="256"/>
      <c r="G95" s="256"/>
      <c r="H95" s="256"/>
    </row>
    <row r="96" spans="1:16" ht="15" x14ac:dyDescent="0.2">
      <c r="B96" s="165" t="s">
        <v>283</v>
      </c>
      <c r="C96" s="162">
        <f>SUM('6-Year (auto-populated)'!I10:I12)</f>
        <v>4</v>
      </c>
      <c r="D96" s="162">
        <f>SUM('6-Year (auto-populated)'!J10:J12)</f>
        <v>3</v>
      </c>
      <c r="E96" s="162">
        <f>SUM('6-Year (auto-populated)'!K10:K12)</f>
        <v>3</v>
      </c>
      <c r="F96" s="162">
        <f>SUM('6-Year (auto-populated)'!L10:L12)</f>
        <v>3</v>
      </c>
      <c r="G96" s="162">
        <f>SUM('6-Year (auto-populated)'!M10:M12)</f>
        <v>3</v>
      </c>
      <c r="H96" s="162">
        <f>SUM('6-Year (auto-populated)'!N10:N12)</f>
        <v>3</v>
      </c>
    </row>
    <row r="97" spans="1:16" ht="15" x14ac:dyDescent="0.2">
      <c r="B97" s="165" t="s">
        <v>282</v>
      </c>
      <c r="C97" s="164">
        <f>C36/2</f>
        <v>0.375</v>
      </c>
      <c r="D97" s="164">
        <f t="shared" ref="D97:H97" si="9">D36/2</f>
        <v>0.5</v>
      </c>
      <c r="E97" s="164">
        <f t="shared" si="9"/>
        <v>0.5</v>
      </c>
      <c r="F97" s="164">
        <f t="shared" si="9"/>
        <v>0.5</v>
      </c>
      <c r="G97" s="164">
        <f t="shared" si="9"/>
        <v>0.5</v>
      </c>
      <c r="H97" s="164">
        <f t="shared" si="9"/>
        <v>0.5</v>
      </c>
    </row>
    <row r="98" spans="1:16" ht="15" x14ac:dyDescent="0.2">
      <c r="B98" s="165" t="s">
        <v>281</v>
      </c>
      <c r="C98" s="164">
        <f>C37/2</f>
        <v>0.5</v>
      </c>
      <c r="D98" s="164">
        <f t="shared" ref="D98:H98" si="10">D37/2</f>
        <v>0.5</v>
      </c>
      <c r="E98" s="164">
        <f t="shared" si="10"/>
        <v>0.5</v>
      </c>
      <c r="F98" s="164">
        <f t="shared" si="10"/>
        <v>0.5</v>
      </c>
      <c r="G98" s="164">
        <f t="shared" si="10"/>
        <v>0.5</v>
      </c>
      <c r="H98" s="164">
        <f t="shared" si="10"/>
        <v>0.5</v>
      </c>
    </row>
    <row r="99" spans="1:16" ht="15" x14ac:dyDescent="0.2">
      <c r="A99" s="166"/>
      <c r="B99" s="165" t="s">
        <v>280</v>
      </c>
      <c r="C99" s="164">
        <f>C38/2</f>
        <v>0</v>
      </c>
      <c r="D99" s="164">
        <f t="shared" ref="D99:H99" si="11">D38/2</f>
        <v>0</v>
      </c>
      <c r="E99" s="164">
        <f t="shared" si="11"/>
        <v>0</v>
      </c>
      <c r="F99" s="164">
        <f t="shared" si="11"/>
        <v>0</v>
      </c>
      <c r="G99" s="164">
        <f t="shared" si="11"/>
        <v>0</v>
      </c>
      <c r="H99" s="164">
        <f t="shared" si="11"/>
        <v>0</v>
      </c>
      <c r="K99" s="166"/>
      <c r="L99" s="166"/>
      <c r="M99" s="166"/>
      <c r="N99" s="166"/>
      <c r="O99" s="166"/>
      <c r="P99" s="166"/>
    </row>
    <row r="100" spans="1:16" ht="15" x14ac:dyDescent="0.2">
      <c r="B100" s="165" t="s">
        <v>61</v>
      </c>
      <c r="C100" s="164">
        <f t="shared" ref="C100:H105" si="12">C39/2</f>
        <v>0</v>
      </c>
      <c r="D100" s="164">
        <f t="shared" si="12"/>
        <v>0</v>
      </c>
      <c r="E100" s="164">
        <f t="shared" si="12"/>
        <v>0</v>
      </c>
      <c r="F100" s="164">
        <f t="shared" si="12"/>
        <v>0</v>
      </c>
      <c r="G100" s="164">
        <f t="shared" si="12"/>
        <v>0</v>
      </c>
      <c r="H100" s="164">
        <f t="shared" si="12"/>
        <v>0</v>
      </c>
    </row>
    <row r="101" spans="1:16" ht="15" x14ac:dyDescent="0.2">
      <c r="B101" s="165" t="s">
        <v>279</v>
      </c>
      <c r="C101" s="164">
        <f t="shared" si="12"/>
        <v>0.5</v>
      </c>
      <c r="D101" s="164">
        <f t="shared" si="12"/>
        <v>0.5</v>
      </c>
      <c r="E101" s="164">
        <f t="shared" si="12"/>
        <v>0.5</v>
      </c>
      <c r="F101" s="164">
        <f t="shared" si="12"/>
        <v>0.5</v>
      </c>
      <c r="G101" s="164">
        <f t="shared" si="12"/>
        <v>0.5</v>
      </c>
      <c r="H101" s="164">
        <f t="shared" si="12"/>
        <v>0.5</v>
      </c>
    </row>
    <row r="102" spans="1:16" ht="15" x14ac:dyDescent="0.2">
      <c r="B102" s="165" t="s">
        <v>50</v>
      </c>
      <c r="C102" s="164">
        <f t="shared" si="12"/>
        <v>0.5</v>
      </c>
      <c r="D102" s="164">
        <f t="shared" si="12"/>
        <v>0.5</v>
      </c>
      <c r="E102" s="164">
        <f t="shared" si="12"/>
        <v>0.5</v>
      </c>
      <c r="F102" s="164">
        <f t="shared" si="12"/>
        <v>0.5</v>
      </c>
      <c r="G102" s="164">
        <f t="shared" si="12"/>
        <v>0.5</v>
      </c>
      <c r="H102" s="164">
        <f t="shared" si="12"/>
        <v>0.5</v>
      </c>
    </row>
    <row r="103" spans="1:16" ht="15" x14ac:dyDescent="0.2">
      <c r="B103" s="165" t="s">
        <v>278</v>
      </c>
      <c r="C103" s="164">
        <f t="shared" si="12"/>
        <v>0</v>
      </c>
      <c r="D103" s="164">
        <f t="shared" si="12"/>
        <v>0</v>
      </c>
      <c r="E103" s="164">
        <f t="shared" si="12"/>
        <v>0</v>
      </c>
      <c r="F103" s="164">
        <f t="shared" si="12"/>
        <v>0</v>
      </c>
      <c r="G103" s="164">
        <f t="shared" si="12"/>
        <v>0</v>
      </c>
      <c r="H103" s="164">
        <f t="shared" si="12"/>
        <v>0</v>
      </c>
    </row>
    <row r="104" spans="1:16" ht="15" x14ac:dyDescent="0.2">
      <c r="B104" s="165" t="s">
        <v>277</v>
      </c>
      <c r="C104" s="164">
        <f t="shared" si="12"/>
        <v>0.5</v>
      </c>
      <c r="D104" s="164">
        <f t="shared" si="12"/>
        <v>0.5</v>
      </c>
      <c r="E104" s="164">
        <f t="shared" si="12"/>
        <v>0.5</v>
      </c>
      <c r="F104" s="164">
        <f t="shared" si="12"/>
        <v>0.5</v>
      </c>
      <c r="G104" s="164">
        <f t="shared" si="12"/>
        <v>0.5</v>
      </c>
      <c r="H104" s="164">
        <f t="shared" si="12"/>
        <v>0.5</v>
      </c>
    </row>
    <row r="105" spans="1:16" ht="15" x14ac:dyDescent="0.2">
      <c r="B105" s="163" t="s">
        <v>276</v>
      </c>
      <c r="C105" s="164">
        <f t="shared" si="12"/>
        <v>0.5</v>
      </c>
      <c r="D105" s="164">
        <f t="shared" si="12"/>
        <v>0.5</v>
      </c>
      <c r="E105" s="164">
        <f t="shared" si="12"/>
        <v>0.5</v>
      </c>
      <c r="F105" s="164">
        <f t="shared" si="12"/>
        <v>0.5</v>
      </c>
      <c r="G105" s="164">
        <f t="shared" si="12"/>
        <v>0.5</v>
      </c>
      <c r="H105" s="164">
        <f t="shared" si="12"/>
        <v>0.5</v>
      </c>
    </row>
    <row r="106" spans="1:16" ht="15" x14ac:dyDescent="0.2">
      <c r="B106" s="156" t="s">
        <v>290</v>
      </c>
      <c r="C106" s="155">
        <f t="shared" ref="C106:H106" si="13">SUM(C88:C105)</f>
        <v>7.875</v>
      </c>
      <c r="D106" s="155">
        <f t="shared" si="13"/>
        <v>7</v>
      </c>
      <c r="E106" s="155">
        <f t="shared" si="13"/>
        <v>7</v>
      </c>
      <c r="F106" s="155">
        <f t="shared" si="13"/>
        <v>7</v>
      </c>
      <c r="G106" s="155">
        <f t="shared" si="13"/>
        <v>7</v>
      </c>
      <c r="H106" s="155">
        <f t="shared" si="13"/>
        <v>7</v>
      </c>
      <c r="I106" s="171"/>
    </row>
    <row r="107" spans="1:16" ht="14.25" x14ac:dyDescent="0.2">
      <c r="B107" s="170"/>
      <c r="C107" s="169"/>
      <c r="D107" s="169"/>
      <c r="E107" s="169"/>
      <c r="F107" s="169"/>
      <c r="G107" s="169"/>
      <c r="H107" s="169"/>
    </row>
    <row r="108" spans="1:16" ht="14.25" x14ac:dyDescent="0.2">
      <c r="B108" s="168" t="s">
        <v>289</v>
      </c>
      <c r="C108" s="168"/>
      <c r="D108" s="168"/>
      <c r="E108" s="168"/>
      <c r="F108" s="168"/>
      <c r="G108" s="168"/>
      <c r="H108" s="168"/>
    </row>
    <row r="109" spans="1:16" ht="15" x14ac:dyDescent="0.2">
      <c r="B109" s="165" t="s">
        <v>288</v>
      </c>
      <c r="C109" s="164">
        <f t="shared" ref="C109:H111" si="14">C27/2</f>
        <v>0.5</v>
      </c>
      <c r="D109" s="164">
        <f t="shared" si="14"/>
        <v>0.5</v>
      </c>
      <c r="E109" s="164">
        <f t="shared" si="14"/>
        <v>0.5</v>
      </c>
      <c r="F109" s="164">
        <f t="shared" si="14"/>
        <v>0.5</v>
      </c>
      <c r="G109" s="164">
        <f t="shared" si="14"/>
        <v>0.5</v>
      </c>
      <c r="H109" s="164">
        <f t="shared" si="14"/>
        <v>0.5</v>
      </c>
    </row>
    <row r="110" spans="1:16" ht="15" x14ac:dyDescent="0.2">
      <c r="B110" s="165" t="s">
        <v>287</v>
      </c>
      <c r="C110" s="164">
        <f t="shared" si="14"/>
        <v>0</v>
      </c>
      <c r="D110" s="164">
        <f t="shared" si="14"/>
        <v>0</v>
      </c>
      <c r="E110" s="164">
        <f t="shared" si="14"/>
        <v>0</v>
      </c>
      <c r="F110" s="164">
        <f t="shared" si="14"/>
        <v>0</v>
      </c>
      <c r="G110" s="164">
        <f t="shared" si="14"/>
        <v>0</v>
      </c>
      <c r="H110" s="164">
        <f t="shared" si="14"/>
        <v>0</v>
      </c>
    </row>
    <row r="111" spans="1:16" ht="13.15" customHeight="1" x14ac:dyDescent="0.2">
      <c r="B111" s="257" t="s">
        <v>286</v>
      </c>
      <c r="C111" s="255">
        <f t="shared" si="14"/>
        <v>0.5</v>
      </c>
      <c r="D111" s="255">
        <f t="shared" si="14"/>
        <v>0.5</v>
      </c>
      <c r="E111" s="255">
        <f t="shared" si="14"/>
        <v>0.5</v>
      </c>
      <c r="F111" s="255">
        <f t="shared" si="14"/>
        <v>0.5</v>
      </c>
      <c r="G111" s="255">
        <f t="shared" si="14"/>
        <v>0.5</v>
      </c>
      <c r="H111" s="255">
        <f t="shared" si="14"/>
        <v>0.5</v>
      </c>
    </row>
    <row r="112" spans="1:16" ht="13.15" customHeight="1" x14ac:dyDescent="0.2">
      <c r="B112" s="258"/>
      <c r="C112" s="255"/>
      <c r="D112" s="255"/>
      <c r="E112" s="255"/>
      <c r="F112" s="255"/>
      <c r="G112" s="255"/>
      <c r="H112" s="255"/>
    </row>
    <row r="113" spans="1:16" ht="13.15" customHeight="1" x14ac:dyDescent="0.2">
      <c r="B113" s="257" t="s">
        <v>285</v>
      </c>
      <c r="C113" s="255">
        <f t="shared" ref="C113:H113" si="15">C31/2</f>
        <v>0</v>
      </c>
      <c r="D113" s="255">
        <f t="shared" si="15"/>
        <v>0</v>
      </c>
      <c r="E113" s="255">
        <f t="shared" si="15"/>
        <v>0</v>
      </c>
      <c r="F113" s="256">
        <f t="shared" si="15"/>
        <v>0</v>
      </c>
      <c r="G113" s="256">
        <f t="shared" si="15"/>
        <v>0</v>
      </c>
      <c r="H113" s="256">
        <f t="shared" si="15"/>
        <v>0</v>
      </c>
    </row>
    <row r="114" spans="1:16" ht="13.15" customHeight="1" x14ac:dyDescent="0.2">
      <c r="B114" s="258"/>
      <c r="C114" s="255"/>
      <c r="D114" s="255"/>
      <c r="E114" s="255"/>
      <c r="F114" s="256"/>
      <c r="G114" s="256"/>
      <c r="H114" s="256"/>
    </row>
    <row r="115" spans="1:16" ht="13.15" customHeight="1" x14ac:dyDescent="0.2">
      <c r="B115" s="257" t="s">
        <v>284</v>
      </c>
      <c r="C115" s="253">
        <f t="shared" ref="C115:H115" si="16">C33/2</f>
        <v>0</v>
      </c>
      <c r="D115" s="253">
        <f t="shared" si="16"/>
        <v>0</v>
      </c>
      <c r="E115" s="253">
        <f t="shared" si="16"/>
        <v>0</v>
      </c>
      <c r="F115" s="253">
        <f t="shared" si="16"/>
        <v>0</v>
      </c>
      <c r="G115" s="253">
        <f t="shared" si="16"/>
        <v>0</v>
      </c>
      <c r="H115" s="253">
        <f t="shared" si="16"/>
        <v>0</v>
      </c>
    </row>
    <row r="116" spans="1:16" ht="13.15" customHeight="1" x14ac:dyDescent="0.2">
      <c r="B116" s="258"/>
      <c r="C116" s="254"/>
      <c r="D116" s="254"/>
      <c r="E116" s="254"/>
      <c r="F116" s="254"/>
      <c r="G116" s="254"/>
      <c r="H116" s="254"/>
    </row>
    <row r="117" spans="1:16" ht="15" x14ac:dyDescent="0.2">
      <c r="B117" s="165" t="s">
        <v>283</v>
      </c>
      <c r="C117" s="162">
        <f>SUM('6-Year (auto-populated)'!I13:I16)</f>
        <v>2</v>
      </c>
      <c r="D117" s="162">
        <f>SUM('6-Year (auto-populated)'!J13:J16)</f>
        <v>3</v>
      </c>
      <c r="E117" s="162">
        <f>SUM('6-Year (auto-populated)'!K13:K16)</f>
        <v>4</v>
      </c>
      <c r="F117" s="162">
        <f>SUM('6-Year (auto-populated)'!L13:L16)</f>
        <v>4</v>
      </c>
      <c r="G117" s="162">
        <f>SUM('6-Year (auto-populated)'!M13:M16)</f>
        <v>4</v>
      </c>
      <c r="H117" s="162">
        <f>SUM('6-Year (auto-populated)'!N13:N16)</f>
        <v>4</v>
      </c>
    </row>
    <row r="118" spans="1:16" ht="15" x14ac:dyDescent="0.2">
      <c r="B118" s="165" t="s">
        <v>282</v>
      </c>
      <c r="C118" s="164">
        <f>C36/2</f>
        <v>0.375</v>
      </c>
      <c r="D118" s="164">
        <f t="shared" ref="D118:H118" si="17">D36/2</f>
        <v>0.5</v>
      </c>
      <c r="E118" s="164">
        <f t="shared" si="17"/>
        <v>0.5</v>
      </c>
      <c r="F118" s="164">
        <f t="shared" si="17"/>
        <v>0.5</v>
      </c>
      <c r="G118" s="164">
        <f t="shared" si="17"/>
        <v>0.5</v>
      </c>
      <c r="H118" s="164">
        <f t="shared" si="17"/>
        <v>0.5</v>
      </c>
    </row>
    <row r="119" spans="1:16" ht="15" x14ac:dyDescent="0.2">
      <c r="B119" s="165" t="s">
        <v>281</v>
      </c>
      <c r="C119" s="164">
        <f>C37/2</f>
        <v>0.5</v>
      </c>
      <c r="D119" s="164">
        <f t="shared" ref="D119:H119" si="18">D37/2</f>
        <v>0.5</v>
      </c>
      <c r="E119" s="164">
        <f t="shared" si="18"/>
        <v>0.5</v>
      </c>
      <c r="F119" s="164">
        <f t="shared" si="18"/>
        <v>0.5</v>
      </c>
      <c r="G119" s="164">
        <f t="shared" si="18"/>
        <v>0.5</v>
      </c>
      <c r="H119" s="164">
        <f t="shared" si="18"/>
        <v>0.5</v>
      </c>
    </row>
    <row r="120" spans="1:16" ht="15" x14ac:dyDescent="0.2">
      <c r="A120" s="166"/>
      <c r="B120" s="165" t="s">
        <v>280</v>
      </c>
      <c r="C120" s="164">
        <f>C38/2</f>
        <v>0</v>
      </c>
      <c r="D120" s="164">
        <f t="shared" ref="D120:H120" si="19">D38/2</f>
        <v>0</v>
      </c>
      <c r="E120" s="164">
        <f t="shared" si="19"/>
        <v>0</v>
      </c>
      <c r="F120" s="164">
        <f t="shared" si="19"/>
        <v>0</v>
      </c>
      <c r="G120" s="164">
        <f t="shared" si="19"/>
        <v>0</v>
      </c>
      <c r="H120" s="164">
        <f t="shared" si="19"/>
        <v>0</v>
      </c>
      <c r="K120" s="166"/>
      <c r="L120" s="166"/>
      <c r="M120" s="166"/>
      <c r="N120" s="166"/>
      <c r="O120" s="166"/>
      <c r="P120" s="166"/>
    </row>
    <row r="121" spans="1:16" ht="15" x14ac:dyDescent="0.2">
      <c r="B121" s="165" t="s">
        <v>61</v>
      </c>
      <c r="C121" s="164">
        <f t="shared" ref="C121:H126" si="20">C39/2</f>
        <v>0</v>
      </c>
      <c r="D121" s="164">
        <f t="shared" si="20"/>
        <v>0</v>
      </c>
      <c r="E121" s="164">
        <f t="shared" si="20"/>
        <v>0</v>
      </c>
      <c r="F121" s="164">
        <f t="shared" si="20"/>
        <v>0</v>
      </c>
      <c r="G121" s="164">
        <f t="shared" si="20"/>
        <v>0</v>
      </c>
      <c r="H121" s="164">
        <f t="shared" si="20"/>
        <v>0</v>
      </c>
    </row>
    <row r="122" spans="1:16" ht="15" x14ac:dyDescent="0.2">
      <c r="B122" s="165" t="s">
        <v>279</v>
      </c>
      <c r="C122" s="164">
        <f t="shared" si="20"/>
        <v>0.5</v>
      </c>
      <c r="D122" s="164">
        <f t="shared" si="20"/>
        <v>0.5</v>
      </c>
      <c r="E122" s="164">
        <f t="shared" si="20"/>
        <v>0.5</v>
      </c>
      <c r="F122" s="164">
        <f t="shared" si="20"/>
        <v>0.5</v>
      </c>
      <c r="G122" s="164">
        <f t="shared" si="20"/>
        <v>0.5</v>
      </c>
      <c r="H122" s="164">
        <f t="shared" si="20"/>
        <v>0.5</v>
      </c>
    </row>
    <row r="123" spans="1:16" ht="15" x14ac:dyDescent="0.2">
      <c r="B123" s="165" t="s">
        <v>50</v>
      </c>
      <c r="C123" s="164">
        <f t="shared" si="20"/>
        <v>0.5</v>
      </c>
      <c r="D123" s="164">
        <f t="shared" si="20"/>
        <v>0.5</v>
      </c>
      <c r="E123" s="164">
        <f t="shared" si="20"/>
        <v>0.5</v>
      </c>
      <c r="F123" s="164">
        <f t="shared" si="20"/>
        <v>0.5</v>
      </c>
      <c r="G123" s="164">
        <f t="shared" si="20"/>
        <v>0.5</v>
      </c>
      <c r="H123" s="164">
        <f t="shared" si="20"/>
        <v>0.5</v>
      </c>
    </row>
    <row r="124" spans="1:16" ht="15" x14ac:dyDescent="0.2">
      <c r="B124" s="165" t="s">
        <v>278</v>
      </c>
      <c r="C124" s="164">
        <f t="shared" si="20"/>
        <v>0</v>
      </c>
      <c r="D124" s="164">
        <f t="shared" si="20"/>
        <v>0</v>
      </c>
      <c r="E124" s="164">
        <f t="shared" si="20"/>
        <v>0</v>
      </c>
      <c r="F124" s="164">
        <f t="shared" si="20"/>
        <v>0</v>
      </c>
      <c r="G124" s="164">
        <f t="shared" si="20"/>
        <v>0</v>
      </c>
      <c r="H124" s="164">
        <f t="shared" si="20"/>
        <v>0</v>
      </c>
    </row>
    <row r="125" spans="1:16" ht="15" x14ac:dyDescent="0.2">
      <c r="B125" s="165" t="s">
        <v>277</v>
      </c>
      <c r="C125" s="164">
        <f t="shared" si="20"/>
        <v>0.5</v>
      </c>
      <c r="D125" s="164">
        <f t="shared" si="20"/>
        <v>0.5</v>
      </c>
      <c r="E125" s="164">
        <f t="shared" si="20"/>
        <v>0.5</v>
      </c>
      <c r="F125" s="164">
        <f t="shared" si="20"/>
        <v>0.5</v>
      </c>
      <c r="G125" s="164">
        <f t="shared" si="20"/>
        <v>0.5</v>
      </c>
      <c r="H125" s="164">
        <f t="shared" si="20"/>
        <v>0.5</v>
      </c>
    </row>
    <row r="126" spans="1:16" ht="15" x14ac:dyDescent="0.2">
      <c r="B126" s="163" t="s">
        <v>276</v>
      </c>
      <c r="C126" s="164">
        <f t="shared" si="20"/>
        <v>0.5</v>
      </c>
      <c r="D126" s="164">
        <f t="shared" si="20"/>
        <v>0.5</v>
      </c>
      <c r="E126" s="164">
        <f t="shared" si="20"/>
        <v>0.5</v>
      </c>
      <c r="F126" s="164">
        <f t="shared" si="20"/>
        <v>0.5</v>
      </c>
      <c r="G126" s="164">
        <f t="shared" si="20"/>
        <v>0.5</v>
      </c>
      <c r="H126" s="164">
        <f t="shared" si="20"/>
        <v>0.5</v>
      </c>
    </row>
    <row r="127" spans="1:16" ht="20.25" customHeight="1" x14ac:dyDescent="0.2">
      <c r="B127" s="161" t="s">
        <v>275</v>
      </c>
      <c r="C127" s="159">
        <f t="shared" ref="C127:H127" si="21">SUM(C109:C126)</f>
        <v>5.875</v>
      </c>
      <c r="D127" s="159">
        <f t="shared" si="21"/>
        <v>7</v>
      </c>
      <c r="E127" s="159">
        <f t="shared" si="21"/>
        <v>8</v>
      </c>
      <c r="F127" s="159">
        <f t="shared" si="21"/>
        <v>8</v>
      </c>
      <c r="G127" s="160">
        <f t="shared" si="21"/>
        <v>8</v>
      </c>
      <c r="H127" s="159">
        <f t="shared" si="21"/>
        <v>8</v>
      </c>
    </row>
    <row r="128" spans="1:16" ht="20.25" customHeight="1" x14ac:dyDescent="0.2">
      <c r="B128" s="158"/>
      <c r="C128" s="157"/>
      <c r="D128" s="157"/>
      <c r="E128" s="157"/>
      <c r="F128" s="157"/>
      <c r="G128" s="157"/>
      <c r="H128" s="157"/>
    </row>
    <row r="129" spans="2:10" ht="20.25" customHeight="1" x14ac:dyDescent="0.2">
      <c r="B129" s="156" t="s">
        <v>274</v>
      </c>
      <c r="C129" s="155">
        <f t="shared" ref="C129:H129" si="22">+C127+C106+C85+C64</f>
        <v>22.75</v>
      </c>
      <c r="D129" s="155">
        <f t="shared" si="22"/>
        <v>23</v>
      </c>
      <c r="E129" s="155">
        <f t="shared" si="22"/>
        <v>24</v>
      </c>
      <c r="F129" s="155">
        <f t="shared" si="22"/>
        <v>24</v>
      </c>
      <c r="G129" s="155">
        <f t="shared" si="22"/>
        <v>24</v>
      </c>
      <c r="H129" s="155">
        <f t="shared" si="22"/>
        <v>24</v>
      </c>
    </row>
    <row r="130" spans="2:10" ht="15" x14ac:dyDescent="0.2">
      <c r="B130" s="154"/>
      <c r="C130" s="154"/>
      <c r="D130" s="154"/>
      <c r="E130" s="154"/>
      <c r="F130" s="154"/>
      <c r="G130" s="154"/>
      <c r="H130" s="154"/>
      <c r="I130" s="154"/>
      <c r="J130" s="154"/>
    </row>
    <row r="131" spans="2:10" x14ac:dyDescent="0.2">
      <c r="B131" s="153"/>
    </row>
    <row r="132" spans="2:10" x14ac:dyDescent="0.2">
      <c r="B132" s="152"/>
    </row>
    <row r="137" spans="2:10" x14ac:dyDescent="0.2">
      <c r="C137" s="151">
        <f t="shared" ref="C137:H137" si="23">C129-C64</f>
        <v>13.75</v>
      </c>
      <c r="D137" s="151">
        <f t="shared" si="23"/>
        <v>14</v>
      </c>
      <c r="E137" s="151">
        <f t="shared" si="23"/>
        <v>15</v>
      </c>
      <c r="F137" s="151">
        <f t="shared" si="23"/>
        <v>15</v>
      </c>
      <c r="G137" s="151">
        <f t="shared" si="23"/>
        <v>15</v>
      </c>
      <c r="H137" s="151">
        <f t="shared" si="23"/>
        <v>15</v>
      </c>
    </row>
    <row r="138" spans="2:10" x14ac:dyDescent="0.2">
      <c r="C138" s="150" t="b">
        <f t="shared" ref="C138:H138" si="24">C137=C45</f>
        <v>1</v>
      </c>
      <c r="D138" s="150" t="b">
        <f t="shared" si="24"/>
        <v>1</v>
      </c>
      <c r="E138" s="150" t="b">
        <f t="shared" si="24"/>
        <v>1</v>
      </c>
      <c r="F138" s="150" t="b">
        <f t="shared" si="24"/>
        <v>1</v>
      </c>
      <c r="G138" s="150" t="b">
        <f t="shared" si="24"/>
        <v>1</v>
      </c>
      <c r="H138" s="150" t="b">
        <f t="shared" si="24"/>
        <v>1</v>
      </c>
    </row>
  </sheetData>
  <mergeCells count="86">
    <mergeCell ref="C33:C34"/>
    <mergeCell ref="B26:H26"/>
    <mergeCell ref="B15:H15"/>
    <mergeCell ref="H33:H34"/>
    <mergeCell ref="H29:H30"/>
    <mergeCell ref="C31:C32"/>
    <mergeCell ref="D31:D32"/>
    <mergeCell ref="E31:E32"/>
    <mergeCell ref="F31:F32"/>
    <mergeCell ref="B29:B30"/>
    <mergeCell ref="F29:F30"/>
    <mergeCell ref="B31:B32"/>
    <mergeCell ref="B33:B34"/>
    <mergeCell ref="C29:C30"/>
    <mergeCell ref="G31:G32"/>
    <mergeCell ref="H31:H32"/>
    <mergeCell ref="E33:E34"/>
    <mergeCell ref="F33:F34"/>
    <mergeCell ref="G33:G34"/>
    <mergeCell ref="D29:D30"/>
    <mergeCell ref="E29:E30"/>
    <mergeCell ref="D33:D34"/>
    <mergeCell ref="G29:G30"/>
    <mergeCell ref="E69:E70"/>
    <mergeCell ref="C73:C74"/>
    <mergeCell ref="D73:D74"/>
    <mergeCell ref="E73:E74"/>
    <mergeCell ref="B92:B93"/>
    <mergeCell ref="D92:D93"/>
    <mergeCell ref="E92:E93"/>
    <mergeCell ref="B69:B70"/>
    <mergeCell ref="B71:B72"/>
    <mergeCell ref="B73:B74"/>
    <mergeCell ref="B90:B91"/>
    <mergeCell ref="C90:C91"/>
    <mergeCell ref="D90:D91"/>
    <mergeCell ref="C69:C70"/>
    <mergeCell ref="D69:D70"/>
    <mergeCell ref="C71:C72"/>
    <mergeCell ref="D115:D116"/>
    <mergeCell ref="E115:E116"/>
    <mergeCell ref="B94:B95"/>
    <mergeCell ref="B111:B112"/>
    <mergeCell ref="B113:B114"/>
    <mergeCell ref="B115:B116"/>
    <mergeCell ref="C94:C95"/>
    <mergeCell ref="D94:D95"/>
    <mergeCell ref="E94:E95"/>
    <mergeCell ref="D71:D72"/>
    <mergeCell ref="E71:E72"/>
    <mergeCell ref="C92:C93"/>
    <mergeCell ref="E90:E91"/>
    <mergeCell ref="F94:F95"/>
    <mergeCell ref="F92:F93"/>
    <mergeCell ref="F90:F91"/>
    <mergeCell ref="F73:F74"/>
    <mergeCell ref="G94:G95"/>
    <mergeCell ref="H94:H95"/>
    <mergeCell ref="H90:H91"/>
    <mergeCell ref="G73:G74"/>
    <mergeCell ref="G90:G91"/>
    <mergeCell ref="G92:G93"/>
    <mergeCell ref="H92:H93"/>
    <mergeCell ref="H69:H70"/>
    <mergeCell ref="H73:H74"/>
    <mergeCell ref="H71:H72"/>
    <mergeCell ref="F69:F70"/>
    <mergeCell ref="G71:G72"/>
    <mergeCell ref="G69:G70"/>
    <mergeCell ref="F71:F72"/>
    <mergeCell ref="F115:F116"/>
    <mergeCell ref="G115:G116"/>
    <mergeCell ref="H115:H116"/>
    <mergeCell ref="C111:C112"/>
    <mergeCell ref="C113:C114"/>
    <mergeCell ref="C115:C116"/>
    <mergeCell ref="F111:F112"/>
    <mergeCell ref="G111:G112"/>
    <mergeCell ref="H111:H112"/>
    <mergeCell ref="D113:D114"/>
    <mergeCell ref="E113:E114"/>
    <mergeCell ref="F113:F114"/>
    <mergeCell ref="G113:G114"/>
    <mergeCell ref="H113:H114"/>
    <mergeCell ref="D111:D112"/>
    <mergeCell ref="E111:E112"/>
  </mergeCells>
  <pageMargins left="0.35" right="0.25" top="0.32" bottom="0.5" header="0.32" footer="0.3"/>
  <pageSetup scale="92" orientation="portrait" r:id="rId1"/>
  <headerFooter alignWithMargins="0">
    <oddFooter>&amp;L&amp;7&amp;D  at &amp;T Mike 702.486.8879&amp;C&amp;7Page &amp;P of &amp;N&amp;R&amp;7&amp;F  &amp;A</oddFooter>
  </headerFooter>
  <rowBreaks count="2" manualBreakCount="2">
    <brk id="53" max="8" man="1"/>
    <brk id="106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23-24</vt:lpstr>
      <vt:lpstr>24-25</vt:lpstr>
      <vt:lpstr>25-26</vt:lpstr>
      <vt:lpstr>26-27</vt:lpstr>
      <vt:lpstr>27-28</vt:lpstr>
      <vt:lpstr>28-29</vt:lpstr>
      <vt:lpstr>6-Year (auto-populated)</vt:lpstr>
      <vt:lpstr>Enrollment Tables</vt:lpstr>
      <vt:lpstr>Staffing Tables</vt:lpstr>
      <vt:lpstr>FFE</vt:lpstr>
      <vt:lpstr>'Staffing Tables'!_Toc4075975</vt:lpstr>
      <vt:lpstr>'Enrollment Tables'!_Toc4075978</vt:lpstr>
      <vt:lpstr>'23-24'!Print_Area</vt:lpstr>
      <vt:lpstr>'24-25'!Print_Area</vt:lpstr>
      <vt:lpstr>'25-26'!Print_Area</vt:lpstr>
      <vt:lpstr>'26-27'!Print_Area</vt:lpstr>
      <vt:lpstr>'27-28'!Print_Area</vt:lpstr>
      <vt:lpstr>'28-29'!Print_Area</vt:lpstr>
      <vt:lpstr>'6-Year (auto-populated)'!Print_Area</vt:lpstr>
      <vt:lpstr>'Enrollment Tables'!Print_Area</vt:lpstr>
      <vt:lpstr>'Staffing Tables'!Print_Area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Padron</dc:creator>
  <cp:lastModifiedBy>Paul Ballou</cp:lastModifiedBy>
  <cp:lastPrinted>2023-06-27T19:33:07Z</cp:lastPrinted>
  <dcterms:created xsi:type="dcterms:W3CDTF">2023-06-09T15:08:40Z</dcterms:created>
  <dcterms:modified xsi:type="dcterms:W3CDTF">2024-02-13T22:53:58Z</dcterms:modified>
</cp:coreProperties>
</file>